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firstSheet="3" activeTab="10"/>
  </bookViews>
  <sheets>
    <sheet name="Analyse Globale" sheetId="1" r:id="rId1"/>
    <sheet name="Analyse Catégorielle" sheetId="2" r:id="rId2"/>
    <sheet name="Analyse CA Initial" sheetId="3" r:id="rId3"/>
    <sheet name="Détail Dépenses" sheetId="4" r:id="rId4"/>
    <sheet name="AVRIL 23" sheetId="5" r:id="rId5"/>
    <sheet name="MAI 23" sheetId="6" r:id="rId6"/>
    <sheet name="JUIN 23" sheetId="7" r:id="rId7"/>
    <sheet name="JUILLET 23" sheetId="8" r:id="rId8"/>
    <sheet name="AOUT 23" sheetId="9" r:id="rId9"/>
    <sheet name="RHv" sheetId="10" r:id="rId10"/>
    <sheet name="RH" sheetId="11" r:id="rId11"/>
  </sheets>
  <definedNames>
    <definedName name="CIQWBGuid">"2cd8126d-26c3-430c-b7fa-a069e3a1fc62"</definedName>
    <definedName name="IQ_DNTM">700000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LATESTK">1000</definedName>
    <definedName name="IQ_LATESTQ">500</definedName>
    <definedName name="IQ_LTMMONTH">120000</definedName>
    <definedName name="IQ_MTD">800000</definedName>
    <definedName name="IQ_NAMES_REVISION_DATE_">43412.7003240741</definedName>
    <definedName name="IQ_QTD">750000</definedName>
    <definedName name="IQ_TODAY">0</definedName>
    <definedName name="IQ_YTDMONTH">130000</definedName>
  </definedNames>
  <calcPr calcId="144525"/>
</workbook>
</file>

<file path=xl/comments1.xml><?xml version="1.0" encoding="utf-8"?>
<comments xmlns="http://schemas.openxmlformats.org/spreadsheetml/2006/main">
  <authors>
    <author/>
  </authors>
  <commentList>
    <comment ref="G3" authorId="0">
      <text>
        <r>
          <rPr>
            <sz val="10"/>
            <color rgb="FF000000"/>
            <rFont val="Arial"/>
            <scheme val="minor"/>
            <charset val="1"/>
          </rPr>
          <t>======
ID#AAAA3tkBbSk
Mannings     (2023-08-11 17:46:16)
Mois en cours.
Dernière mise à jour le 05/08/2023</t>
        </r>
      </text>
    </comment>
    <comment ref="C35" authorId="0">
      <text>
        <r>
          <rPr>
            <sz val="10"/>
            <color rgb="FF000000"/>
            <rFont val="Arial"/>
            <scheme val="minor"/>
            <charset val="1"/>
          </rPr>
          <t>======
ID#AAAA3tkBbSo
Mannings     (2023-08-11 17:46:16)
Taux de taxe à prendre en compte.</t>
        </r>
      </text>
    </comment>
    <comment ref="E53" authorId="0">
      <text>
        <r>
          <rPr>
            <sz val="10"/>
            <color rgb="FF000000"/>
            <rFont val="Arial"/>
            <scheme val="minor"/>
            <charset val="1"/>
          </rPr>
          <t>======
ID#AAAA3tkBbSc
ROIS    (2023-08-11 17:46:16)
Mannings : Dans votre traitement, retrait du resultat de mai (260 000) d’où la difference.</t>
        </r>
      </text>
    </comment>
    <comment ref="I63" authorId="0">
      <text>
        <r>
          <rPr>
            <sz val="10"/>
            <color rgb="FF000000"/>
            <rFont val="Arial"/>
            <scheme val="minor"/>
            <charset val="1"/>
          </rPr>
          <t>======
ID#AAAA3tkBbSU
Mannings     (2023-08-11 17:46:16)
Total Avril-Juillet
Aout est partiellement exclu de l'analyse</t>
        </r>
      </text>
    </comment>
  </commentList>
</comments>
</file>

<file path=xl/comments2.xml><?xml version="1.0" encoding="utf-8"?>
<comments xmlns="http://schemas.openxmlformats.org/spreadsheetml/2006/main">
  <authors>
    <author/>
  </authors>
  <commentList>
    <comment ref="H2" authorId="0">
      <text>
        <r>
          <rPr>
            <sz val="10"/>
            <color rgb="FF000000"/>
            <rFont val="Arial"/>
            <scheme val="minor"/>
            <charset val="1"/>
          </rPr>
          <t>======
ID#AAAA3tkBbSM
Mannings     (2023-08-11 17:46:16)
Mois en cours.
Répartition catégorielle impossible.
Dernière mise à jour le 05/08/2023</t>
        </r>
      </text>
    </comment>
    <comment ref="B100" authorId="0">
      <text>
        <r>
          <rPr>
            <sz val="10"/>
            <color rgb="FF000000"/>
            <rFont val="Arial"/>
            <scheme val="minor"/>
            <charset val="1"/>
          </rPr>
          <t>======
ID#AAAA3tkBbSg
Mannings     (2023-08-11 17:46:16)
La répartition du CA corrigé est en fonction du pourcentage de répartition du CA initial</t>
        </r>
      </text>
    </comment>
    <comment ref="H101" authorId="0">
      <text>
        <r>
          <rPr>
            <sz val="10"/>
            <color rgb="FF000000"/>
            <rFont val="Arial"/>
            <scheme val="minor"/>
            <charset val="1"/>
          </rPr>
          <t>======
ID#AAAA3tkBbSQ
ROIS    (2023-08-11 17:46:16)
Mannings : la répartition d'aout a été fait à partir du % de juillet</t>
        </r>
      </text>
    </comment>
    <comment ref="B107" authorId="0">
      <text>
        <r>
          <rPr>
            <sz val="10"/>
            <color rgb="FF000000"/>
            <rFont val="Arial"/>
            <scheme val="minor"/>
            <charset val="1"/>
          </rPr>
          <t>======
ID#AAAA3tkBbSY
Mannings     (2023-08-11 17:46:16)
Repartition en fonction de la marge brute.</t>
        </r>
      </text>
    </comment>
  </commentList>
</comments>
</file>

<file path=xl/comments3.xml><?xml version="1.0" encoding="utf-8"?>
<comments xmlns="http://schemas.openxmlformats.org/spreadsheetml/2006/main">
  <authors>
    <author/>
  </authors>
  <commentList>
    <comment ref="M3" authorId="0">
      <text>
        <r>
          <rPr>
            <sz val="10"/>
            <color rgb="FF000000"/>
            <rFont val="Arial"/>
            <scheme val="minor"/>
            <charset val="1"/>
          </rPr>
          <t>======
ID#AAAA21ciNfY
Auteur importé    (2023-08-15 19:40:23)
Photographe payé par le Picasso
	-Latif Adeothy</t>
        </r>
      </text>
    </comment>
    <comment ref="R8" authorId="0">
      <text>
        <r>
          <rPr>
            <sz val="10"/>
            <color rgb="FF000000"/>
            <rFont val="Arial"/>
            <scheme val="minor"/>
            <charset val="1"/>
          </rPr>
          <t>======
ID#AAAA21ciNg0
Auteur importé    (2023-08-15 19:40:23)
Amende de la Mairie
	-Latif Adeothy</t>
        </r>
      </text>
    </comment>
    <comment ref="G12" authorId="0">
      <text>
        <r>
          <rPr>
            <sz val="10"/>
            <color rgb="FF000000"/>
            <rFont val="Arial"/>
            <scheme val="minor"/>
            <charset val="1"/>
          </rPr>
          <t>======
ID#AAAA21ciNiM
Auteur importé    (2023-08-15 19:40:23)
Constitution partielle du stock de départ TABOO 
Factures du 19/04, 21/04 4
	-Latif Adeothy
Paiement factures stock issu du Miami 228: 
3x Cartons Cristal
3,5x Cartons Redbull 
1x Carton Heineken 
18x Desperados
8x Tequilla Olmeca 
1 Tambour 
1x Hennessy VS 
2x BlackLabel
2x Double Black 
2x Chivas 
1x Glenfiddich 12 ans
1x Glenfiddich 18 ans
3x Absolut 
1x Ciroc 
1x Mouton Cadet 
1x Fiole du pape
2x Dulong Blanc
1x Frexeinet 
1x Belair
3x Moet
1x Moet Nectar Rosé 
5x St James blanc
4x St James bruns
	-Latif Adeothy</t>
        </r>
      </text>
    </comment>
    <comment ref="I12" authorId="0">
      <text>
        <r>
          <rPr>
            <sz val="10"/>
            <color rgb="FF000000"/>
            <rFont val="Arial"/>
            <scheme val="minor"/>
            <charset val="1"/>
          </rPr>
          <t>======
ID#AAAA21ciNeU
Auteur importé    (2023-08-15 19:40:23)
1x Baron de Lestac blanc
6x Exhib 
1x Maison Castel Rosé
	-Latif Adeothy</t>
        </r>
      </text>
    </comment>
    <comment ref="I22" authorId="0">
      <text>
        <r>
          <rPr>
            <sz val="10"/>
            <color rgb="FF000000"/>
            <rFont val="Arial"/>
            <scheme val="minor"/>
            <charset val="1"/>
          </rPr>
          <t>======
ID#AAAA21ciNhM
Auteur importé    (2023-08-15 19:40:23)
3x Baron de Lestac blanc
	-Latif Adeothy</t>
        </r>
      </text>
    </comment>
    <comment ref="W24" authorId="0">
      <text>
        <r>
          <rPr>
            <sz val="10"/>
            <color rgb="FF000000"/>
            <rFont val="Arial"/>
            <scheme val="minor"/>
            <charset val="1"/>
          </rPr>
          <t>======
ID#AAAA21ciNbY
Auteur importé    (2023-08-15 19:40:23)
Total factures d'achats jeux de société
	-Latif Adeothy</t>
        </r>
      </text>
    </comment>
    <comment ref="G30" authorId="0">
      <text>
        <r>
          <rPr>
            <sz val="10"/>
            <color rgb="FF000000"/>
            <rFont val="Arial"/>
            <scheme val="minor"/>
            <charset val="1"/>
          </rPr>
          <t>======
ID#AAAA21ciNcM
Auteur importé    (2023-08-15 19:40:23)
Paiement MIAMI 228 semaine 1-7 Mai: 172 100 
2x carton Cristal 
1x Carton Coca 
1x Carton Sprite
5x Cartons Fanta 
1x Carton Heineken 
1x Carton Desperados
2x Dulong blanc
3x St James blanc
1x Mouton Cadet 
1x Double black 
1x Black Label
1x Tequilla Olmeca
1x Stolichnaya
Paiement MIAMI 228 semaine 8-14 Mai: 570 450 
2x Cartons Sprite 
1x Carton Heineken 
1x Carton Deperados
1x St James brun
5x St James blanc
3x Hennessy VS
3x Tequila Olmeca
2x Black Label
1x Gordon
2x Frexeinet
1x Moët
1x Moët Nectar
5x Veuve-Cliquot
1x Double Black
1x Glenfiddich 15 ans
1x Dulong blanc
	-Latif Adeothy
_Marqué comme fermé_
	-Latif Adeothy
_Rouverte_
	-Latif Adeothy
Demi carton Glennfidich 15 ans
	-Latif Adeothy</t>
        </r>
      </text>
    </comment>
    <comment ref="R32" authorId="0">
      <text>
        <r>
          <rPr>
            <sz val="10"/>
            <color rgb="FF000000"/>
            <rFont val="Arial"/>
            <scheme val="minor"/>
            <charset val="1"/>
          </rPr>
          <t>======
ID#AAAA21ciNVg
Auteur importé    (2023-08-15 19:40:23)
Poser la question à Emmanuel
	-Latif Adeothy</t>
        </r>
      </text>
    </comment>
    <comment ref="S36" authorId="0">
      <text>
        <r>
          <rPr>
            <sz val="10"/>
            <color rgb="FF000000"/>
            <rFont val="Arial"/>
            <scheme val="minor"/>
            <charset val="1"/>
          </rPr>
          <t>======
ID#AAAA21ciNU8
Auteur importé    (2023-08-15 19:40:23)
12 T Shirts = 42000
	-Latif Adeothy</t>
        </r>
      </text>
    </comment>
    <comment ref="V36" authorId="0">
      <text>
        <r>
          <rPr>
            <sz val="10"/>
            <color rgb="FF000000"/>
            <rFont val="Arial"/>
            <scheme val="minor"/>
            <charset val="1"/>
          </rPr>
          <t>======
ID#AAAA21ciNaI
Auteur importé    (2023-08-15 19:40:23)
Facture bagage supplémentaire AIR FRANCE pour transport de la RANE ONE / Jeux + Douanier
	-Latif Adeothy</t>
        </r>
      </text>
    </comment>
    <comment ref="G37" authorId="0">
      <text>
        <r>
          <rPr>
            <sz val="10"/>
            <color rgb="FF000000"/>
            <rFont val="Arial"/>
            <scheme val="minor"/>
            <charset val="1"/>
          </rPr>
          <t>======
ID#AAAA21ciNfg
Auteur importé    (2023-08-15 19:40:23)
Facture Miami 228 du 15 au 21 Mai:6 Hennessy
3 Tequila Olmeca
1 Belaire
1 Ruinart
2 Double Black
1 Cîroc
1 Gordon
2 St-James brun
5 St-James blanc
1 Moët
1 Moët Ice
1 Laurent-Perrier
2 Absolut
1 Dulong blanc
1 Bailey's
1 Stolichnaya
4 cartons Desperados
2 cartons Heineken
5 cartons Redbull
1 carton Smirnoff
4 carton Coca
4 cartons Cristal
1 carton Sprite
	-Latif Adeothy</t>
        </r>
      </text>
    </comment>
    <comment ref="G42" authorId="0">
      <text>
        <r>
          <rPr>
            <sz val="10"/>
            <color rgb="FF000000"/>
            <rFont val="Arial"/>
            <scheme val="minor"/>
            <charset val="1"/>
          </rPr>
          <t>======
ID#AAAA21ciNhY
Auteur importé    (2023-08-15 19:40:23)
Vin rouge ?
	-Latif Adeothy</t>
        </r>
      </text>
    </comment>
    <comment ref="E43" authorId="0">
      <text>
        <r>
          <rPr>
            <sz val="10"/>
            <color rgb="FF000000"/>
            <rFont val="Arial"/>
            <scheme val="minor"/>
            <charset val="1"/>
          </rPr>
          <t>======
ID#AAAA21ciNZE
Auteur importé    (2023-08-15 19:40:23)
Spaguetti ?
	-Latif Adeothy</t>
        </r>
      </text>
    </comment>
    <comment ref="G43" authorId="0">
      <text>
        <r>
          <rPr>
            <sz val="10"/>
            <color rgb="FF000000"/>
            <rFont val="Arial"/>
            <scheme val="minor"/>
            <charset val="1"/>
          </rPr>
          <t>======
ID#AAAA21ciNb8
Auteur importé    (2023-08-15 19:40:23)
Facture du Miami 228: 136 450
5 cartons Cristal
10 cocktails
1 Absolut
4 St James blanc
1 Black Label
1 Gordon Gin
1 St James brun
1 Bailey's
1 Tequila
1 Hennessy VS
1 Stolichnaya
1 Belaire
	-Latif Adeothy</t>
        </r>
      </text>
    </comment>
    <comment ref="I43" authorId="0">
      <text>
        <r>
          <rPr>
            <sz val="10"/>
            <color rgb="FF000000"/>
            <rFont val="Arial"/>
            <scheme val="minor"/>
            <charset val="1"/>
          </rPr>
          <t>======
ID#AAAA21ciNW4
Auteur importé    (2023-08-15 19:40:23)
Facuture Picasso du 22 au 28/05:
1x Maison Castel Rosé
	-Latif Adeothy</t>
        </r>
      </text>
    </comment>
    <comment ref="X43" authorId="0">
      <text>
        <r>
          <rPr>
            <sz val="10"/>
            <color rgb="FF000000"/>
            <rFont val="Arial"/>
            <scheme val="minor"/>
            <charset val="1"/>
          </rPr>
          <t>======
ID#AAAA21ciNXM
Auteur importé    (2023-08-15 19:40:23)
4x Extracteurs + installation Ice Machines
	-Latif Adeothy</t>
        </r>
      </text>
    </comment>
    <comment ref="G46" authorId="0">
      <text>
        <r>
          <rPr>
            <sz val="10"/>
            <color rgb="FF000000"/>
            <rFont val="Arial"/>
            <scheme val="minor"/>
            <charset val="1"/>
          </rPr>
          <t>======
ID#AAAA21ciNZQ
Auteur importé    (2023-08-15 19:40:23)
2x fûts de biere
	-Latif Adeothy</t>
        </r>
      </text>
    </comment>
    <comment ref="L46" authorId="0">
      <text>
        <r>
          <rPr>
            <sz val="10"/>
            <color rgb="FF000000"/>
            <rFont val="Arial"/>
            <scheme val="minor"/>
            <charset val="1"/>
          </rPr>
          <t>======
ID#AAAA21ciNW8
Auteur importé    (2023-08-15 19:40:23)
Cachet JK Lion + 2 DJs Soirée Amapiano
	-Latif Adeothy</t>
        </r>
      </text>
    </comment>
    <comment ref="M46" authorId="0">
      <text>
        <r>
          <rPr>
            <sz val="10"/>
            <color rgb="FF000000"/>
            <rFont val="Arial"/>
            <scheme val="minor"/>
            <charset val="1"/>
          </rPr>
          <t>======
ID#AAAA21ciNb0
Auteur importé    (2023-08-15 19:40:23)
Total sponsoring Instagram au 13/06 + Photographe EAT
	-Latif Adeothy</t>
        </r>
      </text>
    </comment>
    <comment ref="R46" authorId="0">
      <text>
        <r>
          <rPr>
            <sz val="10"/>
            <color rgb="FF000000"/>
            <rFont val="Arial"/>
            <scheme val="minor"/>
            <charset val="1"/>
          </rPr>
          <t>======
ID#AAAA21ciNXI
Auteur importé    (2023-08-15 19:40:23)
Impression des menus. Facture Hanani
	-Latif Adeothy</t>
        </r>
      </text>
    </comment>
    <comment ref="W46" authorId="0">
      <text>
        <r>
          <rPr>
            <sz val="10"/>
            <color rgb="FF000000"/>
            <rFont val="Arial"/>
            <scheme val="minor"/>
            <charset val="1"/>
          </rPr>
          <t>======
ID#AAAA21ciNaU
Auteur importé    (2023-08-15 19:40:23)
Achat 50% Ice Machine
Rane One 
Divers equipements / achats Ghana
10x cartons verres à champagne doré et argenté
11x cartons de verres à cocktails
	-Latif Adeothy</t>
        </r>
      </text>
    </comment>
    <comment ref="X46" authorId="0">
      <text>
        <r>
          <rPr>
            <sz val="10"/>
            <color rgb="FF000000"/>
            <rFont val="Arial"/>
            <scheme val="minor"/>
            <charset val="1"/>
          </rPr>
          <t>======
ID#AAAA21ciNd0
Auteur importé    (2023-08-15 19:40:23)
Coco Alu: Remplacement Miroir + Etagère Bar
	-Latif Adeothy</t>
        </r>
      </text>
    </comment>
    <comment ref="H54" authorId="0">
      <text>
        <r>
          <rPr>
            <sz val="10"/>
            <color rgb="FF000000"/>
            <rFont val="Arial"/>
            <scheme val="minor"/>
            <charset val="1"/>
          </rPr>
          <t>======
ID#AAAA21ciNeE
Auteur importé    (2023-08-15 19:40:23)
3 Gordon's
1 Absolut
2 Red Label
3 Hennessy VS
1 Martell VS
1 Stolichnaya
4 St-James blanc
1 Bailey's
1 Jack Daniel's
2 Tequila Olmeca
1 St-James brun
1 Mouton Cadet
1 Black Label
1 Chivas
2 Dulong Merlot
	-Latif Adeothy</t>
        </r>
      </text>
    </comment>
    <comment ref="R56" authorId="0">
      <text>
        <r>
          <rPr>
            <sz val="10"/>
            <color rgb="FF000000"/>
            <rFont val="Arial"/>
            <scheme val="minor"/>
            <charset val="1"/>
          </rPr>
          <t>======
ID#AAAA21ciNaE
Auteur importé    (2023-08-15 19:40:23)
Facture ?
	-Latif Adeothy</t>
        </r>
      </text>
    </comment>
    <comment ref="L57" authorId="0">
      <text>
        <r>
          <rPr>
            <sz val="10"/>
            <color rgb="FF000000"/>
            <rFont val="Arial"/>
            <scheme val="minor"/>
            <charset val="1"/>
          </rPr>
          <t>======
ID#AAAA21ciNh4
Auteur importé    (2023-08-15 19:40:23)
DJ Killer / Manu 5 Etoiles
	-Eddy D.A.</t>
        </r>
      </text>
    </comment>
    <comment ref="L58" authorId="0">
      <text>
        <r>
          <rPr>
            <sz val="10"/>
            <color rgb="FF000000"/>
            <rFont val="Arial"/>
            <scheme val="minor"/>
            <charset val="1"/>
          </rPr>
          <t>======
ID#AAAA21ciNXk
Auteur importé    (2023-08-15 19:40:23)
Camille
	-Latif Adeothy</t>
        </r>
      </text>
    </comment>
    <comment ref="X60" authorId="0">
      <text>
        <r>
          <rPr>
            <sz val="10"/>
            <color rgb="FF000000"/>
            <rFont val="Arial"/>
            <scheme val="minor"/>
            <charset val="1"/>
          </rPr>
          <t>======
ID#AAAA21ciNcQ
Auteur importé    (2023-08-15 19:40:23)
Plombier
	-Latif Adeothy</t>
        </r>
      </text>
    </comment>
    <comment ref="H61" authorId="0">
      <text>
        <r>
          <rPr>
            <sz val="10"/>
            <color rgb="FF000000"/>
            <rFont val="Arial"/>
            <scheme val="minor"/>
            <charset val="1"/>
          </rPr>
          <t>======
ID#AAAA21ciNhE
Auteur importé    (2023-08-15 19:40:23)
2 Absolut
6 St James blanc
3 Red Label
1 Bailey's
2 Stolichnaya
2 Duchesse Brut
8 Moët
3 Jack Daniel's
1 Chivas
1 Glenfiddich 12 ans
2 Tequila Olmeca
7 Laurent-Perrier
1 Duchesse Rosé
3 Tequila Olmeca 1l
1 Martell VS
1 Gordon's
2 Veuve-Cliquot
1 Hennessy VS
2 Jack Daniel's Honey
	-Latif Adeothy</t>
        </r>
      </text>
    </comment>
    <comment ref="L61" authorId="0">
      <text>
        <r>
          <rPr>
            <sz val="10"/>
            <color rgb="FF000000"/>
            <rFont val="Arial"/>
            <scheme val="minor"/>
            <charset val="1"/>
          </rPr>
          <t>======
ID#AAAA21ciNf4
Auteur importé    (2023-08-15 19:40:23)
DJ Killer &amp; Manu 5*
	-Latif Adeothy</t>
        </r>
      </text>
    </comment>
    <comment ref="W61" authorId="0">
      <text>
        <r>
          <rPr>
            <sz val="10"/>
            <color rgb="FF000000"/>
            <rFont val="Arial"/>
            <scheme val="minor"/>
            <charset val="1"/>
          </rPr>
          <t>======
ID#AAAA21ciNZk
Auteur importé    (2023-08-15 19:40:23)
Evans Ghana: livraison seaux à glace + pelle
	-Latif Adeothy</t>
        </r>
      </text>
    </comment>
    <comment ref="X61" authorId="0">
      <text>
        <r>
          <rPr>
            <sz val="10"/>
            <color rgb="FF000000"/>
            <rFont val="Arial"/>
            <scheme val="minor"/>
            <charset val="1"/>
          </rPr>
          <t>======
ID#AAAA21ciNWI
Auteur importé    (2023-08-15 19:40:23)
NEON Taboo
	-Latif Adeothy
Solde Soudeur
	-Latif Adeothy</t>
        </r>
      </text>
    </comment>
    <comment ref="X62" authorId="0">
      <text>
        <r>
          <rPr>
            <sz val="10"/>
            <color rgb="FF000000"/>
            <rFont val="Arial"/>
            <scheme val="minor"/>
            <charset val="1"/>
          </rPr>
          <t>======
ID#AAAA21ciNgw
Auteur importé    (2023-08-15 19:40:23)
Frigoriste
	-Latif Adeothy</t>
        </r>
      </text>
    </comment>
    <comment ref="V63" authorId="0">
      <text>
        <r>
          <rPr>
            <sz val="10"/>
            <color rgb="FF000000"/>
            <rFont val="Arial"/>
            <scheme val="minor"/>
            <charset val="1"/>
          </rPr>
          <t>======
ID#AAAA21ciNUw
Auteur importé    (2023-08-15 19:40:23)
Emprunt Hadi à la caisse
	-Latif Adeothy</t>
        </r>
      </text>
    </comment>
    <comment ref="L64" authorId="0">
      <text>
        <r>
          <rPr>
            <sz val="10"/>
            <color rgb="FF000000"/>
            <rFont val="Arial"/>
            <scheme val="minor"/>
            <charset val="1"/>
          </rPr>
          <t>======
ID#AAAA21ciNiA
Auteur importé    (2023-08-15 19:40:23)
The Mask
	-Eddy D.A.</t>
        </r>
      </text>
    </comment>
    <comment ref="W64" authorId="0">
      <text>
        <r>
          <rPr>
            <sz val="10"/>
            <color rgb="FF000000"/>
            <rFont val="Arial"/>
            <scheme val="minor"/>
            <charset val="1"/>
          </rPr>
          <t>======
ID#AAAA21ciNfI
Auteur importé    (2023-08-15 19:40:23)
Stand VIP  + Stand Pack
	-Latif Adeothy</t>
        </r>
      </text>
    </comment>
    <comment ref="L65" authorId="0">
      <text>
        <r>
          <rPr>
            <sz val="10"/>
            <color rgb="FF000000"/>
            <rFont val="Arial"/>
            <scheme val="minor"/>
            <charset val="1"/>
          </rPr>
          <t>======
ID#AAAA21ciNes
Auteur importé    (2023-08-15 19:40:23)
Camille
	-Eddy D.A.</t>
        </r>
      </text>
    </comment>
    <comment ref="X65" authorId="0">
      <text>
        <r>
          <rPr>
            <sz val="10"/>
            <color rgb="FF000000"/>
            <rFont val="Arial"/>
            <scheme val="minor"/>
            <charset val="1"/>
          </rPr>
          <t>======
ID#AAAA21ciNZw
Auteur importé    (2023-08-15 19:40:23)
LED
	-Latif Adeothy</t>
        </r>
      </text>
    </comment>
    <comment ref="H67" authorId="0">
      <text>
        <r>
          <rPr>
            <sz val="10"/>
            <color rgb="FF000000"/>
            <rFont val="Arial"/>
            <scheme val="minor"/>
            <charset val="1"/>
          </rPr>
          <t>======
ID#AAAA21ciNXo
Auteur importé    (2023-08-15 19:40:23)
Carton de Jagermeister
	-Latif Adeothy</t>
        </r>
      </text>
    </comment>
    <comment ref="X67" authorId="0">
      <text>
        <r>
          <rPr>
            <sz val="10"/>
            <color rgb="FF000000"/>
            <rFont val="Arial"/>
            <scheme val="minor"/>
            <charset val="1"/>
          </rPr>
          <t>======
ID#AAAA21ciNeI
Auteur importé    (2023-08-15 19:40:23)
Frigoriste
	-Latif Adeothy</t>
        </r>
      </text>
    </comment>
    <comment ref="H68" authorId="0">
      <text>
        <r>
          <rPr>
            <sz val="10"/>
            <color rgb="FF000000"/>
            <rFont val="Arial"/>
            <scheme val="minor"/>
            <charset val="1"/>
          </rPr>
          <t>======
ID#AAAA21ciNZA
Auteur importé    (2023-08-15 19:40:23)
1 JP Chenet Ice
6 St-James blanc
1 St-James brun
3 Stolichnaya
1 Mouton Cadet
4 Hennessy 1l
2 Bailey's
1 Moët
5 Tequila Olmeca 1l
2 Red Label
2 Hennessy VS
1 Martell VS
1 Moët Nectar
1 Gordon's
7 Dulong merlot
3 Double Black
4 Jack Daniel's
1 Absolut
1 Belaire
3 Veuve-Cliquot
1 Chivas
3 Laurent-Perrier
1 Ruinart Brut
	-Latif Adeothy</t>
        </r>
      </text>
    </comment>
    <comment ref="L68" authorId="0">
      <text>
        <r>
          <rPr>
            <sz val="10"/>
            <color rgb="FF000000"/>
            <rFont val="Arial"/>
            <scheme val="minor"/>
            <charset val="1"/>
          </rPr>
          <t>======
ID#AAAA21ciNaA
Auteur importé    (2023-08-15 19:40:23)
The Mask
	-Latif Adeothy
Camille
	-Latif Adeothy</t>
        </r>
      </text>
    </comment>
    <comment ref="S68" authorId="0">
      <text>
        <r>
          <rPr>
            <sz val="10"/>
            <color rgb="FF000000"/>
            <rFont val="Arial"/>
            <scheme val="minor"/>
            <charset val="1"/>
          </rPr>
          <t>======
ID#AAAA21ciNgY
Auteur importé    (2023-08-15 19:40:23)
Carburant groupe électrogène
	-Latif Adeothy</t>
        </r>
      </text>
    </comment>
    <comment ref="W68" authorId="0">
      <text>
        <r>
          <rPr>
            <sz val="10"/>
            <color rgb="FF000000"/>
            <rFont val="Arial"/>
            <scheme val="minor"/>
            <charset val="1"/>
          </rPr>
          <t>======
ID#AAAA21ciNdI
Auteur importé    (2023-08-15 19:40:23)
Inverseur automatique groupe electro
	-Latif Adeothy
5 chichas + 5 caloud
	-Latif Adeothy
Batterie groupe electrogène
	-Latif Adeothy</t>
        </r>
      </text>
    </comment>
    <comment ref="X68" authorId="0">
      <text>
        <r>
          <rPr>
            <sz val="10"/>
            <color rgb="FF000000"/>
            <rFont val="Arial"/>
            <scheme val="minor"/>
            <charset val="1"/>
          </rPr>
          <t>======
ID#AAAA21ciNU4
Auteur importé    (2023-08-15 19:40:23)
Etanchéité cuisine + escalier
	-Latif Adeothy
Dijoncteur grillé
	-Latif Adeothy</t>
        </r>
      </text>
    </comment>
    <comment ref="P70" authorId="0">
      <text>
        <r>
          <rPr>
            <sz val="10"/>
            <color rgb="FF000000"/>
            <rFont val="Arial"/>
            <scheme val="minor"/>
            <charset val="1"/>
          </rPr>
          <t>======
ID#AAAA21ciNXc
Auteur importé    (2023-08-15 19:40:23)
Johnny pour Canal Box
	-Eddy D.A.</t>
        </r>
      </text>
    </comment>
    <comment ref="L71" authorId="0">
      <text>
        <r>
          <rPr>
            <sz val="10"/>
            <color rgb="FF000000"/>
            <rFont val="Arial"/>
            <scheme val="minor"/>
            <charset val="1"/>
          </rPr>
          <t>======
ID#AAAA21ciNVU
Auteur importé    (2023-08-15 19:40:23)
DJ Gérard
	-Latif Adeothy</t>
        </r>
      </text>
    </comment>
    <comment ref="L72" authorId="0">
      <text>
        <r>
          <rPr>
            <sz val="10"/>
            <color rgb="FF000000"/>
            <rFont val="Arial"/>
            <scheme val="minor"/>
            <charset val="1"/>
          </rPr>
          <t>======
ID#AAAA21ciNbU
Auteur importé    (2023-08-15 19:40:23)
Camille
	-Latif Adeothy</t>
        </r>
      </text>
    </comment>
    <comment ref="X73" authorId="0">
      <text>
        <r>
          <rPr>
            <sz val="10"/>
            <color rgb="FF000000"/>
            <rFont val="Arial"/>
            <scheme val="minor"/>
            <charset val="1"/>
          </rPr>
          <t>======
ID#AAAA21ciNfw
Auteur importé    (2023-08-15 19:40:23)
Etancheïté mur voisin
	-Latif Adeothy</t>
        </r>
      </text>
    </comment>
    <comment ref="H75" authorId="0">
      <text>
        <r>
          <rPr>
            <sz val="10"/>
            <color rgb="FF000000"/>
            <rFont val="Arial"/>
            <scheme val="minor"/>
            <charset val="1"/>
          </rPr>
          <t>======
ID#AAAA21ciNV8
Auteur importé    (2023-08-15 19:40:23)
Facture Miami 228 (19-25 Juin)
1 Gordon's
2 Black Label
3 Hennessy VS
3 Martell VS
5 St-James blanc
5 Moët
1 Moët Nectar
11 Veuve-Cliquot
3 Tequila Olmeca 1l
2 Red Label
1 Chivas
1 Glenfiddich 12 ans
1 Bailey's
2 Stolichnaya
2 Mouton Cadet
4 Ruinart
1 Ruinart blanc de blancs
1 Belaire
1 St-James brun
1 Dulong blanc
1 Hennessy 1l
	-Eddy D.A.</t>
        </r>
      </text>
    </comment>
    <comment ref="U76" authorId="0">
      <text>
        <r>
          <rPr>
            <sz val="10"/>
            <color rgb="FF000000"/>
            <rFont val="Arial"/>
            <scheme val="minor"/>
            <charset val="1"/>
          </rPr>
          <t>======
ID#AAAA21ciNgM
Auteur importé    (2023-08-15 19:40:23)
1/3 Carburant Tonio
	-Latif Adeothy</t>
        </r>
      </text>
    </comment>
    <comment ref="X76" authorId="0">
      <text>
        <r>
          <rPr>
            <sz val="10"/>
            <color rgb="FF000000"/>
            <rFont val="Arial"/>
            <scheme val="minor"/>
            <charset val="1"/>
          </rPr>
          <t>======
ID#AAAA21ciNWk
Auteur importé    (2023-08-15 19:40:23)
Main d'oeuvre installation inverseur + batterie + entretien groupe électrogène
	-Eddy D.A.</t>
        </r>
      </text>
    </comment>
    <comment ref="L78" authorId="0">
      <text>
        <r>
          <rPr>
            <sz val="10"/>
            <color rgb="FF000000"/>
            <rFont val="Arial"/>
            <scheme val="minor"/>
            <charset val="1"/>
          </rPr>
          <t>======
ID#AAAA21ciNcE
Auteur importé    (2023-08-15 19:40:23)
DJ Kelly + animateur
	-Eddy D.A.</t>
        </r>
      </text>
    </comment>
    <comment ref="U78" authorId="0">
      <text>
        <r>
          <rPr>
            <sz val="10"/>
            <color rgb="FF000000"/>
            <rFont val="Arial"/>
            <scheme val="minor"/>
            <charset val="1"/>
          </rPr>
          <t>======
ID#AAAA21ciNgc
Auteur importé    (2023-08-15 19:40:23)
1500 supplémentaire Gozem DJ Vans pour DJ Kelly
	-Eddy D.A.</t>
        </r>
      </text>
    </comment>
    <comment ref="V78" authorId="0">
      <text>
        <r>
          <rPr>
            <sz val="10"/>
            <color rgb="FF000000"/>
            <rFont val="Arial"/>
            <scheme val="minor"/>
            <charset val="1"/>
          </rPr>
          <t>======
ID#AAAA21ciNVw
Auteur importé    (2023-08-15 19:40:23)
2 chambres hôtel Dj Kelly + manager
	-Eddy D.A.</t>
        </r>
      </text>
    </comment>
    <comment ref="L79" authorId="0">
      <text>
        <r>
          <rPr>
            <sz val="10"/>
            <color rgb="FF000000"/>
            <rFont val="Arial"/>
            <scheme val="minor"/>
            <charset val="1"/>
          </rPr>
          <t>======
ID#AAAA21ciNUk
Auteur importé    (2023-08-15 19:40:23)
Camille
	-Latif Adeothy</t>
        </r>
      </text>
    </comment>
    <comment ref="W79" authorId="0">
      <text>
        <r>
          <rPr>
            <sz val="10"/>
            <color rgb="FF000000"/>
            <rFont val="Arial"/>
            <scheme val="minor"/>
            <charset val="1"/>
          </rPr>
          <t>======
ID#AAAA21ciNfA
Auteur importé    (2023-08-15 19:40:23)
Régulateur Akai 5000. Précédent régulateur grillé
	-Eddy D.A.</t>
        </r>
      </text>
    </comment>
    <comment ref="X79" authorId="0">
      <text>
        <r>
          <rPr>
            <sz val="10"/>
            <color rgb="FF000000"/>
            <rFont val="Arial"/>
            <scheme val="minor"/>
            <charset val="1"/>
          </rPr>
          <t>======
ID#AAAA21ciNVc
Auteur importé    (2023-08-15 19:40:23)
CCT
	-Latif Adeothy</t>
        </r>
      </text>
    </comment>
    <comment ref="G80" authorId="0">
      <text>
        <r>
          <rPr>
            <sz val="10"/>
            <color rgb="FF000000"/>
            <rFont val="Arial"/>
            <scheme val="minor"/>
            <charset val="1"/>
          </rPr>
          <t>======
ID#AAAA21ciNbI
Auteur importé    (2023-08-15 19:40:23)
Daily dépense drink + 25 000 (Arnaud 4 Baron Maxime) + 150 000 (Gio 4 Ruinart)
	-Eddy D.A.</t>
        </r>
      </text>
    </comment>
    <comment ref="H80" authorId="0">
      <text>
        <r>
          <rPr>
            <sz val="10"/>
            <color rgb="FF000000"/>
            <rFont val="Arial"/>
            <scheme val="minor"/>
            <charset val="1"/>
          </rPr>
          <t>======
ID#AAAA21ciNg4
Auteur importé    (2023-08-15 19:40:23)
2 cartons Calvet grande reserve pour Taboo dans commande du 30/06
	-Eddy D.A.</t>
        </r>
      </text>
    </comment>
    <comment ref="L80" authorId="0">
      <text>
        <r>
          <rPr>
            <sz val="10"/>
            <color rgb="FF000000"/>
            <rFont val="Arial"/>
            <scheme val="minor"/>
            <charset val="1"/>
          </rPr>
          <t>======
ID#AAAA21ciNaQ
Auteur importé    (2023-08-15 19:40:23)
Moitié cachet Gal Dem DJ
	-Eddy D.A.</t>
        </r>
      </text>
    </comment>
    <comment ref="V80" authorId="0">
      <text>
        <r>
          <rPr>
            <sz val="10"/>
            <color rgb="FF000000"/>
            <rFont val="Arial"/>
            <scheme val="minor"/>
            <charset val="1"/>
          </rPr>
          <t>======
ID#AAAA21ciNgU
Auteur importé    (2023-08-15 19:40:23)
Chambre d'hôtel Gal Dem DJ
	-Eddy D.A.</t>
        </r>
      </text>
    </comment>
    <comment ref="W80" authorId="0">
      <text>
        <r>
          <rPr>
            <sz val="10"/>
            <color rgb="FF000000"/>
            <rFont val="Arial"/>
            <scheme val="minor"/>
            <charset val="1"/>
          </rPr>
          <t>======
ID#AAAA21ciNYE
Auteur importé    (2023-08-15 19:40:23)
Latif pour chichas
	-Eddy D.A.</t>
        </r>
      </text>
    </comment>
    <comment ref="X85" authorId="0">
      <text>
        <r>
          <rPr>
            <sz val="10"/>
            <color rgb="FF000000"/>
            <rFont val="Arial"/>
            <scheme val="minor"/>
            <charset val="1"/>
          </rPr>
          <t>======
ID#AAAA21ciNWA
Auteur importé    (2023-08-15 19:40:23)
Plombier Latif pour vidange
	-Eddy D.A.</t>
        </r>
      </text>
    </comment>
    <comment ref="H86" authorId="0">
      <text>
        <r>
          <rPr>
            <sz val="10"/>
            <color rgb="FF000000"/>
            <rFont val="Arial"/>
            <scheme val="minor"/>
            <charset val="1"/>
          </rPr>
          <t>======
ID#AAAA21ciNY0
Auteur importé    (2023-08-15 19:40:23)
Facture Miami 228 (26 juin-2 Juillet)
10 Veuve-Cliquot
5 St-James blanc
5 Absolut
4 Stolichnaya
7 Red Label
4 Martell VS
7 Dulong
4 Laurent-Perrier
2 Black Label
3 Jack Daniel's
4 Hennessy VS
1 Gordon's
2 Moët nectar
5 Ruinart
2 Tequila Olmeca 1l
2 Chivas
1 Belaire
1 Bailey's
5 Moët
1 Tequila Olmeca
1 St-James brun
1 Glenfiddich
	-Eddy D.A.</t>
        </r>
      </text>
    </comment>
    <comment ref="V87" authorId="0">
      <text>
        <r>
          <rPr>
            <sz val="10"/>
            <color rgb="FF000000"/>
            <rFont val="Arial"/>
            <scheme val="minor"/>
            <charset val="1"/>
          </rPr>
          <t>======
ID#AAAA21ciNWs
Auteur importé    (2023-08-15 19:40:23)
"Transport" gars logiciel caisse
	-Eddy D.A.</t>
        </r>
      </text>
    </comment>
    <comment ref="X87" authorId="0">
      <text>
        <r>
          <rPr>
            <sz val="10"/>
            <color rgb="FF000000"/>
            <rFont val="Arial"/>
            <scheme val="minor"/>
            <charset val="1"/>
          </rPr>
          <t>======
ID#AAAA21ciNfQ
Auteur importé    (2023-08-15 19:40:23)
Plombier pour débouchement-évacuation regard
	-Eddy D.A.</t>
        </r>
      </text>
    </comment>
    <comment ref="T88" authorId="0">
      <text>
        <r>
          <rPr>
            <sz val="10"/>
            <color rgb="FF000000"/>
            <rFont val="Arial"/>
            <scheme val="minor"/>
            <charset val="1"/>
          </rPr>
          <t>======
ID#AAAA21ciNWc
Auteur importé    (2023-08-15 19:40:23)
Ramassage poubelles 2 mois et demi + soeur
	-Eddy D.A.</t>
        </r>
      </text>
    </comment>
    <comment ref="W88" authorId="0">
      <text>
        <r>
          <rPr>
            <sz val="10"/>
            <color rgb="FF000000"/>
            <rFont val="Arial"/>
            <scheme val="minor"/>
            <charset val="1"/>
          </rPr>
          <t>======
ID#AAAA21ciNc0
Auteur importé    (2023-08-15 19:40:23)
Jeu de cartes (5)
	-Eddy D.A.</t>
        </r>
      </text>
    </comment>
    <comment ref="X88" authorId="0">
      <text>
        <r>
          <rPr>
            <sz val="10"/>
            <color rgb="FF000000"/>
            <rFont val="Arial"/>
            <scheme val="minor"/>
            <charset val="1"/>
          </rPr>
          <t>======
ID#AAAA21ciNao
Auteur importé    (2023-08-15 19:40:23)
Étanchéiste pour fuite coin pose chichas + Câbleur pour changement membrane caisson toilettes
	-Eddy D.A.</t>
        </r>
      </text>
    </comment>
    <comment ref="L89" authorId="0">
      <text>
        <r>
          <rPr>
            <sz val="10"/>
            <color rgb="FF000000"/>
            <rFont val="Arial"/>
            <scheme val="minor"/>
            <charset val="1"/>
          </rPr>
          <t>======
ID#AAAA21ciNUo
Auteur importé    (2023-08-15 19:40:23)
DJ Jude + Animateur (CR)
	-Eddy D.A.</t>
        </r>
      </text>
    </comment>
    <comment ref="V89" authorId="0">
      <text>
        <r>
          <rPr>
            <sz val="10"/>
            <color rgb="FF000000"/>
            <rFont val="Arial"/>
            <scheme val="minor"/>
            <charset val="1"/>
          </rPr>
          <t>======
ID#AAAA21ciNg8
Auteur importé    (2023-08-15 19:40:23)
Formatrice cuisine
	-Eddy D.A.</t>
        </r>
      </text>
    </comment>
    <comment ref="W89" authorId="0">
      <text>
        <r>
          <rPr>
            <sz val="10"/>
            <color rgb="FF000000"/>
            <rFont val="Arial"/>
            <scheme val="minor"/>
            <charset val="1"/>
          </rPr>
          <t>======
ID#AAAA21ciNXg
Auteur importé    (2023-08-15 19:40:23)
Avance Menuiser rasta pour tables hautes supplémentaires Acacia
	-Eddy D.A.</t>
        </r>
      </text>
    </comment>
    <comment ref="L90" authorId="0">
      <text>
        <r>
          <rPr>
            <sz val="10"/>
            <color rgb="FF000000"/>
            <rFont val="Arial"/>
            <scheme val="minor"/>
            <charset val="1"/>
          </rPr>
          <t>======
ID#AAAA21ciNYU
Auteur importé    (2023-08-15 19:40:23)
Camille
	-Eddy D.A.</t>
        </r>
      </text>
    </comment>
    <comment ref="S90" authorId="0">
      <text>
        <r>
          <rPr>
            <sz val="10"/>
            <color rgb="FF000000"/>
            <rFont val="Arial"/>
            <scheme val="minor"/>
            <charset val="1"/>
          </rPr>
          <t>======
ID#AAAA21ciNbQ
Auteur importé    (2023-08-15 19:40:23)
Piles
	-Eddy D.A.</t>
        </r>
      </text>
    </comment>
    <comment ref="U90" authorId="0">
      <text>
        <r>
          <rPr>
            <sz val="10"/>
            <color rgb="FF000000"/>
            <rFont val="Arial"/>
            <scheme val="minor"/>
            <charset val="1"/>
          </rPr>
          <t>======
ID#AAAA21ciNfM
Auteur importé    (2023-08-15 19:40:23)
Brice
	-Eddy D.A.</t>
        </r>
      </text>
    </comment>
    <comment ref="V90" authorId="0">
      <text>
        <r>
          <rPr>
            <sz val="10"/>
            <color rgb="FF000000"/>
            <rFont val="Arial"/>
            <scheme val="minor"/>
            <charset val="1"/>
          </rPr>
          <t>======
ID#AAAA21ciNWo
Auteur importé    (2023-08-15 19:40:23)
Formatrice cuisine
	-Eddy D.A.</t>
        </r>
      </text>
    </comment>
    <comment ref="S91" authorId="0">
      <text>
        <r>
          <rPr>
            <sz val="10"/>
            <color rgb="FF000000"/>
            <rFont val="Arial"/>
            <scheme val="minor"/>
            <charset val="1"/>
          </rPr>
          <t>======
ID#AAAA21ciNh8
Auteur importé    (2023-08-15 19:40:23)
Pure water
	-Eddy D.A.</t>
        </r>
      </text>
    </comment>
    <comment ref="X91" authorId="0">
      <text>
        <r>
          <rPr>
            <sz val="10"/>
            <color rgb="FF000000"/>
            <rFont val="Arial"/>
            <scheme val="minor"/>
            <charset val="1"/>
          </rPr>
          <t>======
ID#AAAA21ciNVA
Auteur importé    (2023-08-15 19:40:23)
Changement du transfo du néon des toilettes grillé
	-Eddy D.A.</t>
        </r>
      </text>
    </comment>
    <comment ref="G92" authorId="0">
      <text>
        <r>
          <rPr>
            <sz val="10"/>
            <color rgb="FF000000"/>
            <rFont val="Arial"/>
            <scheme val="minor"/>
            <charset val="1"/>
          </rPr>
          <t>======
ID#AAAA21ciNYQ
Auteur importé    (2023-08-15 19:40:23)
Daily depense + 1 carton Jagermeister (Dafrimex) + 1 carton Martell VS (Champion)
	-Eddy D.A.</t>
        </r>
      </text>
    </comment>
    <comment ref="S92" authorId="0">
      <text>
        <r>
          <rPr>
            <sz val="10"/>
            <color rgb="FF000000"/>
            <rFont val="Arial"/>
            <scheme val="minor"/>
            <charset val="1"/>
          </rPr>
          <t>======
ID#AAAA21ciNYs
Auteur importé    (2023-08-15 19:40:23)
Agrafes = 1 000
Papyrus = 9 000
	-Eddy D.A.</t>
        </r>
      </text>
    </comment>
    <comment ref="W92" authorId="0">
      <text>
        <r>
          <rPr>
            <sz val="10"/>
            <color rgb="FF000000"/>
            <rFont val="Arial"/>
            <scheme val="minor"/>
            <charset val="1"/>
          </rPr>
          <t>======
ID#AAAA21ciNeM
Auteur importé    (2023-08-15 19:40:23)
Adaptateur + Latif 4 chichas et 3 ventilateurs
	-Eddy D.A.</t>
        </r>
      </text>
    </comment>
    <comment ref="H93" authorId="0">
      <text>
        <r>
          <rPr>
            <sz val="10"/>
            <color rgb="FF000000"/>
            <rFont val="Arial"/>
            <scheme val="minor"/>
            <charset val="1"/>
          </rPr>
          <t>======
ID#AAAA21ciNgo
Auteur importé    (2023-08-15 19:40:23)
Facture Miami 228 (3-9 Juillet)
6 St-James blanc
9 Dulong 
6 Moët
3 Red Label
13 Hennessy
3 Martell
2 Gordon's
6 Tequila Olmeca
3 Stolichnaya
5 Laurent-Perrier
12 Veuve-Cliquot
1 Black Label
1 Jack Daniel's
2 Absolut
4 Duchesse brut
1 Duchesse rosé
1 St-James brun
1 Jack Daniel's honey
1 Grey Goose
1 Bailey's
3 Mouton Cadet
2 Moët nectar
	-Eddy D.A.</t>
        </r>
      </text>
    </comment>
    <comment ref="S93" authorId="0">
      <text>
        <r>
          <rPr>
            <sz val="10"/>
            <color rgb="FF000000"/>
            <rFont val="Arial"/>
            <scheme val="minor"/>
            <charset val="1"/>
          </rPr>
          <t>======
ID#AAAA21ciNbw
Auteur importé    (2023-08-15 19:40:23)
Pure water
	-Eddy D.A.</t>
        </r>
      </text>
    </comment>
    <comment ref="S94" authorId="0">
      <text>
        <r>
          <rPr>
            <sz val="10"/>
            <color rgb="FF000000"/>
            <rFont val="Arial"/>
            <scheme val="minor"/>
            <charset val="1"/>
          </rPr>
          <t>======
ID#AAAA21ciNXs
Auteur importé    (2023-08-15 19:40:23)
Bonnets + papyrus + papier-toilette
	-Eddy D.A.</t>
        </r>
      </text>
    </comment>
    <comment ref="X94" authorId="0">
      <text>
        <r>
          <rPr>
            <sz val="10"/>
            <color rgb="FF000000"/>
            <rFont val="Arial"/>
            <scheme val="minor"/>
            <charset val="1"/>
          </rPr>
          <t>======
ID#AAAA21ciNYI
Auteur importé    (2023-08-15 19:40:23)
Latif pour Coloris
	-Eddy D.A.</t>
        </r>
      </text>
    </comment>
    <comment ref="L96" authorId="0">
      <text>
        <r>
          <rPr>
            <sz val="10"/>
            <color rgb="FF000000"/>
            <rFont val="Arial"/>
            <scheme val="minor"/>
            <charset val="1"/>
          </rPr>
          <t>======
ID#AAAA21ciNds
Auteur importé    (2023-08-15 19:40:23)
BBrave = 100 000
Animateur = 10 000
	-Eddy D.A.</t>
        </r>
      </text>
    </comment>
    <comment ref="R96" authorId="0">
      <text>
        <r>
          <rPr>
            <sz val="10"/>
            <color rgb="FF000000"/>
            <rFont val="Arial"/>
            <scheme val="minor"/>
            <charset val="1"/>
          </rPr>
          <t>======
ID#AAAA21ciNbk
Auteur importé    (2023-08-15 19:40:23)
Comptable pour OTR + timbres + demande de carte d'immatriculation fiscale + tampon + "enveloppe" + frais de retrait
	-Eddy D.A.</t>
        </r>
      </text>
    </comment>
    <comment ref="L97" authorId="0">
      <text>
        <r>
          <rPr>
            <sz val="10"/>
            <color rgb="FF000000"/>
            <rFont val="Arial"/>
            <scheme val="minor"/>
            <charset val="1"/>
          </rPr>
          <t>======
ID#AAAA21ciNd4
Auteur importé    (2023-08-15 19:40:23)
Camille
	-Eddy D.A.</t>
        </r>
      </text>
    </comment>
    <comment ref="S97" authorId="0">
      <text>
        <r>
          <rPr>
            <sz val="10"/>
            <color rgb="FF000000"/>
            <rFont val="Arial"/>
            <scheme val="minor"/>
            <charset val="1"/>
          </rPr>
          <t>======
ID#AAAA21ciNiU
Auteur importé    (2023-08-15 19:40:23)
PQ + papyrus + pure water
	-Eddy D.A.</t>
        </r>
      </text>
    </comment>
    <comment ref="T97" authorId="0">
      <text>
        <r>
          <rPr>
            <sz val="10"/>
            <color rgb="FF000000"/>
            <rFont val="Arial"/>
            <scheme val="minor"/>
            <charset val="1"/>
          </rPr>
          <t>======
ID#AAAA21ciNXE
Auteur importé    (2023-08-15 19:40:23)
Poubelle + seau
	-Eddy D.A.</t>
        </r>
      </text>
    </comment>
    <comment ref="U97" authorId="0">
      <text>
        <r>
          <rPr>
            <sz val="10"/>
            <color rgb="FF000000"/>
            <rFont val="Arial"/>
            <scheme val="minor"/>
            <charset val="1"/>
          </rPr>
          <t>======
ID#AAAA21ciNXY
Auteur importé    (2023-08-15 19:40:23)
Emmanuel
	-Eddy D.A.</t>
        </r>
      </text>
    </comment>
    <comment ref="W97" authorId="0">
      <text>
        <r>
          <rPr>
            <sz val="10"/>
            <color rgb="FF000000"/>
            <rFont val="Arial"/>
            <scheme val="minor"/>
            <charset val="1"/>
          </rPr>
          <t>======
ID#AAAA21ciNYY
Auteur importé    (2023-08-15 19:40:23)
Piles rechargeables + rechaud charbon
	-Eddy D.A.</t>
        </r>
      </text>
    </comment>
    <comment ref="C98" authorId="0">
      <text>
        <r>
          <rPr>
            <sz val="10"/>
            <color rgb="FF000000"/>
            <rFont val="Arial"/>
            <scheme val="minor"/>
            <charset val="1"/>
          </rPr>
          <t>======
ID#AAAA21ciNfU
Auteur importé    (2023-08-15 19:40:23)
Augmentation fond de caisse
	-Eddy D.A.</t>
        </r>
      </text>
    </comment>
    <comment ref="X98" authorId="0">
      <text>
        <r>
          <rPr>
            <sz val="10"/>
            <color rgb="FF000000"/>
            <rFont val="Arial"/>
            <scheme val="minor"/>
            <charset val="1"/>
          </rPr>
          <t>======
ID#AAAA21ciNas
Auteur importé    (2023-08-15 19:40:23)
Koko pour contreplaqué + colle + solde mirroir
	-Eddy D.A.</t>
        </r>
      </text>
    </comment>
    <comment ref="S99" authorId="0">
      <text>
        <r>
          <rPr>
            <sz val="10"/>
            <color rgb="FF000000"/>
            <rFont val="Arial"/>
            <scheme val="minor"/>
            <charset val="1"/>
          </rPr>
          <t>======
ID#AAAA21ciNZY
Auteur importé    (2023-08-15 19:40:23)
Black box
	-Eddy D.A.</t>
        </r>
      </text>
    </comment>
    <comment ref="V99" authorId="0">
      <text>
        <r>
          <rPr>
            <sz val="10"/>
            <color rgb="FF000000"/>
            <rFont val="Arial"/>
            <scheme val="minor"/>
            <charset val="1"/>
          </rPr>
          <t>======
ID#AAAA21ciNVY
Auteur importé    (2023-08-15 19:40:23)
Frigoriste Latif pour entretien clims 02/07 et 15/07
	-Eddy D.A.</t>
        </r>
      </text>
    </comment>
    <comment ref="H100" authorId="0">
      <text>
        <r>
          <rPr>
            <sz val="10"/>
            <color rgb="FF000000"/>
            <rFont val="Arial"/>
            <scheme val="minor"/>
            <charset val="1"/>
          </rPr>
          <t>======
ID#AAAA21ciNbM
Auteur importé    (2023-08-15 19:40:23)
Facture Miami 228 (10-16 Juillet)
2 cartons Sunset
1 carton Redbull
2 Gordon's
8 St-James blanc
3 Red Label
6 Laurent-Perrier
1 Moët nectar
7 Hennessy VS
5 Olmeca
3 Black Label
2 Jack Daniel's
2 Glenfiddich
1 Jack Daniel's gentlemen
1 Absolut
2 Belaire
3 Moët
1 Duchesse rosé
7 Dulong
1 Stolichnaya
1 Hennessy VSOP 1l
1 St-James brun
3 Mouton Cadet
2 Grey Goose
	-Eddy D.A.</t>
        </r>
      </text>
    </comment>
    <comment ref="S100" authorId="0">
      <text>
        <r>
          <rPr>
            <sz val="10"/>
            <color rgb="FF000000"/>
            <rFont val="Arial"/>
            <scheme val="minor"/>
            <charset val="1"/>
          </rPr>
          <t>======
ID#AAAA21ciNak
Auteur importé    (2023-08-15 19:40:23)
Papyrus + papier-toilette
	-Eddy D.A.</t>
        </r>
      </text>
    </comment>
    <comment ref="G101" authorId="0">
      <text>
        <r>
          <rPr>
            <sz val="10"/>
            <color rgb="FF000000"/>
            <rFont val="Arial"/>
            <scheme val="minor"/>
            <charset val="1"/>
          </rPr>
          <t>======
ID#AAAA21ciNYA
Auteur importé    (2023-08-15 19:40:23)
Daily depense + Facture BB 136 500
	-Eddy D.A.</t>
        </r>
      </text>
    </comment>
    <comment ref="S101" authorId="0">
      <text>
        <r>
          <rPr>
            <sz val="10"/>
            <color rgb="FF000000"/>
            <rFont val="Arial"/>
            <scheme val="minor"/>
            <charset val="1"/>
          </rPr>
          <t>======
ID#AAAA21ciNY4
Auteur importé    (2023-08-15 19:40:23)
Papyrus
	-Eddy D.A.</t>
        </r>
      </text>
    </comment>
    <comment ref="T101" authorId="0">
      <text>
        <r>
          <rPr>
            <sz val="10"/>
            <color rgb="FF000000"/>
            <rFont val="Arial"/>
            <scheme val="minor"/>
            <charset val="1"/>
          </rPr>
          <t>======
ID#AAAA21ciNcI
Auteur importé    (2023-08-15 19:40:23)
Éponge
	-Eddy D.A.</t>
        </r>
      </text>
    </comment>
    <comment ref="U101" authorId="0">
      <text>
        <r>
          <rPr>
            <sz val="10"/>
            <color rgb="FF000000"/>
            <rFont val="Arial"/>
            <scheme val="minor"/>
            <charset val="1"/>
          </rPr>
          <t>======
ID#AAAA21ciNew
Auteur importé    (2023-08-15 19:40:23)
Emmanuel = 1 000
Johnny = 1 600
	-Eddy D.A.</t>
        </r>
      </text>
    </comment>
    <comment ref="U102" authorId="0">
      <text>
        <r>
          <rPr>
            <sz val="10"/>
            <color rgb="FF000000"/>
            <rFont val="Arial"/>
            <scheme val="minor"/>
            <charset val="1"/>
          </rPr>
          <t>======
ID#AAAA21ciNVE
Auteur importé    (2023-08-15 19:40:23)
Emmanuel (Castel)
	-Eddy D.A.</t>
        </r>
      </text>
    </comment>
    <comment ref="X102" authorId="0">
      <text>
        <r>
          <rPr>
            <sz val="10"/>
            <color rgb="FF000000"/>
            <rFont val="Arial"/>
            <scheme val="minor"/>
            <charset val="1"/>
          </rPr>
          <t>======
ID#AAAA21ciNgg
Auteur importé    (2023-08-15 19:40:23)
Main d'oeuvre peintre = 9 000
Disjonteur 25A = 18 000 (20A CCT Clim VIP cramé)
	-Eddy D.A.</t>
        </r>
      </text>
    </comment>
    <comment ref="G103" authorId="0">
      <text>
        <r>
          <rPr>
            <sz val="10"/>
            <color rgb="FF000000"/>
            <rFont val="Arial"/>
            <scheme val="minor"/>
            <charset val="1"/>
          </rPr>
          <t>======
ID#AAAA21ciNac
Auteur importé    (2023-08-15 19:40:23)
Daily depense + 3 cartons Ruinart (Cotonou) + Monkey Shoulder
	-Eddy D.A.</t>
        </r>
      </text>
    </comment>
    <comment ref="L103" authorId="0">
      <text>
        <r>
          <rPr>
            <sz val="10"/>
            <color rgb="FF000000"/>
            <rFont val="Arial"/>
            <scheme val="minor"/>
            <charset val="1"/>
          </rPr>
          <t>======
ID#AAAA21ciNVI
Auteur importé    (2023-08-15 19:40:23)
DJ Diamondz = 70 000
Animateur = 10 000
	-Eddy D.A.</t>
        </r>
      </text>
    </comment>
    <comment ref="R103" authorId="0">
      <text>
        <r>
          <rPr>
            <sz val="10"/>
            <color rgb="FF000000"/>
            <rFont val="Arial"/>
            <scheme val="minor"/>
            <charset val="1"/>
          </rPr>
          <t>======
ID#AAAA21ciNeo
Auteur importé    (2023-08-15 19:40:23)
Photocopies
	-Eddy D.A.</t>
        </r>
      </text>
    </comment>
    <comment ref="S103" authorId="0">
      <text>
        <r>
          <rPr>
            <sz val="10"/>
            <color rgb="FF000000"/>
            <rFont val="Arial"/>
            <scheme val="minor"/>
            <charset val="1"/>
          </rPr>
          <t>======
ID#AAAA21ciNck
Auteur importé    (2023-08-15 19:40:23)
Papyrus
	-Eddy D.A.</t>
        </r>
      </text>
    </comment>
    <comment ref="L104" authorId="0">
      <text>
        <r>
          <rPr>
            <sz val="10"/>
            <color rgb="FF000000"/>
            <rFont val="Arial"/>
            <scheme val="minor"/>
            <charset val="1"/>
          </rPr>
          <t>======
ID#AAAA21ciNgs
Auteur importé    (2023-08-15 19:40:23)
Camille
	-Eddy D.A.</t>
        </r>
      </text>
    </comment>
    <comment ref="R104" authorId="0">
      <text>
        <r>
          <rPr>
            <sz val="10"/>
            <color rgb="FF000000"/>
            <rFont val="Arial"/>
            <scheme val="minor"/>
            <charset val="1"/>
          </rPr>
          <t>======
ID#AAAA21ciNWw
Auteur importé    (2023-08-15 19:40:23)
Photocopies
	-Eddy D.A.</t>
        </r>
      </text>
    </comment>
    <comment ref="S104" authorId="0">
      <text>
        <r>
          <rPr>
            <sz val="10"/>
            <color rgb="FF000000"/>
            <rFont val="Arial"/>
            <scheme val="minor"/>
            <charset val="1"/>
          </rPr>
          <t>======
ID#AAAA21ciNaY
Auteur importé    (2023-08-15 19:40:23)
Pure water
	-Eddy D.A.</t>
        </r>
      </text>
    </comment>
    <comment ref="G105" authorId="0">
      <text>
        <r>
          <rPr>
            <sz val="10"/>
            <color rgb="FF000000"/>
            <rFont val="Arial"/>
            <scheme val="minor"/>
            <charset val="1"/>
          </rPr>
          <t>======
ID#AAAA21ciNhw
Auteur importé    (2023-08-15 19:40:23)
Daily depense + 1 carton Martell VS (Champion)
	-Eddy D.A.</t>
        </r>
      </text>
    </comment>
    <comment ref="V105" authorId="0">
      <text>
        <r>
          <rPr>
            <sz val="10"/>
            <color rgb="FF000000"/>
            <rFont val="Arial"/>
            <scheme val="minor"/>
            <charset val="1"/>
          </rPr>
          <t>======
ID#AAAA21ciNZU
Auteur importé    (2023-08-15 19:40:23)
Frigoriste pour gaz
	-Eddy D.A.</t>
        </r>
      </text>
    </comment>
    <comment ref="W106" authorId="0">
      <text>
        <r>
          <rPr>
            <sz val="10"/>
            <color rgb="FF000000"/>
            <rFont val="Arial"/>
            <scheme val="minor"/>
            <charset val="1"/>
          </rPr>
          <t>======
ID#AAAA21ciNiI
Auteur importé    (2023-08-15 19:40:23)
Solde tables hautes supplémentaires acacia
	-Eddy D.A.</t>
        </r>
      </text>
    </comment>
    <comment ref="H107" authorId="0">
      <text>
        <r>
          <rPr>
            <sz val="10"/>
            <color rgb="FF000000"/>
            <rFont val="Arial"/>
            <scheme val="minor"/>
            <charset val="1"/>
          </rPr>
          <t>======
ID#AAAA21ciNd8
Auteur importé    (2023-08-15 19:40:23)
Facture Miami 228 (17-23 Juillet)
1 carton Sunset
10 Hennessy VS
2 Absolut
3 Gordon's
5 Olmeca
10 Laurent-Perrier
9 St-James
1 Bailey's
2 Mouton Cadet
13 Dulong
2 Stolichnaya
3 Black Label
4 Jack Daniel's
2 Red Label
3 Double Black
2 Grey Goose
3 Ruinart blanc de blancs
1 Chivas
1 Jack Daniel's honey
2 Belaire
1 Hennessy VSOP
	-Eddy D.A.</t>
        </r>
      </text>
    </comment>
    <comment ref="S107" authorId="0">
      <text>
        <r>
          <rPr>
            <sz val="10"/>
            <color rgb="FF000000"/>
            <rFont val="Arial"/>
            <scheme val="minor"/>
            <charset val="1"/>
          </rPr>
          <t>======
ID#AAAA21ciNWM
Auteur importé    (2023-08-15 19:40:23)
Papyrus
	-Eddy D.A.</t>
        </r>
      </text>
    </comment>
    <comment ref="U107" authorId="0">
      <text>
        <r>
          <rPr>
            <sz val="10"/>
            <color rgb="FF000000"/>
            <rFont val="Arial"/>
            <scheme val="minor"/>
            <charset val="1"/>
          </rPr>
          <t>======
ID#AAAA21ciNc8
Auteur importé    (2023-08-15 19:40:23)
Emmanuel
	-Eddy D.A.</t>
        </r>
      </text>
    </comment>
    <comment ref="U108" authorId="0">
      <text>
        <r>
          <rPr>
            <sz val="10"/>
            <color rgb="FF000000"/>
            <rFont val="Arial"/>
            <scheme val="minor"/>
            <charset val="1"/>
          </rPr>
          <t>======
ID#AAAA21ciNeA
Auteur importé    (2023-08-15 19:40:23)
Emmanuel (Champion)
	-Eddy D.A.</t>
        </r>
      </text>
    </comment>
    <comment ref="L110" authorId="0">
      <text>
        <r>
          <rPr>
            <sz val="10"/>
            <color rgb="FF000000"/>
            <rFont val="Arial"/>
            <scheme val="minor"/>
            <charset val="1"/>
          </rPr>
          <t>======
ID#AAAA21ciNcA
Auteur importé    (2023-08-15 19:40:23)
DJ Saad = 70 000
Animateur = 10 000
	-Eddy D.A.</t>
        </r>
      </text>
    </comment>
    <comment ref="S110" authorId="0">
      <text>
        <r>
          <rPr>
            <sz val="10"/>
            <color rgb="FF000000"/>
            <rFont val="Arial"/>
            <scheme val="minor"/>
            <charset val="1"/>
          </rPr>
          <t>======
ID#AAAA21ciNVQ
Auteur importé    (2023-08-15 19:40:23)
PQ = 2 000
Papyrus = 9 000
	-Eddy D.A.</t>
        </r>
      </text>
    </comment>
    <comment ref="L111" authorId="0">
      <text>
        <r>
          <rPr>
            <sz val="10"/>
            <color rgb="FF000000"/>
            <rFont val="Arial"/>
            <scheme val="minor"/>
            <charset val="1"/>
          </rPr>
          <t>======
ID#AAAA21ciNec
Auteur importé    (2023-08-15 19:40:23)
Camille
	-Eddy D.A.</t>
        </r>
      </text>
    </comment>
    <comment ref="S111" authorId="0">
      <text>
        <r>
          <rPr>
            <sz val="10"/>
            <color rgb="FF000000"/>
            <rFont val="Arial"/>
            <scheme val="minor"/>
            <charset val="1"/>
          </rPr>
          <t>======
ID#AAAA21ciNZo
Auteur importé    (2023-08-15 19:40:23)
Gants = 13 500
Pure water = 2 000
	-Eddy D.A.</t>
        </r>
      </text>
    </comment>
    <comment ref="G112" authorId="0">
      <text>
        <r>
          <rPr>
            <sz val="10"/>
            <color rgb="FF000000"/>
            <rFont val="Arial"/>
            <scheme val="minor"/>
            <charset val="1"/>
          </rPr>
          <t>======
ID#AAAA21ciNdY
Auteur importé    (2023-08-15 19:40:23)
Daily depense + Facture Noufaely Dani + Facture Exhib Dafrimex
	-Eddy D.A.</t>
        </r>
      </text>
    </comment>
    <comment ref="W112" authorId="0">
      <text>
        <r>
          <rPr>
            <sz val="10"/>
            <color rgb="FF000000"/>
            <rFont val="Arial"/>
            <scheme val="minor"/>
            <charset val="1"/>
          </rPr>
          <t>======
ID#AAAA21ciNZs
Auteur importé    (2023-08-15 19:40:23)
JK Lion pour 20 t-shirts gris
	-Eddy D.A.</t>
        </r>
      </text>
    </comment>
    <comment ref="X112" authorId="0">
      <text>
        <r>
          <rPr>
            <sz val="10"/>
            <color rgb="FF000000"/>
            <rFont val="Arial"/>
            <scheme val="minor"/>
            <charset val="1"/>
          </rPr>
          <t>======
ID#AAAA21ciNf8
Auteur importé    (2023-08-15 19:40:23)
Électricien pour disjoncteur 25A pour frigo + prise + réparation régulateur
	-Eddy D.A.</t>
        </r>
      </text>
    </comment>
    <comment ref="S113" authorId="0">
      <text>
        <r>
          <rPr>
            <sz val="10"/>
            <color rgb="FF000000"/>
            <rFont val="Arial"/>
            <scheme val="minor"/>
            <charset val="1"/>
          </rPr>
          <t>======
ID#AAAA21ciNdM
Auteur importé    (2023-08-15 19:40:23)
Take away = 3 000
Papyrus = 9 000
	-Eddy D.A.</t>
        </r>
      </text>
    </comment>
    <comment ref="H114" authorId="0">
      <text>
        <r>
          <rPr>
            <sz val="10"/>
            <color rgb="FF000000"/>
            <rFont val="Arial"/>
            <scheme val="minor"/>
            <charset val="1"/>
          </rPr>
          <t>======
ID#AAAA21ciNbc
Auteur importé    (2023-08-15 19:40:23)
Facture Miami 228 (24-30 Juillet)
3 Black Label
13 Hennessy
5 Jack Daniel's
4 Olmeca
6 St-James
2 Double Black
1 Fiole du Pape
3 Stolichnaya
1 Olmeca dark
3 Red Label
3 Bailey's
7 Jack Daniel's honey
3 Bailey's
11 Dulong
1 Duchesse brut
2 Laurent-Perrier
2 Hennessy VSOP
2 Veuve-Cliquot
1 Absolut
1 Belvedere
1 Gordon's
3 Belaire
11 Moët
1 Moët rosé
1 Glenfiddich 15
3 Jack Daniel's honey 35cl
	-Eddy D.A.</t>
        </r>
      </text>
    </comment>
    <comment ref="L114" authorId="0">
      <text>
        <r>
          <rPr>
            <sz val="10"/>
            <color rgb="FF000000"/>
            <rFont val="Arial"/>
            <scheme val="minor"/>
            <charset val="1"/>
          </rPr>
          <t>======
ID#AAAA21ciNcw
Auteur importé    (2023-08-15 19:40:23)
DJ Lollicue
	-Eddy D.A.</t>
        </r>
      </text>
    </comment>
    <comment ref="M114" authorId="0">
      <text>
        <r>
          <rPr>
            <sz val="10"/>
            <color rgb="FF000000"/>
            <rFont val="Arial"/>
            <scheme val="minor"/>
            <charset val="1"/>
          </rPr>
          <t>======
ID#AAAA21ciNVM
Auteur importé    (2023-08-15 19:40:23)
Sponsoring Instagram du 12.06 au au 19.07
	-Latif Adeothy</t>
        </r>
      </text>
    </comment>
    <comment ref="S114" authorId="0">
      <text>
        <r>
          <rPr>
            <sz val="10"/>
            <color rgb="FF000000"/>
            <rFont val="Arial"/>
            <scheme val="minor"/>
            <charset val="1"/>
          </rPr>
          <t>======
ID#AAAA21ciNhg
Auteur importé    (2023-08-15 19:40:23)
Verres jetables
	-Eddy D.A.</t>
        </r>
      </text>
    </comment>
    <comment ref="U114" authorId="0">
      <text>
        <r>
          <rPr>
            <sz val="10"/>
            <color rgb="FF000000"/>
            <rFont val="Arial"/>
            <scheme val="minor"/>
            <charset val="1"/>
          </rPr>
          <t>======
ID#AAAA21ciNYM
Auteur importé    (2023-08-15 19:40:23)
Gozem JK/Lollicue
	-Eddy D.A.</t>
        </r>
      </text>
    </comment>
    <comment ref="V114" authorId="0">
      <text>
        <r>
          <rPr>
            <sz val="10"/>
            <color rgb="FF000000"/>
            <rFont val="Arial"/>
            <scheme val="minor"/>
            <charset val="1"/>
          </rPr>
          <t>======
ID#AAAA21ciNdU
Auteur importé    (2023-08-15 19:40:23)
Chambre Hôtel Concorde Lollicue
	-Eddy D.A.</t>
        </r>
      </text>
    </comment>
    <comment ref="W114" authorId="0">
      <text>
        <r>
          <rPr>
            <sz val="10"/>
            <color rgb="FF000000"/>
            <rFont val="Arial"/>
            <scheme val="minor"/>
            <charset val="1"/>
          </rPr>
          <t>======
ID#AAAA21ciNdk
Auteur importé    (2023-08-15 19:40:23)
Kokou pour achat régulateur 2000 VA
	-Eddy D.A.</t>
        </r>
      </text>
    </comment>
    <comment ref="G115" authorId="0">
      <text>
        <r>
          <rPr>
            <sz val="10"/>
            <color rgb="FF000000"/>
            <rFont val="Arial"/>
            <scheme val="minor"/>
            <charset val="1"/>
          </rPr>
          <t>======
ID#AAAA21ciNbo
Auteur importé    (2023-08-15 19:40:23)
Facture Noufely (As de Pique + Canettes)
	-Eddy D.A.</t>
        </r>
      </text>
    </comment>
    <comment ref="S115" authorId="0">
      <text>
        <r>
          <rPr>
            <sz val="10"/>
            <color rgb="FF000000"/>
            <rFont val="Arial"/>
            <scheme val="minor"/>
            <charset val="1"/>
          </rPr>
          <t>======
ID#AAAA21ciNco
Auteur importé    (2023-08-15 19:40:23)
Papyrus = 9 000
PQ = 2 000
	-Eddy D.A.</t>
        </r>
      </text>
    </comment>
    <comment ref="U115" authorId="0">
      <text>
        <r>
          <rPr>
            <sz val="10"/>
            <color rgb="FF000000"/>
            <rFont val="Arial"/>
            <scheme val="minor"/>
            <charset val="1"/>
          </rPr>
          <t>======
ID#AAAA21ciNdw
Auteur importé    (2023-08-15 19:40:23)
Emmanuel
	-Eddy D.A.</t>
        </r>
      </text>
    </comment>
    <comment ref="W115" authorId="0">
      <text>
        <r>
          <rPr>
            <sz val="10"/>
            <color rgb="FF000000"/>
            <rFont val="Arial"/>
            <scheme val="minor"/>
            <charset val="1"/>
          </rPr>
          <t>======
ID#AAAA21ciNVo
Auteur importé    (2023-08-15 19:40:23)
Moulinex
	-Eddy D.A.</t>
        </r>
      </text>
    </comment>
  </commentList>
</comments>
</file>

<file path=xl/comments4.xml><?xml version="1.0" encoding="utf-8"?>
<comments xmlns="http://schemas.openxmlformats.org/spreadsheetml/2006/main">
  <authors>
    <author/>
  </authors>
  <commentList>
    <comment ref="T7" authorId="0">
      <text>
        <r>
          <rPr>
            <sz val="10"/>
            <color rgb="FF000000"/>
            <rFont val="Arial"/>
            <scheme val="minor"/>
            <charset val="1"/>
          </rPr>
          <t>======
ID#AAAA21ciNeg
Auteur importé    (2023-08-15 19:40:23)
Coco Dope
	-Latif Adeothy</t>
        </r>
      </text>
    </comment>
    <comment ref="Z9" authorId="0">
      <text>
        <r>
          <rPr>
            <sz val="10"/>
            <color rgb="FF000000"/>
            <rFont val="Arial"/>
            <scheme val="minor"/>
            <charset val="1"/>
          </rPr>
          <t>======
ID#AAAA21ciNYk
Auteur importé    (2023-08-15 19:40:23)
Team Manu 5 Étoiles - DJ Killer
	-Eddy D.A.</t>
        </r>
      </text>
    </comment>
    <comment ref="Z10" authorId="0">
      <text>
        <r>
          <rPr>
            <sz val="10"/>
            <color rgb="FF000000"/>
            <rFont val="Arial"/>
            <scheme val="minor"/>
            <charset val="1"/>
          </rPr>
          <t>======
ID#AAAA21ciNYg
Auteur importé    (2023-08-15 19:40:23)
Camille
	-Eddy D.A.</t>
        </r>
      </text>
    </comment>
    <comment ref="S13" authorId="0">
      <text>
        <r>
          <rPr>
            <sz val="10"/>
            <color rgb="FF000000"/>
            <rFont val="Arial"/>
            <scheme val="minor"/>
            <charset val="1"/>
          </rPr>
          <t>======
ID#AAAA21ciNgE
Auteur importé    (2023-08-15 19:40:23)
Première visite Masta Jazz
	-Latif Adeothy</t>
        </r>
      </text>
    </comment>
    <comment ref="S16" authorId="0">
      <text>
        <r>
          <rPr>
            <sz val="10"/>
            <color rgb="FF000000"/>
            <rFont val="Arial"/>
            <scheme val="minor"/>
            <charset val="1"/>
          </rPr>
          <t>======
ID#AAAA21ciNek
Auteur importé    (2023-08-15 19:40:23)
Moussa
	-Eddy D.A.</t>
        </r>
      </text>
    </comment>
    <comment ref="T16" authorId="0">
      <text>
        <r>
          <rPr>
            <sz val="10"/>
            <color rgb="FF000000"/>
            <rFont val="Arial"/>
            <scheme val="minor"/>
            <charset val="1"/>
          </rPr>
          <t>======
ID#AAAA21ciNW0
Auteur importé    (2023-08-15 19:40:23)
Photographes
	-Eddy D.A.</t>
        </r>
      </text>
    </comment>
    <comment ref="Z16" authorId="0">
      <text>
        <r>
          <rPr>
            <sz val="10"/>
            <color rgb="FF000000"/>
            <rFont val="Arial"/>
            <scheme val="minor"/>
            <charset val="1"/>
          </rPr>
          <t>======
ID#AAAA21ciNhI
Auteur importé    (2023-08-15 19:40:23)
The Mask
	-Eddy D.A.</t>
        </r>
      </text>
    </comment>
    <comment ref="S17" authorId="0">
      <text>
        <r>
          <rPr>
            <sz val="10"/>
            <color rgb="FF000000"/>
            <rFont val="Arial"/>
            <scheme val="minor"/>
            <charset val="1"/>
          </rPr>
          <t>======
ID#AAAA21ciNc4
Auteur importé    (2023-08-15 19:40:23)
Open Mic Pheno Ambro
	-Eddy D.A.</t>
        </r>
      </text>
    </comment>
    <comment ref="Z17" authorId="0">
      <text>
        <r>
          <rPr>
            <sz val="10"/>
            <color rgb="FF000000"/>
            <rFont val="Arial"/>
            <scheme val="minor"/>
            <charset val="1"/>
          </rPr>
          <t>======
ID#AAAA21ciNXA
Auteur importé    (2023-08-15 19:40:23)
Camille
	-Eddy D.A.</t>
        </r>
      </text>
    </comment>
    <comment ref="D21" authorId="0">
      <text>
        <r>
          <rPr>
            <sz val="10"/>
            <color rgb="FF000000"/>
            <rFont val="Arial"/>
            <scheme val="minor"/>
            <charset val="1"/>
          </rPr>
          <t>======
ID#AAAA21ciNhs
Auteur importé    (2023-08-15 19:40:23)
Manque de 23 875
	-Eddy D.A.</t>
        </r>
      </text>
    </comment>
    <comment ref="D22" authorId="0">
      <text>
        <r>
          <rPr>
            <sz val="10"/>
            <color rgb="FF000000"/>
            <rFont val="Arial"/>
            <scheme val="minor"/>
            <charset val="1"/>
          </rPr>
          <t>======
ID#AAAA21ciNZc
Auteur importé    (2023-08-15 19:40:23)
Manque en caisse de 67 750 déclaré + 43 200?
	-Eddy D.A.
Jour du souci sur la caisse. Pb à résoudre
	-Latif Adeothy</t>
        </r>
      </text>
    </comment>
    <comment ref="S23" authorId="0">
      <text>
        <r>
          <rPr>
            <sz val="10"/>
            <color rgb="FF000000"/>
            <rFont val="Arial"/>
            <scheme val="minor"/>
            <charset val="1"/>
          </rPr>
          <t>======
ID#AAAA21ciNdQ
Auteur importé    (2023-08-15 19:40:23)
Filles de l'ONG
	-Eddy D.A.</t>
        </r>
      </text>
    </comment>
    <comment ref="Z23" authorId="0">
      <text>
        <r>
          <rPr>
            <sz val="10"/>
            <color rgb="FF000000"/>
            <rFont val="Arial"/>
            <scheme val="minor"/>
            <charset val="1"/>
          </rPr>
          <t>======
ID#AAAA21ciNWg
Auteur importé    (2023-08-15 19:40:23)
DJ Gérard
	-Eddy D.A.</t>
        </r>
      </text>
    </comment>
    <comment ref="U24" authorId="0">
      <text>
        <r>
          <rPr>
            <sz val="10"/>
            <color rgb="FF000000"/>
            <rFont val="Arial"/>
            <scheme val="minor"/>
            <charset val="1"/>
          </rPr>
          <t>======
ID#AAAA21ciNX4
Auteur importé    (2023-08-15 19:40:23)
Mansour
	-Eddy D.A.</t>
        </r>
      </text>
    </comment>
    <comment ref="Z24" authorId="0">
      <text>
        <r>
          <rPr>
            <sz val="10"/>
            <color rgb="FF000000"/>
            <rFont val="Arial"/>
            <scheme val="minor"/>
            <charset val="1"/>
          </rPr>
          <t>======
ID#AAAA21ciNfs
Auteur importé    (2023-08-15 19:40:23)
Camille
	-Eddy D.A.</t>
        </r>
      </text>
    </comment>
    <comment ref="Z28" authorId="0">
      <text>
        <r>
          <rPr>
            <sz val="10"/>
            <color rgb="FF000000"/>
            <rFont val="Arial"/>
            <scheme val="minor"/>
            <charset val="1"/>
          </rPr>
          <t>======
ID#AAAA21ciNWQ
Auteur importé    (2023-08-15 19:40:23)
Infographiste (Yves)
	-Eddy D.A.</t>
        </r>
      </text>
    </comment>
    <comment ref="S29" authorId="0">
      <text>
        <r>
          <rPr>
            <sz val="10"/>
            <color rgb="FF000000"/>
            <rFont val="Arial"/>
            <scheme val="minor"/>
            <charset val="1"/>
          </rPr>
          <t>======
ID#AAAA21ciNcc
Auteur importé    (2023-08-15 19:40:23)
Institut Fr
	-Eddy D.A.</t>
        </r>
      </text>
    </comment>
    <comment ref="S30" authorId="0">
      <text>
        <r>
          <rPr>
            <sz val="10"/>
            <color rgb="FF000000"/>
            <rFont val="Arial"/>
            <scheme val="minor"/>
            <charset val="1"/>
          </rPr>
          <t>======
ID#AAAA21ciNWU
Auteur importé    (2023-08-15 19:40:23)
Ruinart Mickael + Chesseburger Alex Patalaki (booking)
	-Eddy D.A.</t>
        </r>
      </text>
    </comment>
    <comment ref="Z30" authorId="0">
      <text>
        <r>
          <rPr>
            <sz val="10"/>
            <color rgb="FF000000"/>
            <rFont val="Arial"/>
            <scheme val="minor"/>
            <charset val="1"/>
          </rPr>
          <t>======
ID#AAAA21ciNdA
Auteur importé    (2023-08-15 19:40:23)
Team DJ Kelly
	-Eddy D.A.</t>
        </r>
      </text>
    </comment>
    <comment ref="Z31" authorId="0">
      <text>
        <r>
          <rPr>
            <sz val="10"/>
            <color rgb="FF000000"/>
            <rFont val="Arial"/>
            <scheme val="minor"/>
            <charset val="1"/>
          </rPr>
          <t>======
ID#AAAA21ciNgk
Auteur importé    (2023-08-15 19:40:23)
Camille
	-Eddy D.A.</t>
        </r>
      </text>
    </comment>
    <comment ref="H32" authorId="0">
      <text>
        <r>
          <rPr>
            <sz val="10"/>
            <color rgb="FF000000"/>
            <rFont val="Arial"/>
            <scheme val="minor"/>
            <charset val="1"/>
          </rPr>
          <t>======
ID#AAAA21ciNdg
Auteur importé    (2023-08-15 19:40:23)
J. Ayassor
	-Eddy D.A.</t>
        </r>
      </text>
    </comment>
    <comment ref="S32" authorId="0">
      <text>
        <r>
          <rPr>
            <sz val="10"/>
            <color rgb="FF000000"/>
            <rFont val="Arial"/>
            <scheme val="minor"/>
            <charset val="1"/>
          </rPr>
          <t>======
ID#AAAA21ciNZ8
Auteur importé    (2023-08-15 19:40:23)
Jospin
	-Eddy D.A.</t>
        </r>
      </text>
    </comment>
    <comment ref="Z32" authorId="0">
      <text>
        <r>
          <rPr>
            <sz val="10"/>
            <color rgb="FF000000"/>
            <rFont val="Arial"/>
            <scheme val="minor"/>
            <charset val="1"/>
          </rPr>
          <t>======
ID#AAAA21ciNXw
Auteur importé    (2023-08-15 19:40:23)
Birthday JK Lion
	-Eddy D.A.</t>
        </r>
      </text>
    </comment>
    <comment ref="Z33" authorId="0">
      <text>
        <r>
          <rPr>
            <sz val="10"/>
            <color rgb="FF000000"/>
            <rFont val="Arial"/>
            <scheme val="minor"/>
            <charset val="1"/>
          </rPr>
          <t>======
ID#AAAA21ciNeY
Auteur importé    (2023-08-15 19:40:23)
JK Lion Birthday + Gal Dem DJ
	-Eddy D.A.</t>
        </r>
      </text>
    </comment>
  </commentList>
</comments>
</file>

<file path=xl/comments5.xml><?xml version="1.0" encoding="utf-8"?>
<comments xmlns="http://schemas.openxmlformats.org/spreadsheetml/2006/main">
  <authors>
    <author/>
  </authors>
  <commentList>
    <comment ref="Y4" authorId="0">
      <text>
        <r>
          <rPr>
            <sz val="10"/>
            <color rgb="FF000000"/>
            <rFont val="Arial"/>
            <scheme val="minor"/>
            <charset val="1"/>
          </rPr>
          <t>======
ID#AAAA21ciNfE
Auteur importé    (2023-08-15 19:40:23)
JK Lion
	-Eddy D.A.</t>
        </r>
      </text>
    </comment>
    <comment ref="Y6" authorId="0">
      <text>
        <r>
          <rPr>
            <sz val="10"/>
            <color rgb="FF000000"/>
            <rFont val="Arial"/>
            <scheme val="minor"/>
            <charset val="1"/>
          </rPr>
          <t>======
ID#AAAA21ciNa0
Auteur importé    (2023-08-15 19:40:23)
Gars logiciel
	-Eddy D.A.</t>
        </r>
      </text>
    </comment>
    <comment ref="P7" authorId="0">
      <text>
        <r>
          <rPr>
            <sz val="10"/>
            <color rgb="FF000000"/>
            <rFont val="Arial"/>
            <scheme val="minor"/>
            <charset val="1"/>
          </rPr>
          <t>======
ID#AAAA21ciNhk
Auteur importé    (2023-08-15 19:40:23)
Conso Pheno
	-Eddy D.A.</t>
        </r>
      </text>
    </comment>
    <comment ref="S7" authorId="0">
      <text>
        <r>
          <rPr>
            <sz val="10"/>
            <color rgb="FF000000"/>
            <rFont val="Arial"/>
            <scheme val="minor"/>
            <charset val="1"/>
          </rPr>
          <t>======
ID#AAAA21ciNgA
Auteur importé    (2023-08-15 19:40:23)
Jospin
	-Eddy D.A.</t>
        </r>
      </text>
    </comment>
    <comment ref="Y7" authorId="0">
      <text>
        <r>
          <rPr>
            <sz val="10"/>
            <color rgb="FF000000"/>
            <rFont val="Arial"/>
            <scheme val="minor"/>
            <charset val="1"/>
          </rPr>
          <t>======
ID#AAAA21ciNiQ
Auteur importé    (2023-08-15 19:40:23)
DJ Jude
	-Eddy D.A.</t>
        </r>
      </text>
    </comment>
    <comment ref="Y8" authorId="0">
      <text>
        <r>
          <rPr>
            <sz val="10"/>
            <color rgb="FF000000"/>
            <rFont val="Arial"/>
            <scheme val="minor"/>
            <charset val="1"/>
          </rPr>
          <t>======
ID#AAAA21ciNZ0
Auteur importé    (2023-08-15 19:40:23)
Camille
	-Eddy D.A.</t>
        </r>
      </text>
    </comment>
    <comment ref="S9" authorId="0">
      <text>
        <r>
          <rPr>
            <sz val="10"/>
            <color rgb="FF000000"/>
            <rFont val="Arial"/>
            <scheme val="minor"/>
            <charset val="1"/>
          </rPr>
          <t>======
ID#AAAA21ciNbA
Auteur importé    (2023-08-15 19:40:23)
Marc
	-Eddy D.A.</t>
        </r>
      </text>
    </comment>
    <comment ref="S12" authorId="0">
      <text>
        <r>
          <rPr>
            <sz val="10"/>
            <color rgb="FF000000"/>
            <rFont val="Arial"/>
            <scheme val="minor"/>
            <charset val="1"/>
          </rPr>
          <t>======
ID#AAAA21ciNfk
Auteur importé    (2023-08-15 19:40:23)
Jospin
	-Eddy D.A.</t>
        </r>
      </text>
    </comment>
    <comment ref="T12" authorId="0">
      <text>
        <r>
          <rPr>
            <sz val="10"/>
            <color rgb="FF000000"/>
            <rFont val="Arial"/>
            <scheme val="minor"/>
            <charset val="1"/>
          </rPr>
          <t>======
ID#AAAA21ciNV4
Auteur importé    (2023-08-15 19:40:23)
Julio Teko
	-Eddy D.A.</t>
        </r>
      </text>
    </comment>
    <comment ref="U12" authorId="0">
      <text>
        <r>
          <rPr>
            <sz val="10"/>
            <color rgb="FF000000"/>
            <rFont val="Arial"/>
            <scheme val="minor"/>
            <charset val="1"/>
          </rPr>
          <t>======
ID#AAAA21ciNf0
Auteur importé    (2023-08-15 19:40:23)
Gars mairie
	-Eddy D.A.</t>
        </r>
      </text>
    </comment>
    <comment ref="Y13" authorId="0">
      <text>
        <r>
          <rPr>
            <sz val="10"/>
            <color rgb="FF000000"/>
            <rFont val="Arial"/>
            <scheme val="minor"/>
            <charset val="1"/>
          </rPr>
          <t>======
ID#AAAA21ciNbE
Auteur importé    (2023-08-15 19:40:23)
Infographiste
	-Eddy D.A.</t>
        </r>
      </text>
    </comment>
    <comment ref="Y14" authorId="0">
      <text>
        <r>
          <rPr>
            <sz val="10"/>
            <color rgb="FF000000"/>
            <rFont val="Arial"/>
            <scheme val="minor"/>
            <charset val="1"/>
          </rPr>
          <t>======
ID#AAAA21ciNU0
Auteur importé    (2023-08-15 19:40:23)
Team BBrave
	-Eddy D.A.</t>
        </r>
      </text>
    </comment>
    <comment ref="Y15" authorId="0">
      <text>
        <r>
          <rPr>
            <sz val="10"/>
            <color rgb="FF000000"/>
            <rFont val="Arial"/>
            <scheme val="minor"/>
            <charset val="1"/>
          </rPr>
          <t>======
ID#AAAA21ciNe4
Auteur importé    (2023-08-15 19:40:23)
Camille
	-Eddy D.A.</t>
        </r>
      </text>
    </comment>
    <comment ref="S18" authorId="0">
      <text>
        <r>
          <rPr>
            <sz val="10"/>
            <color rgb="FF000000"/>
            <rFont val="Arial"/>
            <scheme val="minor"/>
            <charset val="1"/>
          </rPr>
          <t>======
ID#AAAA21ciNhQ
Auteur importé    (2023-08-15 19:40:23)
Jospin
	-Eddy D.A.</t>
        </r>
      </text>
    </comment>
    <comment ref="U21" authorId="0">
      <text>
        <r>
          <rPr>
            <sz val="10"/>
            <color rgb="FF000000"/>
            <rFont val="Arial"/>
            <scheme val="minor"/>
            <charset val="1"/>
          </rPr>
          <t>======
ID#AAAA21ciNeQ
Auteur importé    (2023-08-15 19:40:23)
Jack Daniel's pour Karl et JK
	-Eddy D.A.</t>
        </r>
      </text>
    </comment>
    <comment ref="Y22" authorId="0">
      <text>
        <r>
          <rPr>
            <sz val="10"/>
            <color rgb="FF000000"/>
            <rFont val="Arial"/>
            <scheme val="minor"/>
            <charset val="1"/>
          </rPr>
          <t>======
ID#AAAA21ciNZ4
Auteur importé    (2023-08-15 19:40:23)
Camille
	-Eddy D.A.</t>
        </r>
      </text>
    </comment>
    <comment ref="H23" authorId="0">
      <text>
        <r>
          <rPr>
            <sz val="10"/>
            <color rgb="FF000000"/>
            <rFont val="Arial"/>
            <scheme val="minor"/>
            <charset val="1"/>
          </rPr>
          <t>======
ID#AAAA21ciNfc
Auteur importé    (2023-08-15 19:40:23)
Jeanne
	-Eddy D.A.</t>
        </r>
      </text>
    </comment>
    <comment ref="S23" authorId="0">
      <text>
        <r>
          <rPr>
            <sz val="10"/>
            <color rgb="FF000000"/>
            <rFont val="Arial"/>
            <scheme val="minor"/>
            <charset val="1"/>
          </rPr>
          <t>======
ID#AAAA21ciNYo
Auteur importé    (2023-08-15 19:40:23)
Jospin
	-Eddy D.A.</t>
        </r>
      </text>
    </comment>
    <comment ref="S24" authorId="0">
      <text>
        <r>
          <rPr>
            <sz val="10"/>
            <color rgb="FF000000"/>
            <rFont val="Arial"/>
            <scheme val="minor"/>
            <charset val="1"/>
          </rPr>
          <t>======
ID#AAAA21ciNcg
Auteur importé    (2023-08-15 19:40:23)
JK
	-Eddy D.A.</t>
        </r>
      </text>
    </comment>
    <comment ref="H25" authorId="0">
      <text>
        <r>
          <rPr>
            <sz val="10"/>
            <color rgb="FF000000"/>
            <rFont val="Arial"/>
            <scheme val="minor"/>
            <charset val="1"/>
          </rPr>
          <t>======
ID#AAAA21ciNYc
Auteur importé    (2023-08-15 19:40:23)
20 000 (Olivier)
30 000 (Adebayor Team)
	-Eddy D.A.</t>
        </r>
      </text>
    </comment>
    <comment ref="V27" authorId="0">
      <text>
        <r>
          <rPr>
            <sz val="10"/>
            <color rgb="FF000000"/>
            <rFont val="Arial"/>
            <scheme val="minor"/>
            <charset val="1"/>
          </rPr>
          <t>======
ID#AAAA21ciNWY
Auteur importé    (2023-08-15 19:40:23)
5 500 + Offre de 27 500 (1 Margarita + 2 Redbull + 3 Shishas) à Adebayor)
	-Eddy D.A.</t>
        </r>
      </text>
    </comment>
    <comment ref="Y28" authorId="0">
      <text>
        <r>
          <rPr>
            <sz val="10"/>
            <color rgb="FF000000"/>
            <rFont val="Arial"/>
            <scheme val="minor"/>
            <charset val="1"/>
          </rPr>
          <t>======
ID#AAAA21ciNUs
Auteur importé    (2023-08-15 19:40:23)
DJ Saad
	-Eddy D.A.</t>
        </r>
      </text>
    </comment>
    <comment ref="R29" authorId="0">
      <text>
        <r>
          <rPr>
            <sz val="10"/>
            <color rgb="FF000000"/>
            <rFont val="Arial"/>
            <scheme val="minor"/>
            <charset val="1"/>
          </rPr>
          <t>======
ID#AAAA21ciNaw
Auteur importé    (2023-08-15 19:40:23)
Mansour (1 Hennessy VSOP + 2 Redbull)
	-Eddy D.A.</t>
        </r>
      </text>
    </comment>
    <comment ref="Y29" authorId="0">
      <text>
        <r>
          <rPr>
            <sz val="10"/>
            <color rgb="FF000000"/>
            <rFont val="Arial"/>
            <scheme val="minor"/>
            <charset val="1"/>
          </rPr>
          <t>======
ID#AAAA21ciNcU
Auteur importé    (2023-08-15 19:40:23)
Camille
	-Eddy D.A.</t>
        </r>
      </text>
    </comment>
    <comment ref="V30" authorId="0">
      <text>
        <r>
          <rPr>
            <sz val="10"/>
            <color rgb="FF000000"/>
            <rFont val="Arial"/>
            <scheme val="minor"/>
            <charset val="1"/>
          </rPr>
          <t>======
ID#AAAA21ciNYw
Auteur importé    (2023-08-15 19:40:23)
4 000 + Offre salle: 4 Tequila rails
	-Eddy D.A.</t>
        </r>
      </text>
    </comment>
    <comment ref="S31" authorId="0">
      <text>
        <r>
          <rPr>
            <sz val="10"/>
            <color rgb="FF000000"/>
            <rFont val="Arial"/>
            <scheme val="minor"/>
            <charset val="1"/>
          </rPr>
          <t>======
ID#AAAA21ciNa4
Auteur importé    (2023-08-15 19:40:23)
Marc
	-Eddy D.A.</t>
        </r>
      </text>
    </comment>
    <comment ref="V31" authorId="0">
      <text>
        <r>
          <rPr>
            <sz val="10"/>
            <color rgb="FF000000"/>
            <rFont val="Arial"/>
            <scheme val="minor"/>
            <charset val="1"/>
          </rPr>
          <t>======
ID#AAAA21ciNiY
Auteur importé    (2023-08-15 19:40:23)
3 500 + 20 000 (2 Tequila Rails pour salle)
	-Eddy D.A.</t>
        </r>
      </text>
    </comment>
    <comment ref="S32" authorId="0">
      <text>
        <r>
          <rPr>
            <sz val="10"/>
            <color rgb="FF000000"/>
            <rFont val="Arial"/>
            <scheme val="minor"/>
            <charset val="1"/>
          </rPr>
          <t>======
ID#AAAA21ciNXQ
Auteur importé    (2023-08-15 19:40:23)
Ornella
	-Eddy D.A.</t>
        </r>
      </text>
    </comment>
    <comment ref="Y32" authorId="0">
      <text>
        <r>
          <rPr>
            <sz val="10"/>
            <color rgb="FF000000"/>
            <rFont val="Arial"/>
            <scheme val="minor"/>
            <charset val="1"/>
          </rPr>
          <t>======
ID#AAAA21ciNWE
Auteur importé    (2023-08-15 19:40:23)
Team JK + Lollicue
	-Eddy D.A.</t>
        </r>
      </text>
    </comment>
    <comment ref="AM32" authorId="0">
      <text>
        <r>
          <rPr>
            <sz val="10"/>
            <color rgb="FF000000"/>
            <rFont val="Arial"/>
            <scheme val="minor"/>
            <charset val="1"/>
          </rPr>
          <t>======
ID#AAAA21ciNhU
Auteur importé    (2023-08-15 19:40:23)
1 Maison Castel Anniversaire Juliette
	-Eddy D.A.</t>
        </r>
      </text>
    </comment>
  </commentList>
</comments>
</file>

<file path=xl/comments6.xml><?xml version="1.0" encoding="utf-8"?>
<comments xmlns="http://schemas.openxmlformats.org/spreadsheetml/2006/main">
  <authors>
    <author/>
  </authors>
  <commentList>
    <comment ref="S3" authorId="0">
      <text>
        <r>
          <rPr>
            <sz val="10"/>
            <color rgb="FF000000"/>
            <rFont val="Arial"/>
            <scheme val="minor"/>
            <charset val="1"/>
          </rPr>
          <t>======
ID#AAAA21ciNh0
Auteur importé    (2023-08-15 19:40:23)
Jospin
	-Eddy D.A.</t>
        </r>
      </text>
    </comment>
    <comment ref="H4" authorId="0">
      <text>
        <r>
          <rPr>
            <sz val="10"/>
            <color rgb="FF000000"/>
            <rFont val="Arial"/>
            <scheme val="minor"/>
            <charset val="1"/>
          </rPr>
          <t>======
ID#AAAA21ciNhc
Auteur importé    (2023-08-15 19:40:23)
Différence paiement facture HS/A
	-Eddy D.A.</t>
        </r>
      </text>
    </comment>
    <comment ref="S4" authorId="0">
      <text>
        <r>
          <rPr>
            <sz val="10"/>
            <color rgb="FF000000"/>
            <rFont val="Arial"/>
            <scheme val="minor"/>
            <charset val="1"/>
          </rPr>
          <t>======
ID#AAAA21ciNiE
Auteur importé    (2023-08-15 19:40:23)
JK
	-Eddy D.A.</t>
        </r>
      </text>
    </comment>
    <comment ref="Y4" authorId="0">
      <text>
        <r>
          <rPr>
            <sz val="10"/>
            <color rgb="FF000000"/>
            <rFont val="Arial"/>
            <scheme val="minor"/>
            <charset val="1"/>
          </rPr>
          <t>======
ID#AAAA21ciNho
Auteur importé    (2023-08-15 19:40:23)
Aren B
	-Eddy D.A.</t>
        </r>
      </text>
    </comment>
    <comment ref="S5" authorId="0">
      <text>
        <r>
          <rPr>
            <sz val="10"/>
            <color rgb="FF000000"/>
            <rFont val="Arial"/>
            <scheme val="minor"/>
            <charset val="1"/>
          </rPr>
          <t>======
ID#AAAA21ciNb4
Auteur importé    (2023-08-15 19:40:23)
Seck Karaoké
	-Eddy D.A.</t>
        </r>
      </text>
    </comment>
    <comment ref="Y5" authorId="0">
      <text>
        <r>
          <rPr>
            <sz val="10"/>
            <color rgb="FF000000"/>
            <rFont val="Arial"/>
            <scheme val="minor"/>
            <charset val="1"/>
          </rPr>
          <t>======
ID#AAAA21ciNgI
Auteur importé    (2023-08-15 19:40:23)
Camille
	-Eddy D.A.</t>
        </r>
      </text>
    </comment>
    <comment ref="V7" authorId="0">
      <text>
        <r>
          <rPr>
            <sz val="10"/>
            <color rgb="FF000000"/>
            <rFont val="Arial"/>
            <scheme val="minor"/>
            <charset val="1"/>
          </rPr>
          <t>======
ID#AAAA21ciNe8
Auteur importé    (2023-08-15 19:40:23)
Dont offre à Young Farril = 6000
	-Eddy D.A.</t>
        </r>
      </text>
    </comment>
  </commentList>
</comments>
</file>

<file path=xl/comments7.xml><?xml version="1.0" encoding="utf-8"?>
<comments xmlns="http://schemas.openxmlformats.org/spreadsheetml/2006/main">
  <authors>
    <author/>
  </authors>
  <commentList>
    <comment ref="D45" authorId="0">
      <text>
        <r>
          <rPr>
            <sz val="10"/>
            <color rgb="FF000000"/>
            <rFont val="Arial"/>
            <scheme val="minor"/>
            <charset val="1"/>
          </rPr>
          <t>======
ID#AAAA21ciNZM
Auteur importé    (2023-08-15 19:40:23)
Payé par le Picasso
	-Latif Adeothy</t>
        </r>
      </text>
    </comment>
    <comment ref="F54" authorId="0">
      <text>
        <r>
          <rPr>
            <sz val="10"/>
            <color rgb="FF000000"/>
            <rFont val="Arial"/>
            <scheme val="minor"/>
            <charset val="1"/>
          </rPr>
          <t>======
ID#AAAA21ciNVk
Auteur importé    (2023-08-15 19:40:23)
Tonio
	-Eddy D.A.</t>
        </r>
      </text>
    </comment>
    <comment ref="H54" authorId="0">
      <text>
        <r>
          <rPr>
            <sz val="10"/>
            <color rgb="FF000000"/>
            <rFont val="Arial"/>
            <scheme val="minor"/>
            <charset val="1"/>
          </rPr>
          <t>======
ID#AAAA21ciNgQ
Auteur importé    (2023-08-15 19:40:23)
Thierry
	-Eddy D.A.</t>
        </r>
      </text>
    </comment>
    <comment ref="A61" authorId="0">
      <text>
        <r>
          <rPr>
            <sz val="10"/>
            <color rgb="FF000000"/>
            <rFont val="Arial"/>
            <scheme val="minor"/>
            <charset val="1"/>
          </rPr>
          <t>======
ID#AAAA21ciNX0
Auteur importé    (2023-08-15 19:40:23)
- Team DRINK 
- Team EAT
- Team SMOKE
	-Latif Adeothy</t>
        </r>
      </text>
    </comment>
  </commentList>
</comments>
</file>

<file path=xl/comments8.xml><?xml version="1.0" encoding="utf-8"?>
<comments xmlns="http://schemas.openxmlformats.org/spreadsheetml/2006/main">
  <authors>
    <author/>
  </authors>
  <commentList>
    <comment ref="BI1" authorId="0">
      <text>
        <r>
          <rPr>
            <sz val="10"/>
            <color rgb="FF000000"/>
            <rFont val="Arial"/>
            <scheme val="minor"/>
            <charset val="1"/>
          </rPr>
          <t>======
ID#AAAA21ciNX0
Auteur importé    (2023-08-15 19:40:23)
- Team DRINK 
- Team EAT
- Team SMOKE
	-Latif Adeothy</t>
        </r>
      </text>
    </comment>
    <comment ref="AS4" authorId="0">
      <text>
        <r>
          <rPr>
            <sz val="10"/>
            <color rgb="FF000000"/>
            <rFont val="Arial"/>
            <scheme val="minor"/>
            <charset val="1"/>
          </rPr>
          <t>======
ID#AAAA21ciNZM
Auteur importé    (2023-08-15 19:40:23)
Payé par le Picasso
	-Latif Adeothy</t>
        </r>
      </text>
    </comment>
    <comment ref="BB6" authorId="0">
      <text>
        <r>
          <rPr>
            <sz val="10"/>
            <color rgb="FF000000"/>
            <rFont val="Arial"/>
            <scheme val="minor"/>
            <charset val="1"/>
          </rPr>
          <t>======
ID#AAAA21ciNVk
Auteur importé    (2023-08-15 19:40:23)
Tonio
	-Eddy D.A.</t>
        </r>
      </text>
    </comment>
    <comment ref="BB8" authorId="0">
      <text>
        <r>
          <rPr>
            <sz val="10"/>
            <color rgb="FF000000"/>
            <rFont val="Arial"/>
            <scheme val="minor"/>
            <charset val="1"/>
          </rPr>
          <t>======
ID#AAAA21ciNgQ
Auteur importé    (2023-08-15 19:40:23)
Thierry
	-Eddy D.A.</t>
        </r>
      </text>
    </comment>
  </commentList>
</comments>
</file>

<file path=xl/sharedStrings.xml><?xml version="1.0" encoding="utf-8"?>
<sst xmlns="http://schemas.openxmlformats.org/spreadsheetml/2006/main" count="988" uniqueCount="280">
  <si>
    <t>Analyse des comptes</t>
  </si>
  <si>
    <t>Historique</t>
  </si>
  <si>
    <t>Avril</t>
  </si>
  <si>
    <t>Mai</t>
  </si>
  <si>
    <t>Juin</t>
  </si>
  <si>
    <t>Juillet</t>
  </si>
  <si>
    <t>Aout</t>
  </si>
  <si>
    <t>Septembre</t>
  </si>
  <si>
    <t>Octobre</t>
  </si>
  <si>
    <t>Novembre</t>
  </si>
  <si>
    <t>Compte de resultat</t>
  </si>
  <si>
    <t>Chiffre d'affaires</t>
  </si>
  <si>
    <t>Var%</t>
  </si>
  <si>
    <t>Coûts des produits vendus</t>
  </si>
  <si>
    <t>Marge brute</t>
  </si>
  <si>
    <t>Cachet</t>
  </si>
  <si>
    <t>Cash Power</t>
  </si>
  <si>
    <t>Marketing et Administration</t>
  </si>
  <si>
    <t>Charges du personnel</t>
  </si>
  <si>
    <t>Autres</t>
  </si>
  <si>
    <t>OPEX</t>
  </si>
  <si>
    <t>Resultat d'exploitation</t>
  </si>
  <si>
    <t>Charges d'interets</t>
  </si>
  <si>
    <t>Resultat avant Impôts</t>
  </si>
  <si>
    <t>Taxes</t>
  </si>
  <si>
    <t>Resultat net comptable</t>
  </si>
  <si>
    <t>Flux de tresorerie</t>
  </si>
  <si>
    <t>Flux d'exploitation</t>
  </si>
  <si>
    <t>Tresorerie net d'exploitation</t>
  </si>
  <si>
    <t/>
  </si>
  <si>
    <t>Flux d'investissement</t>
  </si>
  <si>
    <t>Travaux et equipements</t>
  </si>
  <si>
    <t>Tresorerie net d'investissement</t>
  </si>
  <si>
    <t>Resultat net</t>
  </si>
  <si>
    <t>Variation de la Caisse</t>
  </si>
  <si>
    <t>Working Capital</t>
  </si>
  <si>
    <t>Trésorerie, Fin de Mois</t>
  </si>
  <si>
    <t>Visualisation</t>
  </si>
  <si>
    <t>Répartition CA</t>
  </si>
  <si>
    <t>Montant</t>
  </si>
  <si>
    <t>%</t>
  </si>
  <si>
    <t>DRINK</t>
  </si>
  <si>
    <t>EAT</t>
  </si>
  <si>
    <t>SMOKE</t>
  </si>
  <si>
    <t>TOTAL</t>
  </si>
  <si>
    <t>Ratio</t>
  </si>
  <si>
    <t>Opex ratio</t>
  </si>
  <si>
    <t>Profitabilité</t>
  </si>
  <si>
    <t>Supporting schedule</t>
  </si>
  <si>
    <t>Répartition du CA inital</t>
  </si>
  <si>
    <t>CA DRINK</t>
  </si>
  <si>
    <t>CA EAT</t>
  </si>
  <si>
    <t>CA SMOKE</t>
  </si>
  <si>
    <t>CA TOTAL</t>
  </si>
  <si>
    <t>Répartition du CA corrigé</t>
  </si>
  <si>
    <t>Repartition des charges indirectes</t>
  </si>
  <si>
    <t>Marge brute totale</t>
  </si>
  <si>
    <t>Ratio globale</t>
  </si>
  <si>
    <t>%Marge brute</t>
  </si>
  <si>
    <t>Opex</t>
  </si>
  <si>
    <t>%Opex</t>
  </si>
  <si>
    <t>TOTAL BIERES</t>
  </si>
  <si>
    <t>TOTAL ACCOMPAGNEMENTS</t>
  </si>
  <si>
    <t>CHAMPAGNES</t>
  </si>
  <si>
    <t>TOTAL BURGERS AND SANDWICHES</t>
  </si>
  <si>
    <t>CHICHA</t>
  </si>
  <si>
    <t>TOTAL CHAMPAGNES</t>
  </si>
  <si>
    <t>COGNAC</t>
  </si>
  <si>
    <t>TOTAL CHICHA</t>
  </si>
  <si>
    <t>SOFTS</t>
  </si>
  <si>
    <t>TOTAL COCKTAILS ALCOLISES</t>
  </si>
  <si>
    <t>WHISKY</t>
  </si>
  <si>
    <t>TOTAL COCKTAILS NON ALCOLISES</t>
  </si>
  <si>
    <t>BIERES</t>
  </si>
  <si>
    <t>TOTAL COGNAC</t>
  </si>
  <si>
    <t>COCKTAILS ALCOLISES</t>
  </si>
  <si>
    <t>TOTAL DESSERTS</t>
  </si>
  <si>
    <t>GASTRONOMIE AFRICAINE</t>
  </si>
  <si>
    <t>TOTAL EFFERVESCENT</t>
  </si>
  <si>
    <t>SHOTS ET DIGESTIF</t>
  </si>
  <si>
    <t>TOTAL GASTRONOMIE AFRICAINE</t>
  </si>
  <si>
    <t>PLATS</t>
  </si>
  <si>
    <t>TOTAL GIN</t>
  </si>
  <si>
    <t>BURGERS AND SANDWICHES</t>
  </si>
  <si>
    <t>TOTAL PASTAS</t>
  </si>
  <si>
    <t>VIN BLANC</t>
  </si>
  <si>
    <t>TOTAL PLATS</t>
  </si>
  <si>
    <t>EFFERVESCENT</t>
  </si>
  <si>
    <t>TOTAL RHUM</t>
  </si>
  <si>
    <t>COCKTAILS NON ALCOLISES</t>
  </si>
  <si>
    <t>TOTAL SALADES</t>
  </si>
  <si>
    <t>VIN ROSEE</t>
  </si>
  <si>
    <t>TOTAL SHOTS ET DIGESTIF</t>
  </si>
  <si>
    <t>TAPAS</t>
  </si>
  <si>
    <t>TOTAL SOFTS</t>
  </si>
  <si>
    <t>VIN ROUGE</t>
  </si>
  <si>
    <t>TOTAL SPECIALITES MAISON</t>
  </si>
  <si>
    <t>VODKA</t>
  </si>
  <si>
    <t>TOTAL TAPAS</t>
  </si>
  <si>
    <t>RHUM</t>
  </si>
  <si>
    <t>TOTAL VIN BLANC</t>
  </si>
  <si>
    <t>PASTAS</t>
  </si>
  <si>
    <t>TOTAL VIN ROSEE</t>
  </si>
  <si>
    <t>SALADES</t>
  </si>
  <si>
    <t>TOTAL VIN ROUGE</t>
  </si>
  <si>
    <t>ACCOMPAGNEMENTS</t>
  </si>
  <si>
    <t>TOTAL VODKA</t>
  </si>
  <si>
    <t>GIN</t>
  </si>
  <si>
    <t>TOTAL WHISKY</t>
  </si>
  <si>
    <t>DESSERTS</t>
  </si>
  <si>
    <t>total</t>
  </si>
  <si>
    <t>offre</t>
  </si>
  <si>
    <t>injustifié</t>
  </si>
  <si>
    <t>total corrigé</t>
  </si>
  <si>
    <t>Valeur relative injusifié</t>
  </si>
  <si>
    <t>JOURS</t>
  </si>
  <si>
    <t xml:space="preserve">Date </t>
  </si>
  <si>
    <t>CAISSE</t>
  </si>
  <si>
    <t>GAZ</t>
  </si>
  <si>
    <t xml:space="preserve">MIAMI 228 </t>
  </si>
  <si>
    <t>PICASSO</t>
  </si>
  <si>
    <t>GLACONS</t>
  </si>
  <si>
    <t>MONNAIE</t>
  </si>
  <si>
    <t>CACHETS</t>
  </si>
  <si>
    <t>MARKETING</t>
  </si>
  <si>
    <t>CASH POWER</t>
  </si>
  <si>
    <t>CREDIT TEL</t>
  </si>
  <si>
    <t>INTERNET / TV</t>
  </si>
  <si>
    <t>LOYERS</t>
  </si>
  <si>
    <t>ADMINISTRATIF</t>
  </si>
  <si>
    <t>CONSOMMABLES</t>
  </si>
  <si>
    <t xml:space="preserve">ENTRETIEN </t>
  </si>
  <si>
    <t>TRANSPORT</t>
  </si>
  <si>
    <t>AUTRE</t>
  </si>
  <si>
    <t>EQUIPEMENTS</t>
  </si>
  <si>
    <t>TRAVAUX</t>
  </si>
  <si>
    <t xml:space="preserve">TOTAL DEPENSES </t>
  </si>
  <si>
    <t xml:space="preserve">AVRIL </t>
  </si>
  <si>
    <t>Vendredi</t>
  </si>
  <si>
    <t>samedi</t>
  </si>
  <si>
    <t>dimanche</t>
  </si>
  <si>
    <t>lundi</t>
  </si>
  <si>
    <t>mardi</t>
  </si>
  <si>
    <t>mercredi</t>
  </si>
  <si>
    <t>jeudi</t>
  </si>
  <si>
    <t>vendredi</t>
  </si>
  <si>
    <t xml:space="preserve">Totaux </t>
  </si>
  <si>
    <t>MAI</t>
  </si>
  <si>
    <t>Evol vs M-1</t>
  </si>
  <si>
    <t>JUIN</t>
  </si>
  <si>
    <t>Mardi</t>
  </si>
  <si>
    <t>JUILLET</t>
  </si>
  <si>
    <t xml:space="preserve">Vente cash </t>
  </si>
  <si>
    <t>T-MONEY</t>
  </si>
  <si>
    <t>TPE</t>
  </si>
  <si>
    <t xml:space="preserve">GOZEM </t>
  </si>
  <si>
    <t>CA</t>
  </si>
  <si>
    <t>ACHATS</t>
  </si>
  <si>
    <t>Restant Logique</t>
  </si>
  <si>
    <t>Prélèvements cash</t>
  </si>
  <si>
    <t xml:space="preserve">Diférentiel cash </t>
  </si>
  <si>
    <t>Cash Cumulé</t>
  </si>
  <si>
    <t>CREDIT-OFFRE</t>
  </si>
  <si>
    <t>EDDY</t>
  </si>
  <si>
    <t>HADI</t>
  </si>
  <si>
    <t>LATIF</t>
  </si>
  <si>
    <t>TABOO ED</t>
  </si>
  <si>
    <t xml:space="preserve">TABOO HW </t>
  </si>
  <si>
    <t xml:space="preserve">TABOO LA </t>
  </si>
  <si>
    <t>JOHNNY</t>
  </si>
  <si>
    <t xml:space="preserve">MICKAELA </t>
  </si>
  <si>
    <t>PERSONNEL (-50%)</t>
  </si>
  <si>
    <t xml:space="preserve">DJ GUEST </t>
  </si>
  <si>
    <t>CONSO DJ</t>
  </si>
  <si>
    <t>Caissiers</t>
  </si>
  <si>
    <t>Consos Avril</t>
  </si>
  <si>
    <t>ACHATS PRODUITS</t>
  </si>
  <si>
    <t>MARGE BRUTE</t>
  </si>
  <si>
    <t>Tx MARGE BRUTE</t>
  </si>
  <si>
    <t>CAPEX</t>
  </si>
  <si>
    <t>MARGE NETTE</t>
  </si>
  <si>
    <t>Tx MARGE NETTE</t>
  </si>
  <si>
    <t xml:space="preserve">Coût MO </t>
  </si>
  <si>
    <t>Résultal Net</t>
  </si>
  <si>
    <t>Rentabilité Nette</t>
  </si>
  <si>
    <t>Conso Avril</t>
  </si>
  <si>
    <t>Conso Mai</t>
  </si>
  <si>
    <t xml:space="preserve">Sou-total </t>
  </si>
  <si>
    <t>Coût MO</t>
  </si>
  <si>
    <t>Jours</t>
  </si>
  <si>
    <t>T-MONEY/FLOOZ</t>
  </si>
  <si>
    <t>Restant logique</t>
  </si>
  <si>
    <t xml:space="preserve">Différentiel cash </t>
  </si>
  <si>
    <t>Cash cumulé</t>
  </si>
  <si>
    <t>YVES</t>
  </si>
  <si>
    <t>BAR</t>
  </si>
  <si>
    <t xml:space="preserve">GUESTS </t>
  </si>
  <si>
    <t>DJ DESMO</t>
  </si>
  <si>
    <t>JUSTIN</t>
  </si>
  <si>
    <t>CHRIS</t>
  </si>
  <si>
    <t>JOSIAS</t>
  </si>
  <si>
    <t>DJ VANS</t>
  </si>
  <si>
    <t>ELOM</t>
  </si>
  <si>
    <t>GUILLAUME</t>
  </si>
  <si>
    <t>BRICE</t>
  </si>
  <si>
    <t>BOSCO</t>
  </si>
  <si>
    <t>JEAN-EUDE</t>
  </si>
  <si>
    <t>SHALOM</t>
  </si>
  <si>
    <t>ELECTRO</t>
  </si>
  <si>
    <t>DJ CLAUDE</t>
  </si>
  <si>
    <t>EMMANUEL</t>
  </si>
  <si>
    <t>Jeudi</t>
  </si>
  <si>
    <t>Conso Juin</t>
  </si>
  <si>
    <t>% OPEX / CA</t>
  </si>
  <si>
    <t>Coût M.O</t>
  </si>
  <si>
    <t>% M.O / CA</t>
  </si>
  <si>
    <t>TOTAL CHARGES</t>
  </si>
  <si>
    <t>JULIETTE</t>
  </si>
  <si>
    <t>Conso Juillet</t>
  </si>
  <si>
    <t xml:space="preserve">Total </t>
  </si>
  <si>
    <t>A distribuer</t>
  </si>
  <si>
    <t>Conso Aout</t>
  </si>
  <si>
    <t>STAFF</t>
  </si>
  <si>
    <t>AOUT</t>
  </si>
  <si>
    <t>SEPTEMBRE</t>
  </si>
  <si>
    <t>OCTOBRE</t>
  </si>
  <si>
    <t>NOVEMBRE</t>
  </si>
  <si>
    <t>DÉCEMBRE</t>
  </si>
  <si>
    <t>JANVIER</t>
  </si>
  <si>
    <t xml:space="preserve">SERVEURS </t>
  </si>
  <si>
    <t xml:space="preserve">BARAGBON AFI SHALOM </t>
  </si>
  <si>
    <t>GADO RAISSA</t>
  </si>
  <si>
    <t>Démission</t>
  </si>
  <si>
    <t xml:space="preserve">HOLONOU JULIETTE </t>
  </si>
  <si>
    <t>HOUNKPATI AFINE GISLAINE</t>
  </si>
  <si>
    <t>KPANOUGOU S B BARETIDINE (JEANNE)</t>
  </si>
  <si>
    <t>ADAMA-BIASSI GRACIO</t>
  </si>
  <si>
    <t>AGBOH KOFFI JEAN EUDES</t>
  </si>
  <si>
    <t>SECURITÉS</t>
  </si>
  <si>
    <t xml:space="preserve">AMETEPE YAO </t>
  </si>
  <si>
    <t>NADJOMBE BOGONOU (JULES)</t>
  </si>
  <si>
    <t>MOUZOU AKLESSO (OLIVIER)</t>
  </si>
  <si>
    <t>AGENT DE SÉCURITÉ PARKING/GARDIENNAGE</t>
  </si>
  <si>
    <t>SHISHA</t>
  </si>
  <si>
    <t>KOSSI AYEM BRICE</t>
  </si>
  <si>
    <t xml:space="preserve">ASSEM KOSSI ELOM </t>
  </si>
  <si>
    <t xml:space="preserve">BARMEN </t>
  </si>
  <si>
    <t xml:space="preserve">DOH CHRIS ANDERSON </t>
  </si>
  <si>
    <t>YEVU KODJO GUILLAUME</t>
  </si>
  <si>
    <t xml:space="preserve">CUISINE </t>
  </si>
  <si>
    <t>MEGBENOU MICHELANGE (PLONGE)</t>
  </si>
  <si>
    <t>Licencié</t>
  </si>
  <si>
    <t xml:space="preserve">AMETEPE EXPEDIT </t>
  </si>
  <si>
    <t xml:space="preserve">DEGBE HYPPOLYTE </t>
  </si>
  <si>
    <t xml:space="preserve">TOSSOU KD BOSCO </t>
  </si>
  <si>
    <t>AMOUZOU DADOHOIN (MABELLE)</t>
  </si>
  <si>
    <t xml:space="preserve">CAISSE </t>
  </si>
  <si>
    <t xml:space="preserve">OLADE EMMANUEL </t>
  </si>
  <si>
    <t xml:space="preserve">EKLOU KOSSIVI MAWOUENA JUSTIN </t>
  </si>
  <si>
    <t xml:space="preserve">DJ </t>
  </si>
  <si>
    <t>ALANDE DESIRE (DJ DESMO)</t>
  </si>
  <si>
    <t>MANAGERS</t>
  </si>
  <si>
    <t xml:space="preserve">DOSSAVI JOHNNY </t>
  </si>
  <si>
    <t xml:space="preserve">SERRAGO MICHELLA </t>
  </si>
  <si>
    <t>ÉQUIPE RICO</t>
  </si>
  <si>
    <t>SYLVAIN (FRIGORISTE)</t>
  </si>
  <si>
    <t>SUPPLÉMENTS</t>
  </si>
  <si>
    <t>JOHN (MR PROPRE)</t>
  </si>
  <si>
    <t xml:space="preserve">Libéré </t>
  </si>
  <si>
    <t>THIERRY (COURSIER)</t>
  </si>
  <si>
    <t>KOKOU (ÉLECTRICIEN)</t>
  </si>
  <si>
    <t>YVES/ESPOIR (GRAPHISTE)</t>
  </si>
  <si>
    <t xml:space="preserve">TOTAL </t>
  </si>
  <si>
    <t>Delta vs M-1</t>
  </si>
  <si>
    <t>Coût Main d'Oeuvre / CA (%)</t>
  </si>
  <si>
    <t>Coût MO Transversale</t>
  </si>
  <si>
    <t>Répartition du staff</t>
  </si>
  <si>
    <t xml:space="preserve">DRINK </t>
  </si>
  <si>
    <t>DateDebutMois</t>
  </si>
  <si>
    <t>RH</t>
  </si>
</sst>
</file>

<file path=xl/styles.xml><?xml version="1.0" encoding="utf-8"?>
<styleSheet xmlns="http://schemas.openxmlformats.org/spreadsheetml/2006/main" xmlns:xr9="http://schemas.microsoft.com/office/spreadsheetml/2016/revision9">
  <numFmts count="13">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 numFmtId="179" formatCode="&quot; &quot;* #,##0&quot;   &quot;;&quot;-&quot;* #,##0&quot;   &quot;;&quot; &quot;* &quot;-&quot;??&quot;   &quot;"/>
    <numFmt numFmtId="180" formatCode="d/m/yyyy"/>
    <numFmt numFmtId="181" formatCode="&quot; &quot;* #,##0&quot; &quot;;&quot;-&quot;* #,##0&quot; &quot;;&quot; &quot;* &quot;-&quot;??&quot; &quot;"/>
    <numFmt numFmtId="182" formatCode="0&quot;A&quot;"/>
    <numFmt numFmtId="183" formatCode="0&quot;E&quot;"/>
    <numFmt numFmtId="184" formatCode="#,##0_);\(#,##0\);\-"/>
    <numFmt numFmtId="185" formatCode="_-* #,##0_-;\(#,##0\)_-;_-* &quot;-&quot;_-;_-@"/>
    <numFmt numFmtId="186" formatCode="#,##0_);[Red]\(#,##0\);\-"/>
  </numFmts>
  <fonts count="53">
    <font>
      <sz val="10"/>
      <color rgb="FF000000"/>
      <name val="Arial"/>
      <charset val="134"/>
      <scheme val="minor"/>
    </font>
    <font>
      <b/>
      <sz val="11"/>
      <color rgb="FF000000"/>
      <name val="Calibri"/>
      <charset val="134"/>
    </font>
    <font>
      <sz val="11"/>
      <color rgb="FF000000"/>
      <name val="Calibri"/>
      <charset val="134"/>
    </font>
    <font>
      <b/>
      <i/>
      <sz val="11"/>
      <color rgb="FF000000"/>
      <name val="Calibri"/>
      <charset val="134"/>
    </font>
    <font>
      <b/>
      <sz val="12"/>
      <color rgb="FFFF00FF"/>
      <name val="Calibri"/>
      <charset val="134"/>
    </font>
    <font>
      <b/>
      <sz val="12"/>
      <color rgb="FF000000"/>
      <name val="Calibri"/>
      <charset val="134"/>
    </font>
    <font>
      <sz val="11"/>
      <color rgb="FFFF00FF"/>
      <name val="Calibri"/>
      <charset val="134"/>
    </font>
    <font>
      <i/>
      <sz val="11"/>
      <color rgb="FF000000"/>
      <name val="Calibri"/>
      <charset val="134"/>
    </font>
    <font>
      <b/>
      <i/>
      <sz val="10"/>
      <color rgb="FF000000"/>
      <name val="Calibri"/>
      <charset val="134"/>
    </font>
    <font>
      <b/>
      <sz val="11"/>
      <color rgb="FFFF00FF"/>
      <name val="Calibri"/>
      <charset val="134"/>
    </font>
    <font>
      <sz val="10"/>
      <name val="Arial"/>
      <charset val="134"/>
    </font>
    <font>
      <b/>
      <sz val="11"/>
      <color rgb="FF008080"/>
      <name val="Calibri"/>
      <charset val="134"/>
    </font>
    <font>
      <sz val="11"/>
      <color rgb="FF008080"/>
      <name val="Calibri"/>
      <charset val="134"/>
    </font>
    <font>
      <i/>
      <sz val="10"/>
      <color rgb="FF000000"/>
      <name val="Calibri"/>
      <charset val="134"/>
    </font>
    <font>
      <sz val="12"/>
      <color rgb="FFFF00FF"/>
      <name val="Calibri"/>
      <charset val="134"/>
    </font>
    <font>
      <sz val="10"/>
      <color theme="1"/>
      <name val="Arial"/>
      <charset val="134"/>
    </font>
    <font>
      <sz val="10"/>
      <color theme="1"/>
      <name val="Arial"/>
      <charset val="134"/>
      <scheme val="minor"/>
    </font>
    <font>
      <b/>
      <sz val="10"/>
      <color theme="1"/>
      <name val="Arial"/>
      <charset val="134"/>
    </font>
    <font>
      <b/>
      <sz val="14"/>
      <color theme="0"/>
      <name val="Arial Narrow"/>
      <charset val="134"/>
    </font>
    <font>
      <b/>
      <sz val="11"/>
      <color theme="1"/>
      <name val="Arial Narrow"/>
      <charset val="134"/>
    </font>
    <font>
      <sz val="11"/>
      <color rgb="FF0000FF"/>
      <name val="Arial Narrow"/>
      <charset val="134"/>
    </font>
    <font>
      <sz val="9"/>
      <color theme="1"/>
      <name val="Arial Narrow"/>
      <charset val="134"/>
    </font>
    <font>
      <b/>
      <sz val="9"/>
      <color rgb="FF3A3838"/>
      <name val="Arial Narrow"/>
      <charset val="134"/>
    </font>
    <font>
      <sz val="11"/>
      <color theme="1"/>
      <name val="Arial Narrow"/>
      <charset val="134"/>
    </font>
    <font>
      <sz val="11"/>
      <color theme="1"/>
      <name val="Arial"/>
      <charset val="134"/>
    </font>
    <font>
      <b/>
      <sz val="11"/>
      <color theme="1"/>
      <name val="Arial"/>
      <charset val="134"/>
    </font>
    <font>
      <sz val="12"/>
      <color theme="1"/>
      <name val="Arial"/>
      <charset val="134"/>
    </font>
    <font>
      <b/>
      <sz val="11"/>
      <color theme="0"/>
      <name val="Arial"/>
      <charset val="134"/>
    </font>
    <font>
      <b/>
      <sz val="14"/>
      <color rgb="FFFFFFFF"/>
      <name val="Arial Narrow"/>
      <charset val="134"/>
    </font>
    <font>
      <b/>
      <sz val="12"/>
      <color theme="1"/>
      <name val="Arial Narrow"/>
      <charset val="134"/>
    </font>
    <font>
      <b/>
      <sz val="11"/>
      <color rgb="FF0000FF"/>
      <name val="Arial Narrow"/>
      <charset val="134"/>
    </font>
    <font>
      <sz val="12"/>
      <color theme="1"/>
      <name val="Arial Narrow"/>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rgb="FF000000"/>
      <name val="Arial"/>
      <charset val="1"/>
      <scheme val="minor"/>
    </font>
  </fonts>
  <fills count="66">
    <fill>
      <patternFill patternType="none"/>
    </fill>
    <fill>
      <patternFill patternType="gray125"/>
    </fill>
    <fill>
      <patternFill patternType="solid">
        <fgColor rgb="FFCCCCFF"/>
        <bgColor rgb="FFCCCCFF"/>
      </patternFill>
    </fill>
    <fill>
      <patternFill patternType="solid">
        <fgColor rgb="FF008080"/>
        <bgColor rgb="FF008080"/>
      </patternFill>
    </fill>
    <fill>
      <patternFill patternType="solid">
        <fgColor rgb="FF660066"/>
        <bgColor rgb="FF660066"/>
      </patternFill>
    </fill>
    <fill>
      <patternFill patternType="solid">
        <fgColor rgb="FF008000"/>
        <bgColor rgb="FF008000"/>
      </patternFill>
    </fill>
    <fill>
      <patternFill patternType="solid">
        <fgColor rgb="FF000080"/>
        <bgColor rgb="FF000080"/>
      </patternFill>
    </fill>
    <fill>
      <patternFill patternType="solid">
        <fgColor rgb="FFFF8080"/>
        <bgColor rgb="FFFF8080"/>
      </patternFill>
    </fill>
    <fill>
      <patternFill patternType="solid">
        <fgColor rgb="FFFF00FF"/>
        <bgColor rgb="FFFF00FF"/>
      </patternFill>
    </fill>
    <fill>
      <patternFill patternType="solid">
        <fgColor rgb="FF000000"/>
        <bgColor rgb="FF000000"/>
      </patternFill>
    </fill>
    <fill>
      <patternFill patternType="solid">
        <fgColor rgb="FF0066CC"/>
        <bgColor rgb="FF0066CC"/>
      </patternFill>
    </fill>
    <fill>
      <patternFill patternType="solid">
        <fgColor rgb="FF00FFFF"/>
        <bgColor rgb="FF00FFFF"/>
      </patternFill>
    </fill>
    <fill>
      <patternFill patternType="solid">
        <fgColor rgb="FFFFFF00"/>
        <bgColor rgb="FFFFFF00"/>
      </patternFill>
    </fill>
    <fill>
      <patternFill patternType="solid">
        <fgColor rgb="FF800080"/>
        <bgColor rgb="FF800080"/>
      </patternFill>
    </fill>
    <fill>
      <patternFill patternType="solid">
        <fgColor rgb="FF808000"/>
        <bgColor rgb="FF808000"/>
      </patternFill>
    </fill>
    <fill>
      <patternFill patternType="solid">
        <fgColor rgb="FF800000"/>
        <bgColor rgb="FF800000"/>
      </patternFill>
    </fill>
    <fill>
      <patternFill patternType="solid">
        <fgColor rgb="FFFFFFCC"/>
        <bgColor rgb="FFFFFFCC"/>
      </patternFill>
    </fill>
    <fill>
      <patternFill patternType="solid">
        <fgColor rgb="FFCCFFFF"/>
        <bgColor rgb="FFCCFFFF"/>
      </patternFill>
    </fill>
    <fill>
      <patternFill patternType="solid">
        <fgColor rgb="FFC0C0C0"/>
        <bgColor rgb="FFC0C0C0"/>
      </patternFill>
    </fill>
    <fill>
      <patternFill patternType="solid">
        <fgColor theme="5"/>
        <bgColor theme="5"/>
      </patternFill>
    </fill>
    <fill>
      <patternFill patternType="solid">
        <fgColor theme="9"/>
        <bgColor theme="9"/>
      </patternFill>
    </fill>
    <fill>
      <patternFill patternType="solid">
        <fgColor rgb="FFFF0000"/>
        <bgColor rgb="FFFF0000"/>
      </patternFill>
    </fill>
    <fill>
      <patternFill patternType="solid">
        <fgColor rgb="FFFB99FB"/>
        <bgColor rgb="FFFB99FB"/>
      </patternFill>
    </fill>
    <fill>
      <patternFill patternType="solid">
        <fgColor rgb="FF1E8496"/>
        <bgColor rgb="FF1E8496"/>
      </patternFill>
    </fill>
    <fill>
      <patternFill patternType="solid">
        <fgColor rgb="FF0070C0"/>
        <bgColor rgb="FF0070C0"/>
      </patternFill>
    </fill>
    <fill>
      <patternFill patternType="solid">
        <fgColor rgb="FFFFD965"/>
        <bgColor rgb="FFFFD965"/>
      </patternFill>
    </fill>
    <fill>
      <patternFill patternType="solid">
        <fgColor rgb="FFFEF2CB"/>
        <bgColor rgb="FFFEF2CB"/>
      </patternFill>
    </fill>
    <fill>
      <patternFill patternType="solid">
        <fgColor rgb="FFA8D08D"/>
        <bgColor rgb="FFA8D08D"/>
      </patternFill>
    </fill>
    <fill>
      <patternFill patternType="solid">
        <fgColor rgb="FFF4B083"/>
        <bgColor rgb="FFF4B083"/>
      </patternFill>
    </fill>
    <fill>
      <patternFill patternType="solid">
        <fgColor rgb="FFDEEAF6"/>
        <bgColor rgb="FFDEEAF6"/>
      </patternFill>
    </fill>
    <fill>
      <patternFill patternType="solid">
        <fgColor rgb="FFE7E6E6"/>
        <bgColor rgb="FFE7E6E6"/>
      </patternFill>
    </fill>
    <fill>
      <patternFill patternType="solid">
        <fgColor rgb="FFADB9CA"/>
        <bgColor rgb="FFADB9CA"/>
      </patternFill>
    </fill>
    <fill>
      <patternFill patternType="solid">
        <fgColor rgb="FFF6F69E"/>
        <bgColor rgb="FFF6F69E"/>
      </patternFill>
    </fill>
    <fill>
      <patternFill patternType="solid">
        <fgColor rgb="FF7030A0"/>
        <bgColor rgb="FF7030A0"/>
      </patternFill>
    </fill>
    <fill>
      <patternFill patternType="solid">
        <fgColor rgb="FF1F3864"/>
        <bgColor rgb="FF1F38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FF"/>
      </right>
      <top style="thick">
        <color rgb="FF000000"/>
      </top>
      <bottom/>
      <diagonal/>
    </border>
    <border>
      <left style="thin">
        <color rgb="FF0000FF"/>
      </left>
      <right style="thin">
        <color rgb="FF0000FF"/>
      </right>
      <top style="thick">
        <color rgb="FF000000"/>
      </top>
      <bottom/>
      <diagonal/>
    </border>
    <border>
      <left style="thin">
        <color rgb="FF0000FF"/>
      </left>
      <right style="thin">
        <color rgb="FF0000FF"/>
      </right>
      <top style="thick">
        <color rgb="FF000000"/>
      </top>
      <bottom style="thin">
        <color rgb="FF0000FF"/>
      </bottom>
      <diagonal/>
    </border>
    <border>
      <left style="thick">
        <color rgb="FF000000"/>
      </left>
      <right/>
      <top/>
      <bottom/>
      <diagonal/>
    </border>
    <border>
      <left/>
      <right style="thin">
        <color rgb="FF0000FF"/>
      </right>
      <top style="thin">
        <color rgb="FF0000FF"/>
      </top>
      <bottom style="thin">
        <color rgb="FF0000FF"/>
      </bottom>
      <diagonal/>
    </border>
    <border>
      <left/>
      <right style="thin">
        <color rgb="FF0000FF"/>
      </right>
      <top style="thin">
        <color rgb="FF0000FF"/>
      </top>
      <bottom/>
      <diagonal/>
    </border>
    <border>
      <left style="thin">
        <color rgb="FF0000FF"/>
      </left>
      <right style="thin">
        <color rgb="FF0000FF"/>
      </right>
      <top/>
      <bottom style="thin">
        <color rgb="FF0000FF"/>
      </bottom>
      <diagonal/>
    </border>
    <border>
      <left style="thin">
        <color rgb="FF0000FF"/>
      </left>
      <right style="thin">
        <color rgb="FF0000FF"/>
      </right>
      <top style="thin">
        <color rgb="FF0000FF"/>
      </top>
      <bottom style="thin">
        <color rgb="FF0000FF"/>
      </bottom>
      <diagonal/>
    </border>
    <border>
      <left style="medium">
        <color rgb="FF000000"/>
      </left>
      <right style="medium">
        <color rgb="FF000000"/>
      </right>
      <top style="medium">
        <color rgb="FF000000"/>
      </top>
      <bottom style="thin">
        <color rgb="FF0000FF"/>
      </bottom>
      <diagonal/>
    </border>
    <border>
      <left style="medium">
        <color rgb="FF000000"/>
      </left>
      <right style="medium">
        <color rgb="FF000000"/>
      </right>
      <top style="thin">
        <color rgb="FF0000FF"/>
      </top>
      <bottom style="thick">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thick">
        <color rgb="FF000000"/>
      </bottom>
      <diagonal/>
    </border>
    <border>
      <left style="thin">
        <color rgb="FF000000"/>
      </left>
      <right style="thin">
        <color rgb="FF000000"/>
      </right>
      <top style="medium">
        <color rgb="FF000000"/>
      </top>
      <bottom style="thick">
        <color rgb="FF000000"/>
      </bottom>
      <diagonal/>
    </border>
    <border>
      <left style="thin">
        <color rgb="FF000000"/>
      </left>
      <right style="medium">
        <color rgb="FF000000"/>
      </right>
      <top style="thin">
        <color rgb="FF0000FF"/>
      </top>
      <bottom style="thick">
        <color rgb="FF000000"/>
      </bottom>
      <diagonal/>
    </border>
    <border>
      <left style="medium">
        <color rgb="FF000000"/>
      </left>
      <right style="thick">
        <color rgb="FF000000"/>
      </right>
      <top style="medium">
        <color rgb="FF000000"/>
      </top>
      <bottom style="thick">
        <color rgb="FF000000"/>
      </bottom>
      <diagonal/>
    </border>
    <border>
      <left style="thick">
        <color rgb="FF000000"/>
      </left>
      <right style="medium">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n">
        <color rgb="FF0000FF"/>
      </left>
      <right style="thick">
        <color rgb="FF000000"/>
      </right>
      <top style="thick">
        <color rgb="FF000000"/>
      </top>
      <bottom style="thin">
        <color rgb="FF0000FF"/>
      </bottom>
      <diagonal/>
    </border>
    <border>
      <left style="thin">
        <color rgb="FF0000FF"/>
      </left>
      <right style="thick">
        <color rgb="FF000000"/>
      </right>
      <top style="thin">
        <color rgb="FF0000FF"/>
      </top>
      <bottom style="thin">
        <color rgb="FF0000FF"/>
      </bottom>
      <diagonal/>
    </border>
    <border>
      <left style="thin">
        <color rgb="FF0000FF"/>
      </left>
      <right style="thin">
        <color rgb="FF0000FF"/>
      </right>
      <top style="thin">
        <color rgb="FF0000FF"/>
      </top>
      <bottom/>
      <diagonal/>
    </border>
    <border>
      <left style="thin">
        <color rgb="FF0000FF"/>
      </left>
      <right style="thick">
        <color rgb="FF000000"/>
      </right>
      <top style="thin">
        <color rgb="FF0000FF"/>
      </top>
      <bottom/>
      <diagonal/>
    </border>
    <border>
      <left/>
      <right style="thick">
        <color rgb="FF000000"/>
      </right>
      <top/>
      <bottom/>
      <diagonal/>
    </border>
    <border>
      <left/>
      <right style="thin">
        <color rgb="FF0000FF"/>
      </right>
      <top style="thick">
        <color rgb="FF000000"/>
      </top>
      <bottom style="thin">
        <color rgb="FF0000FF"/>
      </bottom>
      <diagonal/>
    </border>
    <border>
      <left/>
      <right style="thin">
        <color rgb="FF0000FF"/>
      </right>
      <top/>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ck">
        <color rgb="FF000000"/>
      </bottom>
      <diagonal/>
    </border>
    <border>
      <left style="thick">
        <color rgb="FF000000"/>
      </left>
      <right style="thin">
        <color rgb="FF0000FF"/>
      </right>
      <top style="thick">
        <color rgb="FF000000"/>
      </top>
      <bottom style="thin">
        <color rgb="FF0000FF"/>
      </bottom>
      <diagonal/>
    </border>
    <border>
      <left style="thick">
        <color rgb="FF000000"/>
      </left>
      <right style="thin">
        <color rgb="FF0000FF"/>
      </right>
      <top style="thin">
        <color rgb="FF0000FF"/>
      </top>
      <bottom style="thin">
        <color rgb="FF0000FF"/>
      </bottom>
      <diagonal/>
    </border>
    <border>
      <left/>
      <right style="medium">
        <color rgb="FF000000"/>
      </right>
      <top style="medium">
        <color rgb="FF000000"/>
      </top>
      <bottom style="medium">
        <color rgb="FF000000"/>
      </bottom>
      <diagonal/>
    </border>
    <border>
      <left style="medium">
        <color rgb="FF000000"/>
      </left>
      <right style="thin">
        <color rgb="FF0000FF"/>
      </right>
      <top style="thin">
        <color rgb="FF0000FF"/>
      </top>
      <bottom style="thin">
        <color rgb="FF0000FF"/>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n">
        <color rgb="FF0000FF"/>
      </right>
      <top style="thin">
        <color rgb="FF0000FF"/>
      </top>
      <bottom/>
      <diagonal/>
    </border>
    <border>
      <left style="thin">
        <color rgb="FF0000FF"/>
      </left>
      <right/>
      <top style="thin">
        <color rgb="FF0000FF"/>
      </top>
      <bottom style="thin">
        <color rgb="FF0000FF"/>
      </bottom>
      <diagonal/>
    </border>
    <border>
      <left style="thick">
        <color rgb="FF000000"/>
      </left>
      <right style="thin">
        <color rgb="FF0000FF"/>
      </right>
      <top/>
      <bottom/>
      <diagonal/>
    </border>
    <border>
      <left style="medium">
        <color rgb="FF000000"/>
      </left>
      <right style="thin">
        <color rgb="FF000000"/>
      </right>
      <top style="medium">
        <color rgb="FF000000"/>
      </top>
      <bottom style="thin">
        <color rgb="FF000000"/>
      </bottom>
      <diagonal/>
    </border>
    <border>
      <left style="medium">
        <color rgb="FF000000"/>
      </left>
      <right style="thick">
        <color rgb="FF000000"/>
      </right>
      <top style="medium">
        <color rgb="FF000000"/>
      </top>
      <bottom style="thin">
        <color rgb="FF000000"/>
      </bottom>
      <diagonal/>
    </border>
    <border>
      <left style="thin">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right style="thin">
        <color rgb="FF000000"/>
      </right>
      <top style="thick">
        <color rgb="FF000000"/>
      </top>
      <bottom/>
      <diagonal/>
    </border>
    <border>
      <left style="thin">
        <color rgb="FF000000"/>
      </left>
      <right style="thin">
        <color rgb="FF0000FF"/>
      </right>
      <top style="thin">
        <color rgb="FF0000FF"/>
      </top>
      <bottom style="thin">
        <color rgb="FF0000FF"/>
      </bottom>
      <diagonal/>
    </border>
    <border>
      <left style="thin">
        <color rgb="FF000000"/>
      </left>
      <right style="thin">
        <color rgb="FF000000"/>
      </right>
      <top style="thick">
        <color rgb="FF000000"/>
      </top>
      <bottom style="thick">
        <color rgb="FF000000"/>
      </bottom>
      <diagonal/>
    </border>
    <border>
      <left style="thin">
        <color rgb="FF0000FF"/>
      </left>
      <right/>
      <top style="thin">
        <color rgb="FF0000FF"/>
      </top>
      <bottom/>
      <diagonal/>
    </border>
    <border>
      <left style="thick">
        <color rgb="FF000000"/>
      </left>
      <right style="thin">
        <color rgb="FF0000FF"/>
      </right>
      <top/>
      <bottom style="thin">
        <color rgb="FF0000FF"/>
      </bottom>
      <diagonal/>
    </border>
    <border>
      <left style="thin">
        <color rgb="FF0000FF"/>
      </left>
      <right/>
      <top/>
      <bottom style="thin">
        <color rgb="FF0000FF"/>
      </bottom>
      <diagonal/>
    </border>
    <border>
      <left style="thin">
        <color rgb="FF0000FF"/>
      </left>
      <right/>
      <top/>
      <bottom/>
      <diagonal/>
    </border>
    <border>
      <left style="thin">
        <color rgb="FF0000FF"/>
      </left>
      <right/>
      <top style="thick">
        <color rgb="FF000000"/>
      </top>
      <bottom/>
      <diagonal/>
    </border>
    <border>
      <left/>
      <right/>
      <top style="thick">
        <color rgb="FF000000"/>
      </top>
      <bottom/>
      <diagonal/>
    </border>
    <border>
      <left style="medium">
        <color rgb="FF000000"/>
      </left>
      <right style="thick">
        <color rgb="FF000000"/>
      </right>
      <top style="thin">
        <color rgb="FF0000FF"/>
      </top>
      <bottom style="thick">
        <color rgb="FF000000"/>
      </bottom>
      <diagonal/>
    </border>
    <border>
      <left style="thin">
        <color rgb="FF000000"/>
      </left>
      <right style="thick">
        <color rgb="FF000000"/>
      </right>
      <top style="thick">
        <color rgb="FF000000"/>
      </top>
      <bottom style="thin">
        <color rgb="FF0000FF"/>
      </bottom>
      <diagonal/>
    </border>
    <border>
      <left style="thick">
        <color rgb="FF000000"/>
      </left>
      <right style="thick">
        <color rgb="FF000000"/>
      </right>
      <top style="thick">
        <color rgb="FF000000"/>
      </top>
      <bottom style="thin">
        <color rgb="FF0000FF"/>
      </bottom>
      <diagonal/>
    </border>
    <border>
      <left style="thin">
        <color rgb="FF000000"/>
      </left>
      <right style="thick">
        <color rgb="FF000000"/>
      </right>
      <top style="thin">
        <color rgb="FF0000FF"/>
      </top>
      <bottom style="thin">
        <color rgb="FF0000FF"/>
      </bottom>
      <diagonal/>
    </border>
    <border>
      <left style="thick">
        <color rgb="FF000000"/>
      </left>
      <right style="thick">
        <color rgb="FF000000"/>
      </right>
      <top style="thin">
        <color rgb="FF0000FF"/>
      </top>
      <bottom style="thin">
        <color rgb="FF0000FF"/>
      </bottom>
      <diagonal/>
    </border>
    <border>
      <left style="thin">
        <color rgb="FF000000"/>
      </left>
      <right style="thick">
        <color rgb="FF000000"/>
      </right>
      <top style="thin">
        <color rgb="FF0000FF"/>
      </top>
      <bottom style="thick">
        <color rgb="FF000000"/>
      </bottom>
      <diagonal/>
    </border>
    <border>
      <left style="thick">
        <color rgb="FF000000"/>
      </left>
      <right style="thick">
        <color rgb="FF000000"/>
      </right>
      <top style="thin">
        <color rgb="FF0000FF"/>
      </top>
      <bottom style="thick">
        <color rgb="FF000000"/>
      </bottom>
      <diagonal/>
    </border>
    <border>
      <left style="thick">
        <color rgb="FF000000"/>
      </left>
      <right style="medium">
        <color rgb="FF000000"/>
      </right>
      <top style="thick">
        <color rgb="FF000000"/>
      </top>
      <bottom style="thin">
        <color rgb="FF0000FF"/>
      </bottom>
      <diagonal/>
    </border>
    <border>
      <left style="medium">
        <color rgb="FF000000"/>
      </left>
      <right style="thin">
        <color rgb="FF000000"/>
      </right>
      <top style="thick">
        <color rgb="FF000000"/>
      </top>
      <bottom style="thin">
        <color rgb="FF000000"/>
      </bottom>
      <diagonal/>
    </border>
    <border>
      <left style="thick">
        <color rgb="FF000000"/>
      </left>
      <right style="medium">
        <color rgb="FF000000"/>
      </right>
      <top style="thin">
        <color rgb="FF0000FF"/>
      </top>
      <bottom style="thin">
        <color rgb="FF0000FF"/>
      </bottom>
      <diagonal/>
    </border>
    <border>
      <left style="medium">
        <color rgb="FF000000"/>
      </left>
      <right style="thin">
        <color rgb="FF000000"/>
      </right>
      <top style="thin">
        <color rgb="FF000000"/>
      </top>
      <bottom style="thin">
        <color rgb="FF000000"/>
      </bottom>
      <diagonal/>
    </border>
    <border>
      <left style="thick">
        <color rgb="FF000000"/>
      </left>
      <right style="medium">
        <color rgb="FF000000"/>
      </right>
      <top style="thin">
        <color rgb="FF0000FF"/>
      </top>
      <bottom style="thick">
        <color rgb="FF000000"/>
      </bottom>
      <diagonal/>
    </border>
    <border>
      <left style="medium">
        <color rgb="FF000000"/>
      </left>
      <right style="thin">
        <color rgb="FF000000"/>
      </right>
      <top style="thin">
        <color rgb="FF000000"/>
      </top>
      <bottom style="thick">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ck">
        <color rgb="FF000000"/>
      </bottom>
      <diagonal/>
    </border>
    <border>
      <left style="medium">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ck">
        <color rgb="FF000000"/>
      </bottom>
      <diagonal/>
    </border>
    <border>
      <left style="medium">
        <color rgb="FF000000"/>
      </left>
      <right style="thick">
        <color rgb="FF000000"/>
      </right>
      <top style="thick">
        <color rgb="FF000000"/>
      </top>
      <bottom style="thick">
        <color rgb="FF000000"/>
      </bottom>
      <diagonal/>
    </border>
    <border>
      <left style="thick">
        <color rgb="FF000000"/>
      </left>
      <right style="medium">
        <color rgb="FF000000"/>
      </right>
      <top style="thick">
        <color rgb="FF000000"/>
      </top>
      <bottom style="thin">
        <color rgb="FF000000"/>
      </bottom>
      <diagonal/>
    </border>
    <border>
      <left style="thick">
        <color rgb="FF000000"/>
      </left>
      <right style="medium">
        <color rgb="FF000000"/>
      </right>
      <top style="thin">
        <color rgb="FF000000"/>
      </top>
      <bottom style="thin">
        <color rgb="FF000000"/>
      </bottom>
      <diagonal/>
    </border>
    <border>
      <left style="thick">
        <color rgb="FF000000"/>
      </left>
      <right style="medium">
        <color rgb="FF000000"/>
      </right>
      <top style="thin">
        <color rgb="FF000000"/>
      </top>
      <bottom style="thick">
        <color rgb="FF000000"/>
      </bottom>
      <diagonal/>
    </border>
    <border>
      <left style="thick">
        <color rgb="FF000000"/>
      </left>
      <right style="medium">
        <color rgb="FF000000"/>
      </right>
      <top style="thin">
        <color rgb="FF000000"/>
      </top>
      <bottom/>
      <diagonal/>
    </border>
    <border>
      <left style="thick">
        <color rgb="FF000000"/>
      </left>
      <right style="medium">
        <color rgb="FF000000"/>
      </right>
      <top/>
      <bottom style="thick">
        <color rgb="FF000000"/>
      </bottom>
      <diagonal/>
    </border>
    <border>
      <left style="thick">
        <color rgb="FF000000"/>
      </left>
      <right style="thin">
        <color rgb="FF000000"/>
      </right>
      <top style="thin">
        <color rgb="FF0000FF"/>
      </top>
      <bottom style="thin">
        <color rgb="FF000000"/>
      </bottom>
      <diagonal/>
    </border>
    <border>
      <left style="thin">
        <color rgb="FF000000"/>
      </left>
      <right style="thin">
        <color rgb="FF000000"/>
      </right>
      <top style="thin">
        <color rgb="FF0000FF"/>
      </top>
      <bottom style="thin">
        <color rgb="FF000000"/>
      </bottom>
      <diagonal/>
    </border>
    <border>
      <left style="thin">
        <color rgb="FF000000"/>
      </left>
      <right style="medium">
        <color rgb="FF000000"/>
      </right>
      <top style="thin">
        <color rgb="FF0000FF"/>
      </top>
      <bottom style="thin">
        <color rgb="FF000000"/>
      </bottom>
      <diagonal/>
    </border>
    <border>
      <left style="medium">
        <color rgb="FF000000"/>
      </left>
      <right style="thin">
        <color rgb="FF000000"/>
      </right>
      <top style="thin">
        <color rgb="FF0000FF"/>
      </top>
      <bottom style="thin">
        <color rgb="FF000000"/>
      </bottom>
      <diagonal/>
    </border>
    <border>
      <left style="thick">
        <color rgb="FF000000"/>
      </left>
      <right style="medium">
        <color rgb="FF000000"/>
      </right>
      <top/>
      <bottom style="thin">
        <color rgb="FF0000FF"/>
      </bottom>
      <diagonal/>
    </border>
    <border>
      <left style="thin">
        <color rgb="FF000000"/>
      </left>
      <right style="medium">
        <color rgb="FF000000"/>
      </right>
      <top style="thick">
        <color rgb="FF000000"/>
      </top>
      <bottom style="thin">
        <color rgb="FF0000FF"/>
      </bottom>
      <diagonal/>
    </border>
    <border>
      <left style="medium">
        <color rgb="FF000000"/>
      </left>
      <right style="medium">
        <color rgb="FF000000"/>
      </right>
      <top style="thin">
        <color rgb="FF0000FF"/>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style="double">
        <color rgb="FF000000"/>
      </bottom>
      <diagonal/>
    </border>
    <border>
      <left style="thin">
        <color rgb="FF000000"/>
      </left>
      <right/>
      <top style="double">
        <color rgb="FF000000"/>
      </top>
      <bottom style="double">
        <color rgb="FF000000"/>
      </bottom>
      <diagonal/>
    </border>
    <border>
      <left/>
      <right/>
      <top style="double">
        <color rgb="FF000000"/>
      </top>
      <bottom style="double">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177"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35" borderId="124"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25" applyNumberFormat="0" applyFill="0" applyAlignment="0" applyProtection="0">
      <alignment vertical="center"/>
    </xf>
    <xf numFmtId="0" fontId="39" fillId="0" borderId="125" applyNumberFormat="0" applyFill="0" applyAlignment="0" applyProtection="0">
      <alignment vertical="center"/>
    </xf>
    <xf numFmtId="0" fontId="40" fillId="0" borderId="126" applyNumberFormat="0" applyFill="0" applyAlignment="0" applyProtection="0">
      <alignment vertical="center"/>
    </xf>
    <xf numFmtId="0" fontId="40" fillId="0" borderId="0" applyNumberFormat="0" applyFill="0" applyBorder="0" applyAlignment="0" applyProtection="0">
      <alignment vertical="center"/>
    </xf>
    <xf numFmtId="0" fontId="41" fillId="36" borderId="127" applyNumberFormat="0" applyAlignment="0" applyProtection="0">
      <alignment vertical="center"/>
    </xf>
    <xf numFmtId="0" fontId="42" fillId="37" borderId="128" applyNumberFormat="0" applyAlignment="0" applyProtection="0">
      <alignment vertical="center"/>
    </xf>
    <xf numFmtId="0" fontId="43" fillId="37" borderId="127" applyNumberFormat="0" applyAlignment="0" applyProtection="0">
      <alignment vertical="center"/>
    </xf>
    <xf numFmtId="0" fontId="44" fillId="38" borderId="129" applyNumberFormat="0" applyAlignment="0" applyProtection="0">
      <alignment vertical="center"/>
    </xf>
    <xf numFmtId="0" fontId="45" fillId="0" borderId="130" applyNumberFormat="0" applyFill="0" applyAlignment="0" applyProtection="0">
      <alignment vertical="center"/>
    </xf>
    <xf numFmtId="0" fontId="46" fillId="0" borderId="131" applyNumberFormat="0" applyFill="0" applyAlignment="0" applyProtection="0">
      <alignment vertical="center"/>
    </xf>
    <xf numFmtId="0" fontId="47" fillId="39" borderId="0" applyNumberFormat="0" applyBorder="0" applyAlignment="0" applyProtection="0">
      <alignment vertical="center"/>
    </xf>
    <xf numFmtId="0" fontId="48"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50" fillId="45" borderId="0" applyNumberFormat="0" applyBorder="0" applyAlignment="0" applyProtection="0">
      <alignment vertical="center"/>
    </xf>
    <xf numFmtId="0" fontId="50" fillId="46" borderId="0" applyNumberFormat="0" applyBorder="0" applyAlignment="0" applyProtection="0">
      <alignment vertical="center"/>
    </xf>
    <xf numFmtId="0" fontId="51" fillId="47" borderId="0" applyNumberFormat="0" applyBorder="0" applyAlignment="0" applyProtection="0">
      <alignment vertical="center"/>
    </xf>
    <xf numFmtId="0" fontId="51" fillId="48" borderId="0" applyNumberFormat="0" applyBorder="0" applyAlignment="0" applyProtection="0">
      <alignment vertical="center"/>
    </xf>
    <xf numFmtId="0" fontId="50" fillId="49" borderId="0" applyNumberFormat="0" applyBorder="0" applyAlignment="0" applyProtection="0">
      <alignment vertical="center"/>
    </xf>
    <xf numFmtId="0" fontId="50" fillId="50" borderId="0" applyNumberFormat="0" applyBorder="0" applyAlignment="0" applyProtection="0">
      <alignment vertical="center"/>
    </xf>
    <xf numFmtId="0" fontId="51" fillId="51" borderId="0" applyNumberFormat="0" applyBorder="0" applyAlignment="0" applyProtection="0">
      <alignment vertical="center"/>
    </xf>
    <xf numFmtId="0" fontId="51" fillId="52" borderId="0" applyNumberFormat="0" applyBorder="0" applyAlignment="0" applyProtection="0">
      <alignment vertical="center"/>
    </xf>
    <xf numFmtId="0" fontId="50" fillId="53" borderId="0" applyNumberFormat="0" applyBorder="0" applyAlignment="0" applyProtection="0">
      <alignment vertical="center"/>
    </xf>
    <xf numFmtId="0" fontId="50" fillId="54" borderId="0" applyNumberFormat="0" applyBorder="0" applyAlignment="0" applyProtection="0">
      <alignment vertical="center"/>
    </xf>
    <xf numFmtId="0" fontId="51" fillId="55" borderId="0" applyNumberFormat="0" applyBorder="0" applyAlignment="0" applyProtection="0">
      <alignment vertical="center"/>
    </xf>
    <xf numFmtId="0" fontId="51" fillId="56" borderId="0" applyNumberFormat="0" applyBorder="0" applyAlignment="0" applyProtection="0">
      <alignment vertical="center"/>
    </xf>
    <xf numFmtId="0" fontId="50" fillId="57" borderId="0" applyNumberFormat="0" applyBorder="0" applyAlignment="0" applyProtection="0">
      <alignment vertical="center"/>
    </xf>
    <xf numFmtId="0" fontId="50" fillId="58" borderId="0" applyNumberFormat="0" applyBorder="0" applyAlignment="0" applyProtection="0">
      <alignment vertical="center"/>
    </xf>
    <xf numFmtId="0" fontId="51" fillId="59" borderId="0" applyNumberFormat="0" applyBorder="0" applyAlignment="0" applyProtection="0">
      <alignment vertical="center"/>
    </xf>
    <xf numFmtId="0" fontId="51" fillId="60" borderId="0" applyNumberFormat="0" applyBorder="0" applyAlignment="0" applyProtection="0">
      <alignment vertical="center"/>
    </xf>
    <xf numFmtId="0" fontId="50" fillId="61" borderId="0" applyNumberFormat="0" applyBorder="0" applyAlignment="0" applyProtection="0">
      <alignment vertical="center"/>
    </xf>
    <xf numFmtId="0" fontId="50" fillId="62" borderId="0" applyNumberFormat="0" applyBorder="0" applyAlignment="0" applyProtection="0">
      <alignment vertical="center"/>
    </xf>
    <xf numFmtId="0" fontId="51" fillId="63" borderId="0" applyNumberFormat="0" applyBorder="0" applyAlignment="0" applyProtection="0">
      <alignment vertical="center"/>
    </xf>
    <xf numFmtId="0" fontId="51" fillId="64" borderId="0" applyNumberFormat="0" applyBorder="0" applyAlignment="0" applyProtection="0">
      <alignment vertical="center"/>
    </xf>
    <xf numFmtId="0" fontId="50" fillId="65" borderId="0" applyNumberFormat="0" applyBorder="0" applyAlignment="0" applyProtection="0">
      <alignment vertical="center"/>
    </xf>
  </cellStyleXfs>
  <cellXfs count="553">
    <xf numFmtId="0" fontId="0" fillId="0" borderId="0" xfId="0" applyFont="1" applyAlignment="1"/>
    <xf numFmtId="49" fontId="1" fillId="0" borderId="1" xfId="0" applyNumberFormat="1" applyFont="1" applyBorder="1" applyAlignment="1">
      <alignment horizontal="center"/>
    </xf>
    <xf numFmtId="0" fontId="2" fillId="0" borderId="1" xfId="0" applyFont="1" applyBorder="1"/>
    <xf numFmtId="49" fontId="3" fillId="2" borderId="1" xfId="0" applyNumberFormat="1" applyFont="1" applyFill="1" applyBorder="1"/>
    <xf numFmtId="49" fontId="2" fillId="3" borderId="1" xfId="0" applyNumberFormat="1" applyFont="1" applyFill="1" applyBorder="1"/>
    <xf numFmtId="178" fontId="1" fillId="0" borderId="1" xfId="0" applyNumberFormat="1" applyFont="1" applyBorder="1" applyAlignment="1">
      <alignment horizontal="center"/>
    </xf>
    <xf numFmtId="3" fontId="3" fillId="2" borderId="1" xfId="0" applyNumberFormat="1" applyFont="1" applyFill="1" applyBorder="1"/>
    <xf numFmtId="3" fontId="2" fillId="0" borderId="1" xfId="0" applyNumberFormat="1" applyFont="1" applyBorder="1"/>
    <xf numFmtId="9" fontId="3" fillId="2" borderId="1" xfId="0" applyNumberFormat="1" applyFont="1" applyFill="1" applyBorder="1" applyAlignment="1">
      <alignment horizontal="center"/>
    </xf>
    <xf numFmtId="3" fontId="3" fillId="0" borderId="1" xfId="0" applyNumberFormat="1" applyFont="1" applyBorder="1"/>
    <xf numFmtId="49" fontId="3" fillId="0" borderId="1" xfId="0" applyNumberFormat="1" applyFont="1" applyBorder="1"/>
    <xf numFmtId="0" fontId="2" fillId="2" borderId="1" xfId="0" applyFont="1" applyFill="1" applyBorder="1"/>
    <xf numFmtId="49" fontId="2" fillId="4" borderId="1" xfId="0" applyNumberFormat="1" applyFont="1" applyFill="1" applyBorder="1"/>
    <xf numFmtId="0" fontId="3" fillId="0" borderId="1" xfId="0" applyFont="1" applyBorder="1"/>
    <xf numFmtId="4" fontId="2" fillId="0" borderId="1" xfId="0" applyNumberFormat="1" applyFont="1" applyBorder="1"/>
    <xf numFmtId="49" fontId="4" fillId="5" borderId="1" xfId="0" applyNumberFormat="1" applyFont="1" applyFill="1" applyBorder="1"/>
    <xf numFmtId="49" fontId="5" fillId="0" borderId="1" xfId="0" applyNumberFormat="1" applyFont="1" applyBorder="1"/>
    <xf numFmtId="49" fontId="5" fillId="0" borderId="1" xfId="0" applyNumberFormat="1" applyFont="1" applyBorder="1" applyAlignment="1">
      <alignment horizontal="left"/>
    </xf>
    <xf numFmtId="9" fontId="5" fillId="0" borderId="1" xfId="0" applyNumberFormat="1" applyFont="1" applyBorder="1" applyAlignment="1">
      <alignment horizontal="left"/>
    </xf>
    <xf numFmtId="3" fontId="4" fillId="5" borderId="1" xfId="0" applyNumberFormat="1" applyFont="1" applyFill="1" applyBorder="1"/>
    <xf numFmtId="9" fontId="2" fillId="0" borderId="1" xfId="0" applyNumberFormat="1" applyFont="1" applyBorder="1" applyAlignment="1">
      <alignment horizontal="center"/>
    </xf>
    <xf numFmtId="0" fontId="6" fillId="5" borderId="1" xfId="0" applyFont="1" applyFill="1" applyBorder="1"/>
    <xf numFmtId="49" fontId="2" fillId="0" borderId="1" xfId="0" applyNumberFormat="1" applyFont="1" applyBorder="1"/>
    <xf numFmtId="9" fontId="7" fillId="0" borderId="1" xfId="0" applyNumberFormat="1" applyFont="1" applyBorder="1"/>
    <xf numFmtId="9" fontId="2" fillId="0" borderId="1" xfId="0" applyNumberFormat="1" applyFont="1" applyBorder="1"/>
    <xf numFmtId="0" fontId="2" fillId="0" borderId="0" xfId="0" applyFont="1"/>
    <xf numFmtId="49" fontId="1" fillId="0" borderId="2" xfId="0" applyNumberFormat="1" applyFont="1" applyBorder="1" applyAlignment="1">
      <alignment horizontal="center"/>
    </xf>
    <xf numFmtId="179" fontId="2" fillId="0" borderId="3" xfId="0" applyNumberFormat="1" applyFont="1" applyBorder="1"/>
    <xf numFmtId="0" fontId="2" fillId="0" borderId="3" xfId="0" applyFont="1" applyBorder="1" applyAlignment="1">
      <alignment horizontal="center"/>
    </xf>
    <xf numFmtId="179" fontId="1" fillId="0" borderId="3" xfId="0" applyNumberFormat="1" applyFont="1" applyBorder="1"/>
    <xf numFmtId="49" fontId="2" fillId="0" borderId="4" xfId="0" applyNumberFormat="1" applyFont="1" applyBorder="1"/>
    <xf numFmtId="180" fontId="2" fillId="0" borderId="5" xfId="0" applyNumberFormat="1" applyFont="1" applyBorder="1"/>
    <xf numFmtId="179" fontId="2" fillId="3" borderId="5" xfId="0" applyNumberFormat="1" applyFont="1" applyFill="1" applyBorder="1"/>
    <xf numFmtId="179" fontId="2" fillId="0" borderId="5" xfId="0" applyNumberFormat="1" applyFont="1" applyBorder="1"/>
    <xf numFmtId="49" fontId="2" fillId="0" borderId="6" xfId="0" applyNumberFormat="1" applyFont="1" applyBorder="1"/>
    <xf numFmtId="180" fontId="2" fillId="0" borderId="1" xfId="0" applyNumberFormat="1" applyFont="1" applyBorder="1"/>
    <xf numFmtId="179" fontId="2" fillId="6" borderId="1" xfId="0" applyNumberFormat="1" applyFont="1" applyFill="1" applyBorder="1"/>
    <xf numFmtId="179" fontId="2" fillId="3" borderId="1" xfId="0" applyNumberFormat="1" applyFont="1" applyFill="1" applyBorder="1"/>
    <xf numFmtId="179" fontId="2" fillId="0" borderId="1" xfId="0" applyNumberFormat="1" applyFont="1" applyBorder="1"/>
    <xf numFmtId="49" fontId="2" fillId="0" borderId="7" xfId="0" applyNumberFormat="1" applyFont="1" applyBorder="1"/>
    <xf numFmtId="180" fontId="2" fillId="0" borderId="8" xfId="0" applyNumberFormat="1" applyFont="1" applyBorder="1"/>
    <xf numFmtId="179" fontId="2" fillId="3" borderId="8" xfId="0" applyNumberFormat="1" applyFont="1" applyFill="1" applyBorder="1"/>
    <xf numFmtId="179" fontId="2" fillId="0" borderId="8" xfId="0" applyNumberFormat="1" applyFont="1" applyBorder="1"/>
    <xf numFmtId="179" fontId="2" fillId="6" borderId="5" xfId="0" applyNumberFormat="1" applyFont="1" applyFill="1" applyBorder="1"/>
    <xf numFmtId="179" fontId="2" fillId="6" borderId="8" xfId="0" applyNumberFormat="1" applyFont="1" applyFill="1" applyBorder="1"/>
    <xf numFmtId="49" fontId="6" fillId="5" borderId="7" xfId="0" applyNumberFormat="1" applyFont="1" applyFill="1" applyBorder="1"/>
    <xf numFmtId="180" fontId="6" fillId="5" borderId="8" xfId="0" applyNumberFormat="1" applyFont="1" applyFill="1" applyBorder="1"/>
    <xf numFmtId="179" fontId="1" fillId="7" borderId="9" xfId="0" applyNumberFormat="1" applyFont="1" applyFill="1" applyBorder="1" applyAlignment="1">
      <alignment horizontal="center" vertical="center"/>
    </xf>
    <xf numFmtId="49" fontId="1" fillId="7" borderId="9" xfId="0" applyNumberFormat="1" applyFont="1" applyFill="1" applyBorder="1" applyAlignment="1">
      <alignment horizontal="center" vertical="center"/>
    </xf>
    <xf numFmtId="3" fontId="1" fillId="7" borderId="9" xfId="0" applyNumberFormat="1" applyFont="1" applyFill="1" applyBorder="1" applyAlignment="1">
      <alignment horizontal="center" vertical="center"/>
    </xf>
    <xf numFmtId="9" fontId="1" fillId="7" borderId="9" xfId="0" applyNumberFormat="1" applyFont="1" applyFill="1" applyBorder="1" applyAlignment="1">
      <alignment horizontal="center"/>
    </xf>
    <xf numFmtId="49" fontId="1" fillId="7" borderId="9" xfId="0" applyNumberFormat="1" applyFont="1" applyFill="1" applyBorder="1" applyAlignment="1">
      <alignment horizontal="center"/>
    </xf>
    <xf numFmtId="49" fontId="1" fillId="8" borderId="9" xfId="0" applyNumberFormat="1" applyFont="1" applyFill="1" applyBorder="1" applyAlignment="1">
      <alignment horizontal="center" vertical="center"/>
    </xf>
    <xf numFmtId="179" fontId="1" fillId="8" borderId="9" xfId="0" applyNumberFormat="1" applyFont="1" applyFill="1" applyBorder="1" applyAlignment="1">
      <alignment horizontal="center" vertical="center"/>
    </xf>
    <xf numFmtId="179" fontId="1" fillId="0" borderId="10" xfId="0" applyNumberFormat="1" applyFont="1" applyBorder="1" applyAlignment="1">
      <alignment horizontal="center"/>
    </xf>
    <xf numFmtId="0" fontId="2" fillId="0" borderId="11"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9" fontId="8" fillId="8" borderId="9" xfId="0" applyNumberFormat="1" applyFont="1" applyFill="1" applyBorder="1" applyAlignment="1">
      <alignment horizontal="center"/>
    </xf>
    <xf numFmtId="49" fontId="2" fillId="0" borderId="13" xfId="0" applyNumberFormat="1" applyFont="1" applyBorder="1" applyAlignment="1">
      <alignment horizontal="center"/>
    </xf>
    <xf numFmtId="179" fontId="9" fillId="3" borderId="9" xfId="0" applyNumberFormat="1" applyFont="1" applyFill="1" applyBorder="1" applyAlignment="1">
      <alignment horizontal="center" vertical="center"/>
    </xf>
    <xf numFmtId="179" fontId="1" fillId="0" borderId="13" xfId="0" applyNumberFormat="1" applyFont="1" applyBorder="1" applyAlignment="1">
      <alignment horizontal="center"/>
    </xf>
    <xf numFmtId="0" fontId="2" fillId="0" borderId="12" xfId="0" applyFont="1" applyBorder="1"/>
    <xf numFmtId="0" fontId="1" fillId="0" borderId="16" xfId="0" applyFont="1" applyBorder="1"/>
    <xf numFmtId="0" fontId="2" fillId="0" borderId="16" xfId="0" applyFont="1" applyBorder="1"/>
    <xf numFmtId="0" fontId="2" fillId="0" borderId="17" xfId="0" applyFont="1" applyBorder="1"/>
    <xf numFmtId="0" fontId="1" fillId="0" borderId="17" xfId="0" applyFont="1" applyBorder="1"/>
    <xf numFmtId="49" fontId="1" fillId="0" borderId="18" xfId="0" applyNumberFormat="1" applyFont="1" applyBorder="1" applyAlignment="1">
      <alignment horizontal="center"/>
    </xf>
    <xf numFmtId="0" fontId="2" fillId="9" borderId="19" xfId="0" applyFont="1" applyFill="1" applyBorder="1"/>
    <xf numFmtId="49" fontId="1" fillId="0" borderId="20" xfId="0" applyNumberFormat="1" applyFont="1" applyBorder="1" applyAlignment="1">
      <alignment horizontal="center"/>
    </xf>
    <xf numFmtId="179" fontId="2" fillId="0" borderId="21" xfId="0" applyNumberFormat="1" applyFont="1" applyBorder="1"/>
    <xf numFmtId="179" fontId="2" fillId="8" borderId="22" xfId="0" applyNumberFormat="1" applyFont="1" applyFill="1" applyBorder="1" applyAlignment="1">
      <alignment horizontal="center" vertical="center"/>
    </xf>
    <xf numFmtId="179" fontId="2" fillId="8" borderId="23" xfId="0" applyNumberFormat="1" applyFont="1" applyFill="1" applyBorder="1" applyAlignment="1">
      <alignment horizontal="center" vertical="center"/>
    </xf>
    <xf numFmtId="179" fontId="2" fillId="8" borderId="24" xfId="0" applyNumberFormat="1" applyFont="1" applyFill="1" applyBorder="1" applyAlignment="1">
      <alignment horizontal="center" vertical="center"/>
    </xf>
    <xf numFmtId="9" fontId="6" fillId="10" borderId="25" xfId="0" applyNumberFormat="1" applyFont="1" applyFill="1" applyBorder="1" applyAlignment="1">
      <alignment horizontal="left"/>
    </xf>
    <xf numFmtId="49" fontId="1" fillId="0" borderId="21" xfId="0" applyNumberFormat="1" applyFont="1" applyBorder="1" applyAlignment="1">
      <alignment horizontal="center"/>
    </xf>
    <xf numFmtId="9" fontId="2" fillId="0" borderId="5" xfId="0" applyNumberFormat="1" applyFont="1" applyBorder="1"/>
    <xf numFmtId="179" fontId="2" fillId="8" borderId="5" xfId="0" applyNumberFormat="1" applyFont="1" applyFill="1" applyBorder="1" applyAlignment="1">
      <alignment horizontal="center" vertical="center"/>
    </xf>
    <xf numFmtId="179" fontId="2" fillId="2" borderId="5" xfId="0" applyNumberFormat="1" applyFont="1" applyFill="1" applyBorder="1" applyAlignment="1">
      <alignment horizontal="center" vertical="center"/>
    </xf>
    <xf numFmtId="0" fontId="2" fillId="9" borderId="5" xfId="0" applyFont="1" applyFill="1" applyBorder="1"/>
    <xf numFmtId="181" fontId="2" fillId="8" borderId="5" xfId="0" applyNumberFormat="1" applyFont="1" applyFill="1" applyBorder="1" applyAlignment="1">
      <alignment horizontal="center" vertical="center"/>
    </xf>
    <xf numFmtId="179" fontId="2" fillId="8" borderId="1" xfId="0" applyNumberFormat="1" applyFont="1" applyFill="1" applyBorder="1" applyAlignment="1">
      <alignment horizontal="center" vertical="center"/>
    </xf>
    <xf numFmtId="179" fontId="2" fillId="2" borderId="1" xfId="0" applyNumberFormat="1" applyFont="1" applyFill="1" applyBorder="1" applyAlignment="1">
      <alignment horizontal="center" vertical="center"/>
    </xf>
    <xf numFmtId="0" fontId="2" fillId="9" borderId="1" xfId="0" applyFont="1" applyFill="1" applyBorder="1"/>
    <xf numFmtId="181" fontId="2" fillId="8" borderId="1" xfId="0" applyNumberFormat="1" applyFont="1" applyFill="1" applyBorder="1" applyAlignment="1">
      <alignment horizontal="center" vertical="center"/>
    </xf>
    <xf numFmtId="9" fontId="2" fillId="0" borderId="8" xfId="0" applyNumberFormat="1" applyFont="1" applyBorder="1"/>
    <xf numFmtId="179" fontId="2" fillId="8" borderId="8" xfId="0" applyNumberFormat="1" applyFont="1" applyFill="1" applyBorder="1" applyAlignment="1">
      <alignment horizontal="center" vertical="center"/>
    </xf>
    <xf numFmtId="179" fontId="2" fillId="2" borderId="8" xfId="0" applyNumberFormat="1" applyFont="1" applyFill="1" applyBorder="1" applyAlignment="1">
      <alignment horizontal="center" vertical="center"/>
    </xf>
    <xf numFmtId="0" fontId="2" fillId="9" borderId="8" xfId="0" applyFont="1" applyFill="1" applyBorder="1"/>
    <xf numFmtId="181" fontId="2" fillId="8" borderId="8" xfId="0" applyNumberFormat="1" applyFont="1" applyFill="1" applyBorder="1" applyAlignment="1">
      <alignment horizontal="center" vertical="center"/>
    </xf>
    <xf numFmtId="0" fontId="2" fillId="8" borderId="8" xfId="0" applyFont="1" applyFill="1" applyBorder="1" applyAlignment="1">
      <alignment horizontal="center" vertical="center"/>
    </xf>
    <xf numFmtId="179" fontId="1" fillId="7" borderId="9" xfId="0" applyNumberFormat="1" applyFont="1" applyFill="1" applyBorder="1"/>
    <xf numFmtId="0" fontId="2" fillId="9" borderId="26" xfId="0" applyFont="1" applyFill="1" applyBorder="1"/>
    <xf numFmtId="0" fontId="2" fillId="9" borderId="27" xfId="0" applyFont="1" applyFill="1" applyBorder="1"/>
    <xf numFmtId="0" fontId="2" fillId="9" borderId="28" xfId="0" applyFont="1" applyFill="1" applyBorder="1"/>
    <xf numFmtId="179" fontId="1" fillId="0" borderId="12" xfId="0" applyNumberFormat="1" applyFont="1" applyBorder="1" applyAlignment="1">
      <alignment horizontal="center"/>
    </xf>
    <xf numFmtId="179" fontId="2" fillId="0" borderId="12" xfId="0" applyNumberFormat="1" applyFont="1" applyBorder="1" applyAlignment="1">
      <alignment horizontal="center"/>
    </xf>
    <xf numFmtId="179" fontId="2" fillId="0" borderId="12" xfId="0" applyNumberFormat="1" applyFont="1" applyBorder="1"/>
    <xf numFmtId="10" fontId="2" fillId="0" borderId="12" xfId="0" applyNumberFormat="1" applyFont="1" applyBorder="1"/>
    <xf numFmtId="10" fontId="2" fillId="0" borderId="29" xfId="0" applyNumberFormat="1" applyFont="1" applyBorder="1"/>
    <xf numFmtId="49" fontId="6" fillId="11" borderId="9" xfId="0" applyNumberFormat="1" applyFont="1" applyFill="1" applyBorder="1"/>
    <xf numFmtId="3" fontId="6" fillId="11" borderId="9" xfId="0" applyNumberFormat="1" applyFont="1" applyFill="1" applyBorder="1"/>
    <xf numFmtId="0" fontId="2" fillId="0" borderId="17" xfId="0" applyFont="1" applyBorder="1" applyAlignment="1">
      <alignment horizontal="center"/>
    </xf>
    <xf numFmtId="179" fontId="1" fillId="0" borderId="17" xfId="0" applyNumberFormat="1" applyFont="1" applyBorder="1" applyAlignment="1">
      <alignment horizontal="center"/>
    </xf>
    <xf numFmtId="179" fontId="2" fillId="0" borderId="17" xfId="0" applyNumberFormat="1" applyFont="1" applyBorder="1" applyAlignment="1">
      <alignment horizontal="center"/>
    </xf>
    <xf numFmtId="179" fontId="2" fillId="0" borderId="17" xfId="0" applyNumberFormat="1" applyFont="1" applyBorder="1"/>
    <xf numFmtId="10" fontId="2" fillId="0" borderId="17" xfId="0" applyNumberFormat="1" applyFont="1" applyBorder="1"/>
    <xf numFmtId="10" fontId="2" fillId="0" borderId="30" xfId="0" applyNumberFormat="1" applyFont="1" applyBorder="1"/>
    <xf numFmtId="0" fontId="2" fillId="0" borderId="31" xfId="0" applyFont="1" applyBorder="1" applyAlignment="1">
      <alignment horizontal="center"/>
    </xf>
    <xf numFmtId="179" fontId="1" fillId="0" borderId="31" xfId="0" applyNumberFormat="1" applyFont="1" applyBorder="1" applyAlignment="1">
      <alignment horizontal="center"/>
    </xf>
    <xf numFmtId="179" fontId="2" fillId="0" borderId="31" xfId="0" applyNumberFormat="1" applyFont="1" applyBorder="1" applyAlignment="1">
      <alignment horizontal="center"/>
    </xf>
    <xf numFmtId="179" fontId="2" fillId="0" borderId="31" xfId="0" applyNumberFormat="1" applyFont="1" applyBorder="1"/>
    <xf numFmtId="10" fontId="2" fillId="0" borderId="31" xfId="0" applyNumberFormat="1" applyFont="1" applyBorder="1"/>
    <xf numFmtId="10" fontId="2" fillId="0" borderId="32" xfId="0" applyNumberFormat="1" applyFont="1" applyBorder="1"/>
    <xf numFmtId="179" fontId="1" fillId="0" borderId="0" xfId="0" applyNumberFormat="1" applyFont="1" applyAlignment="1">
      <alignment horizontal="center"/>
    </xf>
    <xf numFmtId="179" fontId="2" fillId="0" borderId="0" xfId="0" applyNumberFormat="1" applyFont="1" applyAlignment="1">
      <alignment horizontal="center"/>
    </xf>
    <xf numFmtId="179" fontId="2" fillId="0" borderId="0" xfId="0" applyNumberFormat="1" applyFont="1"/>
    <xf numFmtId="10" fontId="2" fillId="0" borderId="0" xfId="0" applyNumberFormat="1" applyFont="1"/>
    <xf numFmtId="10" fontId="2" fillId="0" borderId="33" xfId="0" applyNumberFormat="1" applyFont="1" applyBorder="1"/>
    <xf numFmtId="49" fontId="6" fillId="12" borderId="9" xfId="0" applyNumberFormat="1" applyFont="1" applyFill="1" applyBorder="1"/>
    <xf numFmtId="3" fontId="6" fillId="12" borderId="9" xfId="0" applyNumberFormat="1" applyFont="1" applyFill="1" applyBorder="1"/>
    <xf numFmtId="0" fontId="2" fillId="0" borderId="34" xfId="0" applyFont="1" applyBorder="1"/>
    <xf numFmtId="0" fontId="2" fillId="0" borderId="14" xfId="0" applyFont="1" applyBorder="1"/>
    <xf numFmtId="0" fontId="2" fillId="0" borderId="35" xfId="0" applyFont="1" applyBorder="1"/>
    <xf numFmtId="0" fontId="10" fillId="0" borderId="36" xfId="0" applyFont="1" applyBorder="1"/>
    <xf numFmtId="49" fontId="1" fillId="0" borderId="22" xfId="0" applyNumberFormat="1" applyFont="1" applyBorder="1" applyAlignment="1">
      <alignment horizontal="center"/>
    </xf>
    <xf numFmtId="49" fontId="1" fillId="0" borderId="37" xfId="0" applyNumberFormat="1" applyFont="1" applyBorder="1" applyAlignment="1">
      <alignment horizontal="center"/>
    </xf>
    <xf numFmtId="49" fontId="1" fillId="8" borderId="3" xfId="0" applyNumberFormat="1" applyFont="1" applyFill="1" applyBorder="1" applyAlignment="1">
      <alignment horizontal="center" vertical="center"/>
    </xf>
    <xf numFmtId="0" fontId="2" fillId="0" borderId="38" xfId="0" applyFont="1" applyBorder="1"/>
    <xf numFmtId="0" fontId="2" fillId="0" borderId="39" xfId="0" applyFont="1" applyBorder="1"/>
    <xf numFmtId="0" fontId="10" fillId="0" borderId="40" xfId="0" applyFont="1" applyBorder="1"/>
    <xf numFmtId="0" fontId="2" fillId="0" borderId="41" xfId="0" applyFont="1" applyBorder="1"/>
    <xf numFmtId="181" fontId="1" fillId="8" borderId="42" xfId="0" applyNumberFormat="1" applyFont="1" applyFill="1" applyBorder="1" applyAlignment="1">
      <alignment horizontal="center" vertical="center"/>
    </xf>
    <xf numFmtId="181" fontId="1" fillId="8" borderId="43" xfId="0" applyNumberFormat="1" applyFont="1" applyFill="1" applyBorder="1" applyAlignment="1">
      <alignment horizontal="center" vertical="center"/>
    </xf>
    <xf numFmtId="181" fontId="1" fillId="8" borderId="44" xfId="0" applyNumberFormat="1" applyFont="1" applyFill="1" applyBorder="1" applyAlignment="1">
      <alignment horizontal="center" vertical="center"/>
    </xf>
    <xf numFmtId="58" fontId="0" fillId="0" borderId="0" xfId="0" applyNumberFormat="1" applyFont="1" applyAlignment="1"/>
    <xf numFmtId="58" fontId="1" fillId="0" borderId="2" xfId="0" applyNumberFormat="1" applyFont="1" applyBorder="1" applyAlignment="1">
      <alignment horizontal="center"/>
    </xf>
    <xf numFmtId="58" fontId="2" fillId="0" borderId="3" xfId="0" applyNumberFormat="1" applyFont="1" applyBorder="1" applyAlignment="1">
      <alignment horizontal="center"/>
    </xf>
    <xf numFmtId="49" fontId="2" fillId="0" borderId="4" xfId="0" applyNumberFormat="1" applyFont="1" applyBorder="1" applyAlignment="1">
      <alignment horizontal="center"/>
    </xf>
    <xf numFmtId="58" fontId="2" fillId="0" borderId="5" xfId="0" applyNumberFormat="1" applyFont="1" applyBorder="1" applyAlignment="1">
      <alignment horizontal="center"/>
    </xf>
    <xf numFmtId="49" fontId="2" fillId="0" borderId="7" xfId="0" applyNumberFormat="1" applyFont="1" applyBorder="1" applyAlignment="1">
      <alignment horizontal="center"/>
    </xf>
    <xf numFmtId="58" fontId="2" fillId="0" borderId="8" xfId="0" applyNumberFormat="1" applyFont="1" applyBorder="1" applyAlignment="1">
      <alignment horizontal="center"/>
    </xf>
    <xf numFmtId="49" fontId="2" fillId="0" borderId="6" xfId="0" applyNumberFormat="1" applyFont="1" applyBorder="1" applyAlignment="1">
      <alignment horizontal="center"/>
    </xf>
    <xf numFmtId="58" fontId="2" fillId="0" borderId="1" xfId="0" applyNumberFormat="1" applyFont="1" applyBorder="1" applyAlignment="1">
      <alignment horizontal="center"/>
    </xf>
    <xf numFmtId="49" fontId="2" fillId="0" borderId="5" xfId="0" applyNumberFormat="1" applyFont="1" applyBorder="1" applyAlignment="1">
      <alignment horizontal="center"/>
    </xf>
    <xf numFmtId="179" fontId="1" fillId="7" borderId="45" xfId="0" applyNumberFormat="1" applyFont="1" applyFill="1" applyBorder="1" applyAlignment="1">
      <alignment horizontal="center" vertical="center"/>
    </xf>
    <xf numFmtId="58" fontId="1" fillId="7" borderId="45" xfId="0" applyNumberFormat="1" applyFont="1" applyFill="1" applyBorder="1" applyAlignment="1">
      <alignment horizontal="center" vertical="center"/>
    </xf>
    <xf numFmtId="3" fontId="1" fillId="7" borderId="45" xfId="0" applyNumberFormat="1" applyFont="1" applyFill="1" applyBorder="1" applyAlignment="1">
      <alignment horizontal="center" vertical="center"/>
    </xf>
    <xf numFmtId="58" fontId="1" fillId="7" borderId="9" xfId="0" applyNumberFormat="1" applyFont="1" applyFill="1" applyBorder="1" applyAlignment="1">
      <alignment horizontal="center"/>
    </xf>
    <xf numFmtId="58" fontId="1" fillId="8" borderId="9" xfId="0" applyNumberFormat="1" applyFont="1" applyFill="1" applyBorder="1" applyAlignment="1">
      <alignment horizontal="center" vertical="center"/>
    </xf>
    <xf numFmtId="179" fontId="1" fillId="0" borderId="38" xfId="0" applyNumberFormat="1" applyFont="1" applyBorder="1" applyAlignment="1">
      <alignment horizontal="center"/>
    </xf>
    <xf numFmtId="179" fontId="1" fillId="0" borderId="39" xfId="0" applyNumberFormat="1" applyFont="1" applyBorder="1" applyAlignment="1">
      <alignment horizontal="center"/>
    </xf>
    <xf numFmtId="179" fontId="1" fillId="0" borderId="46" xfId="0" applyNumberFormat="1" applyFont="1" applyBorder="1" applyAlignment="1">
      <alignment horizontal="center"/>
    </xf>
    <xf numFmtId="58" fontId="8" fillId="8" borderId="9" xfId="0" applyNumberFormat="1" applyFont="1" applyFill="1" applyBorder="1" applyAlignment="1">
      <alignment horizontal="center"/>
    </xf>
    <xf numFmtId="0" fontId="2" fillId="0" borderId="47" xfId="0" applyFont="1" applyBorder="1"/>
    <xf numFmtId="10" fontId="2" fillId="0" borderId="47" xfId="0" applyNumberFormat="1" applyFont="1" applyBorder="1"/>
    <xf numFmtId="0" fontId="2" fillId="0" borderId="48" xfId="0" applyFont="1" applyBorder="1"/>
    <xf numFmtId="58" fontId="9" fillId="3" borderId="9" xfId="0" applyNumberFormat="1" applyFont="1" applyFill="1" applyBorder="1" applyAlignment="1">
      <alignment horizontal="center" vertical="center"/>
    </xf>
    <xf numFmtId="58" fontId="2" fillId="0" borderId="12" xfId="0" applyNumberFormat="1" applyFont="1" applyBorder="1"/>
    <xf numFmtId="58" fontId="2" fillId="0" borderId="17" xfId="0" applyNumberFormat="1" applyFont="1" applyBorder="1"/>
    <xf numFmtId="179" fontId="2" fillId="0" borderId="49" xfId="0" applyNumberFormat="1" applyFont="1" applyBorder="1"/>
    <xf numFmtId="179" fontId="2" fillId="8" borderId="50" xfId="0" applyNumberFormat="1" applyFont="1" applyFill="1" applyBorder="1" applyAlignment="1">
      <alignment horizontal="center" vertical="center"/>
    </xf>
    <xf numFmtId="179" fontId="2" fillId="2" borderId="51" xfId="0" applyNumberFormat="1" applyFont="1" applyFill="1" applyBorder="1" applyAlignment="1">
      <alignment horizontal="center" vertical="center"/>
    </xf>
    <xf numFmtId="0" fontId="2" fillId="9" borderId="52" xfId="0" applyFont="1" applyFill="1" applyBorder="1"/>
    <xf numFmtId="0" fontId="2" fillId="9" borderId="53" xfId="0" applyFont="1" applyFill="1" applyBorder="1"/>
    <xf numFmtId="179" fontId="1" fillId="7" borderId="45" xfId="0" applyNumberFormat="1" applyFont="1" applyFill="1" applyBorder="1"/>
    <xf numFmtId="181" fontId="1" fillId="8" borderId="5" xfId="0" applyNumberFormat="1" applyFont="1" applyFill="1" applyBorder="1" applyAlignment="1">
      <alignment horizontal="center" vertical="center"/>
    </xf>
    <xf numFmtId="0" fontId="2" fillId="0" borderId="54" xfId="0" applyFont="1" applyBorder="1"/>
    <xf numFmtId="58" fontId="2" fillId="0" borderId="0" xfId="0" applyNumberFormat="1" applyFont="1"/>
    <xf numFmtId="179" fontId="2" fillId="3" borderId="55" xfId="0" applyNumberFormat="1" applyFont="1" applyFill="1" applyBorder="1"/>
    <xf numFmtId="179" fontId="2" fillId="12" borderId="1" xfId="0" applyNumberFormat="1" applyFont="1" applyFill="1" applyBorder="1"/>
    <xf numFmtId="49" fontId="2" fillId="0" borderId="1" xfId="0" applyNumberFormat="1" applyFont="1" applyBorder="1" applyAlignment="1">
      <alignment horizontal="center"/>
    </xf>
    <xf numFmtId="0" fontId="2" fillId="0" borderId="47" xfId="0" applyFont="1" applyBorder="1" applyAlignment="1">
      <alignment horizontal="center"/>
    </xf>
    <xf numFmtId="0" fontId="2" fillId="0" borderId="56" xfId="0" applyFont="1" applyBorder="1" applyAlignment="1">
      <alignment horizontal="center"/>
    </xf>
    <xf numFmtId="0" fontId="2" fillId="0" borderId="57" xfId="0" applyFont="1" applyBorder="1"/>
    <xf numFmtId="0" fontId="2" fillId="0" borderId="58" xfId="0" applyFont="1" applyBorder="1"/>
    <xf numFmtId="0" fontId="2" fillId="0" borderId="46" xfId="0" applyFont="1" applyBorder="1"/>
    <xf numFmtId="10" fontId="2" fillId="0" borderId="14" xfId="0" applyNumberFormat="1" applyFont="1" applyBorder="1"/>
    <xf numFmtId="10" fontId="2" fillId="0" borderId="56" xfId="0" applyNumberFormat="1" applyFont="1" applyBorder="1"/>
    <xf numFmtId="3" fontId="2" fillId="0" borderId="14" xfId="0" applyNumberFormat="1" applyFont="1" applyBorder="1"/>
    <xf numFmtId="3" fontId="2" fillId="0" borderId="17" xfId="0" applyNumberFormat="1" applyFont="1" applyBorder="1"/>
    <xf numFmtId="3" fontId="2" fillId="0" borderId="59" xfId="0" applyNumberFormat="1" applyFont="1" applyBorder="1"/>
    <xf numFmtId="0" fontId="2" fillId="0" borderId="45" xfId="0" applyFont="1" applyBorder="1"/>
    <xf numFmtId="181" fontId="1" fillId="7" borderId="45" xfId="0" applyNumberFormat="1" applyFont="1" applyFill="1" applyBorder="1" applyAlignment="1">
      <alignment horizontal="center" vertical="center"/>
    </xf>
    <xf numFmtId="9" fontId="2" fillId="0" borderId="9" xfId="0" applyNumberFormat="1" applyFont="1" applyBorder="1" applyAlignment="1">
      <alignment horizontal="left"/>
    </xf>
    <xf numFmtId="179" fontId="1" fillId="0" borderId="11" xfId="0" applyNumberFormat="1" applyFont="1" applyBorder="1" applyAlignment="1">
      <alignment horizontal="center"/>
    </xf>
    <xf numFmtId="179" fontId="2" fillId="0" borderId="11" xfId="0" applyNumberFormat="1" applyFont="1" applyBorder="1" applyAlignment="1">
      <alignment horizontal="center"/>
    </xf>
    <xf numFmtId="179" fontId="2" fillId="0" borderId="11" xfId="0" applyNumberFormat="1" applyFont="1" applyBorder="1"/>
    <xf numFmtId="0" fontId="6" fillId="11" borderId="9" xfId="0" applyFont="1" applyFill="1" applyBorder="1"/>
    <xf numFmtId="10" fontId="2" fillId="0" borderId="15" xfId="0" applyNumberFormat="1" applyFont="1" applyBorder="1"/>
    <xf numFmtId="0" fontId="2" fillId="0" borderId="5" xfId="0" applyFont="1" applyBorder="1"/>
    <xf numFmtId="9" fontId="2" fillId="0" borderId="12" xfId="0" applyNumberFormat="1" applyFont="1" applyBorder="1"/>
    <xf numFmtId="9" fontId="2" fillId="0" borderId="29" xfId="0" applyNumberFormat="1" applyFont="1" applyBorder="1"/>
    <xf numFmtId="181" fontId="1" fillId="8" borderId="1" xfId="0" applyNumberFormat="1" applyFont="1" applyFill="1" applyBorder="1" applyAlignment="1">
      <alignment horizontal="center" vertical="center"/>
    </xf>
    <xf numFmtId="181" fontId="11" fillId="7" borderId="45" xfId="0" applyNumberFormat="1" applyFont="1" applyFill="1" applyBorder="1" applyAlignment="1">
      <alignment horizontal="center" vertical="center"/>
    </xf>
    <xf numFmtId="3" fontId="1" fillId="7" borderId="9" xfId="0" applyNumberFormat="1" applyFont="1" applyFill="1" applyBorder="1" applyAlignment="1">
      <alignment horizontal="center"/>
    </xf>
    <xf numFmtId="58" fontId="2" fillId="0" borderId="4" xfId="0" applyNumberFormat="1" applyFont="1" applyBorder="1" applyAlignment="1">
      <alignment horizontal="center"/>
    </xf>
    <xf numFmtId="179" fontId="1" fillId="0" borderId="5" xfId="0" applyNumberFormat="1" applyFont="1" applyBorder="1"/>
    <xf numFmtId="58" fontId="2" fillId="0" borderId="6" xfId="0" applyNumberFormat="1" applyFont="1" applyBorder="1" applyAlignment="1">
      <alignment horizontal="center"/>
    </xf>
    <xf numFmtId="179" fontId="1" fillId="0" borderId="1" xfId="0" applyNumberFormat="1" applyFont="1" applyBorder="1"/>
    <xf numFmtId="58" fontId="2" fillId="0" borderId="7" xfId="0" applyNumberFormat="1" applyFont="1" applyBorder="1" applyAlignment="1">
      <alignment horizontal="center"/>
    </xf>
    <xf numFmtId="179" fontId="1" fillId="0" borderId="8" xfId="0" applyNumberFormat="1" applyFont="1" applyBorder="1"/>
    <xf numFmtId="58" fontId="2" fillId="13" borderId="6" xfId="0" applyNumberFormat="1" applyFont="1" applyFill="1" applyBorder="1" applyAlignment="1">
      <alignment horizontal="center"/>
    </xf>
    <xf numFmtId="179" fontId="1" fillId="14" borderId="1" xfId="0" applyNumberFormat="1" applyFont="1" applyFill="1" applyBorder="1"/>
    <xf numFmtId="58" fontId="1" fillId="7" borderId="9" xfId="0" applyNumberFormat="1" applyFont="1" applyFill="1" applyBorder="1" applyAlignment="1">
      <alignment horizontal="center" vertical="center"/>
    </xf>
    <xf numFmtId="58" fontId="2" fillId="7" borderId="9" xfId="0" applyNumberFormat="1" applyFont="1" applyFill="1" applyBorder="1" applyAlignment="1">
      <alignment horizontal="center"/>
    </xf>
    <xf numFmtId="0" fontId="2" fillId="7" borderId="9" xfId="0" applyFont="1" applyFill="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46" xfId="0" applyFont="1" applyBorder="1" applyAlignment="1">
      <alignment horizontal="center"/>
    </xf>
    <xf numFmtId="3" fontId="2" fillId="0" borderId="13" xfId="0" applyNumberFormat="1" applyFont="1" applyBorder="1" applyAlignment="1">
      <alignment horizontal="center"/>
    </xf>
    <xf numFmtId="58" fontId="1" fillId="0" borderId="60" xfId="0" applyNumberFormat="1" applyFont="1" applyBorder="1"/>
    <xf numFmtId="0" fontId="1" fillId="0" borderId="61" xfId="0" applyFont="1" applyBorder="1"/>
    <xf numFmtId="58" fontId="2" fillId="0" borderId="16" xfId="0" applyNumberFormat="1" applyFont="1" applyBorder="1"/>
    <xf numFmtId="0" fontId="2" fillId="0" borderId="62" xfId="0" applyFont="1" applyBorder="1"/>
    <xf numFmtId="179" fontId="2" fillId="0" borderId="63" xfId="0" applyNumberFormat="1" applyFont="1" applyBorder="1"/>
    <xf numFmtId="0" fontId="2" fillId="9" borderId="64" xfId="0" applyFont="1" applyFill="1" applyBorder="1"/>
    <xf numFmtId="181" fontId="2" fillId="8" borderId="4" xfId="0" applyNumberFormat="1" applyFont="1" applyFill="1" applyBorder="1" applyAlignment="1">
      <alignment horizontal="center" vertical="center"/>
    </xf>
    <xf numFmtId="179" fontId="2" fillId="0" borderId="65" xfId="0" applyNumberFormat="1" applyFont="1" applyBorder="1"/>
    <xf numFmtId="0" fontId="2" fillId="9" borderId="66" xfId="0" applyFont="1" applyFill="1" applyBorder="1"/>
    <xf numFmtId="181" fontId="2" fillId="8" borderId="6" xfId="0" applyNumberFormat="1" applyFont="1" applyFill="1" applyBorder="1" applyAlignment="1">
      <alignment horizontal="center" vertical="center"/>
    </xf>
    <xf numFmtId="179" fontId="2" fillId="0" borderId="67" xfId="0" applyNumberFormat="1" applyFont="1" applyBorder="1"/>
    <xf numFmtId="0" fontId="2" fillId="9" borderId="68" xfId="0" applyFont="1" applyFill="1" applyBorder="1"/>
    <xf numFmtId="181" fontId="2" fillId="8" borderId="7" xfId="0" applyNumberFormat="1" applyFont="1" applyFill="1" applyBorder="1" applyAlignment="1">
      <alignment horizontal="center" vertical="center"/>
    </xf>
    <xf numFmtId="0" fontId="2" fillId="9" borderId="69" xfId="0" applyFont="1" applyFill="1" applyBorder="1"/>
    <xf numFmtId="181" fontId="2" fillId="8" borderId="70" xfId="0" applyNumberFormat="1" applyFont="1" applyFill="1" applyBorder="1" applyAlignment="1">
      <alignment horizontal="center" vertical="center"/>
    </xf>
    <xf numFmtId="0" fontId="2" fillId="9" borderId="71" xfId="0" applyFont="1" applyFill="1" applyBorder="1"/>
    <xf numFmtId="181" fontId="2" fillId="8" borderId="72" xfId="0" applyNumberFormat="1" applyFont="1" applyFill="1" applyBorder="1" applyAlignment="1">
      <alignment horizontal="center" vertical="center"/>
    </xf>
    <xf numFmtId="0" fontId="2" fillId="9" borderId="73" xfId="0" applyFont="1" applyFill="1" applyBorder="1"/>
    <xf numFmtId="181" fontId="2" fillId="8" borderId="74" xfId="0" applyNumberFormat="1" applyFont="1" applyFill="1" applyBorder="1" applyAlignment="1">
      <alignment horizontal="center" vertical="center"/>
    </xf>
    <xf numFmtId="181" fontId="2" fillId="8" borderId="75" xfId="0" applyNumberFormat="1" applyFont="1" applyFill="1" applyBorder="1" applyAlignment="1">
      <alignment horizontal="center" vertical="center"/>
    </xf>
    <xf numFmtId="181" fontId="2" fillId="8" borderId="76" xfId="0" applyNumberFormat="1" applyFont="1" applyFill="1" applyBorder="1" applyAlignment="1">
      <alignment horizontal="center" vertical="center"/>
    </xf>
    <xf numFmtId="181" fontId="2" fillId="8" borderId="21" xfId="0" applyNumberFormat="1" applyFont="1" applyFill="1" applyBorder="1" applyAlignment="1">
      <alignment horizontal="center" vertical="center"/>
    </xf>
    <xf numFmtId="181" fontId="2" fillId="8" borderId="22" xfId="0" applyNumberFormat="1" applyFont="1" applyFill="1" applyBorder="1" applyAlignment="1">
      <alignment horizontal="center" vertical="center"/>
    </xf>
    <xf numFmtId="0" fontId="2" fillId="7" borderId="9" xfId="0" applyFont="1" applyFill="1" applyBorder="1"/>
    <xf numFmtId="181" fontId="1" fillId="7" borderId="9" xfId="0" applyNumberFormat="1" applyFont="1" applyFill="1" applyBorder="1" applyAlignment="1">
      <alignment horizontal="center" vertical="center"/>
    </xf>
    <xf numFmtId="0" fontId="2" fillId="0" borderId="29" xfId="0" applyFont="1" applyBorder="1"/>
    <xf numFmtId="0" fontId="2" fillId="0" borderId="30" xfId="0" applyFont="1" applyBorder="1"/>
    <xf numFmtId="181" fontId="2" fillId="8" borderId="77" xfId="0" applyNumberFormat="1" applyFont="1" applyFill="1" applyBorder="1" applyAlignment="1">
      <alignment horizontal="center" vertical="center"/>
    </xf>
    <xf numFmtId="181" fontId="2" fillId="8" borderId="78" xfId="0" applyNumberFormat="1" applyFont="1" applyFill="1" applyBorder="1" applyAlignment="1">
      <alignment horizontal="center" vertical="center"/>
    </xf>
    <xf numFmtId="181" fontId="2" fillId="8" borderId="79" xfId="0" applyNumberFormat="1" applyFont="1" applyFill="1" applyBorder="1" applyAlignment="1">
      <alignment horizontal="center" vertical="center"/>
    </xf>
    <xf numFmtId="181" fontId="2" fillId="8" borderId="80" xfId="0" applyNumberFormat="1" applyFont="1" applyFill="1" applyBorder="1" applyAlignment="1">
      <alignment horizontal="center" vertical="center"/>
    </xf>
    <xf numFmtId="181" fontId="2" fillId="8" borderId="81" xfId="0" applyNumberFormat="1" applyFont="1" applyFill="1" applyBorder="1" applyAlignment="1">
      <alignment horizontal="center" vertical="center"/>
    </xf>
    <xf numFmtId="181" fontId="2" fillId="8" borderId="82" xfId="0" applyNumberFormat="1" applyFont="1" applyFill="1" applyBorder="1" applyAlignment="1">
      <alignment horizontal="center" vertical="center"/>
    </xf>
    <xf numFmtId="181" fontId="2" fillId="8" borderId="83" xfId="0" applyNumberFormat="1" applyFont="1" applyFill="1" applyBorder="1" applyAlignment="1">
      <alignment horizontal="center" vertical="center"/>
    </xf>
    <xf numFmtId="181" fontId="2" fillId="8" borderId="84" xfId="0" applyNumberFormat="1" applyFont="1" applyFill="1" applyBorder="1" applyAlignment="1">
      <alignment horizontal="center" vertical="center"/>
    </xf>
    <xf numFmtId="181" fontId="2" fillId="8" borderId="37" xfId="0" applyNumberFormat="1" applyFont="1" applyFill="1" applyBorder="1" applyAlignment="1">
      <alignment horizontal="center" vertical="center"/>
    </xf>
    <xf numFmtId="181" fontId="12" fillId="8" borderId="85" xfId="0" applyNumberFormat="1" applyFont="1" applyFill="1" applyBorder="1" applyAlignment="1">
      <alignment horizontal="center" vertical="center"/>
    </xf>
    <xf numFmtId="181" fontId="1" fillId="7" borderId="9" xfId="0" applyNumberFormat="1" applyFont="1" applyFill="1" applyBorder="1" applyAlignment="1">
      <alignment horizontal="center"/>
    </xf>
    <xf numFmtId="181" fontId="1" fillId="8" borderId="86" xfId="0" applyNumberFormat="1" applyFont="1" applyFill="1" applyBorder="1" applyAlignment="1">
      <alignment horizontal="center" vertical="center"/>
    </xf>
    <xf numFmtId="181" fontId="2" fillId="8" borderId="87" xfId="0" applyNumberFormat="1" applyFont="1" applyFill="1" applyBorder="1" applyAlignment="1">
      <alignment horizontal="center" vertical="center"/>
    </xf>
    <xf numFmtId="181" fontId="2" fillId="8" borderId="88" xfId="0" applyNumberFormat="1" applyFont="1" applyFill="1" applyBorder="1" applyAlignment="1">
      <alignment horizontal="center" vertical="center"/>
    </xf>
    <xf numFmtId="181" fontId="2" fillId="8" borderId="89" xfId="0" applyNumberFormat="1" applyFont="1" applyFill="1" applyBorder="1" applyAlignment="1">
      <alignment horizontal="center" vertical="center"/>
    </xf>
    <xf numFmtId="181" fontId="2" fillId="8" borderId="90" xfId="0" applyNumberFormat="1" applyFont="1" applyFill="1" applyBorder="1" applyAlignment="1">
      <alignment horizontal="center" vertical="center"/>
    </xf>
    <xf numFmtId="181" fontId="11" fillId="8" borderId="91" xfId="0" applyNumberFormat="1" applyFont="1" applyFill="1" applyBorder="1" applyAlignment="1">
      <alignment horizontal="center" vertical="center"/>
    </xf>
    <xf numFmtId="181" fontId="11" fillId="7" borderId="9" xfId="0" applyNumberFormat="1" applyFont="1" applyFill="1" applyBorder="1" applyAlignment="1">
      <alignment horizontal="center" vertical="center"/>
    </xf>
    <xf numFmtId="58" fontId="2" fillId="0" borderId="38" xfId="0" applyNumberFormat="1" applyFont="1" applyBorder="1" applyAlignment="1">
      <alignment horizontal="center"/>
    </xf>
    <xf numFmtId="179" fontId="1" fillId="0" borderId="12" xfId="0" applyNumberFormat="1" applyFont="1" applyBorder="1"/>
    <xf numFmtId="58" fontId="2" fillId="0" borderId="92" xfId="0" applyNumberFormat="1" applyFont="1" applyBorder="1" applyAlignment="1">
      <alignment horizontal="center"/>
    </xf>
    <xf numFmtId="179" fontId="2" fillId="0" borderId="93" xfId="0" applyNumberFormat="1" applyFont="1" applyBorder="1"/>
    <xf numFmtId="179" fontId="1" fillId="0" borderId="94" xfId="0" applyNumberFormat="1" applyFont="1" applyBorder="1"/>
    <xf numFmtId="179" fontId="2" fillId="0" borderId="95" xfId="0" applyNumberFormat="1" applyFont="1" applyBorder="1"/>
    <xf numFmtId="179" fontId="1" fillId="0" borderId="78" xfId="0" applyNumberFormat="1" applyFont="1" applyBorder="1"/>
    <xf numFmtId="179" fontId="2" fillId="0" borderId="72" xfId="0" applyNumberFormat="1" applyFont="1" applyBorder="1"/>
    <xf numFmtId="179" fontId="1" fillId="0" borderId="79" xfId="0" applyNumberFormat="1" applyFont="1" applyBorder="1"/>
    <xf numFmtId="179" fontId="2" fillId="0" borderId="74" xfId="0" applyNumberFormat="1" applyFont="1" applyBorder="1"/>
    <xf numFmtId="179" fontId="1" fillId="0" borderId="77" xfId="0" applyNumberFormat="1" applyFont="1" applyBorder="1"/>
    <xf numFmtId="179" fontId="2" fillId="0" borderId="70" xfId="0" applyNumberFormat="1" applyFont="1" applyBorder="1"/>
    <xf numFmtId="0" fontId="1" fillId="7" borderId="9" xfId="0" applyFont="1" applyFill="1" applyBorder="1"/>
    <xf numFmtId="9" fontId="8" fillId="7" borderId="9" xfId="0" applyNumberFormat="1" applyFont="1" applyFill="1" applyBorder="1" applyAlignment="1">
      <alignment horizontal="center"/>
    </xf>
    <xf numFmtId="58" fontId="1" fillId="11" borderId="9" xfId="0" applyNumberFormat="1" applyFont="1" applyFill="1" applyBorder="1" applyAlignment="1">
      <alignment horizontal="center" vertical="center"/>
    </xf>
    <xf numFmtId="179" fontId="1" fillId="11" borderId="9" xfId="0" applyNumberFormat="1" applyFont="1" applyFill="1" applyBorder="1" applyAlignment="1">
      <alignment horizontal="center" vertical="center"/>
    </xf>
    <xf numFmtId="0" fontId="1" fillId="0" borderId="12" xfId="0" applyFont="1" applyBorder="1"/>
    <xf numFmtId="9" fontId="8" fillId="11" borderId="9" xfId="0" applyNumberFormat="1" applyFont="1" applyFill="1" applyBorder="1" applyAlignment="1">
      <alignment horizontal="center"/>
    </xf>
    <xf numFmtId="9" fontId="6" fillId="11" borderId="25" xfId="0" applyNumberFormat="1" applyFont="1" applyFill="1" applyBorder="1" applyAlignment="1">
      <alignment horizontal="left"/>
    </xf>
    <xf numFmtId="179" fontId="2" fillId="8" borderId="12" xfId="0" applyNumberFormat="1" applyFont="1" applyFill="1" applyBorder="1" applyAlignment="1">
      <alignment horizontal="center" vertical="center"/>
    </xf>
    <xf numFmtId="181" fontId="2" fillId="8" borderId="12" xfId="0" applyNumberFormat="1" applyFont="1" applyFill="1" applyBorder="1" applyAlignment="1">
      <alignment horizontal="center" vertical="center"/>
    </xf>
    <xf numFmtId="179" fontId="2" fillId="8" borderId="93" xfId="0" applyNumberFormat="1" applyFont="1" applyFill="1" applyBorder="1" applyAlignment="1">
      <alignment horizontal="center" vertical="center"/>
    </xf>
    <xf numFmtId="0" fontId="2" fillId="9" borderId="96" xfId="0" applyFont="1" applyFill="1" applyBorder="1"/>
    <xf numFmtId="181" fontId="2" fillId="8" borderId="95" xfId="0" applyNumberFormat="1" applyFont="1" applyFill="1" applyBorder="1" applyAlignment="1">
      <alignment horizontal="center" vertical="center"/>
    </xf>
    <xf numFmtId="181" fontId="2" fillId="8" borderId="93" xfId="0" applyNumberFormat="1" applyFont="1" applyFill="1" applyBorder="1" applyAlignment="1">
      <alignment horizontal="center" vertical="center"/>
    </xf>
    <xf numFmtId="0" fontId="2" fillId="0" borderId="72" xfId="0" applyFont="1" applyBorder="1"/>
    <xf numFmtId="0" fontId="2" fillId="9" borderId="97" xfId="0" applyFont="1" applyFill="1" applyBorder="1"/>
    <xf numFmtId="0" fontId="2" fillId="9" borderId="23" xfId="0" applyFont="1" applyFill="1" applyBorder="1"/>
    <xf numFmtId="181" fontId="1" fillId="8" borderId="12" xfId="0" applyNumberFormat="1" applyFont="1" applyFill="1" applyBorder="1" applyAlignment="1">
      <alignment horizontal="center" vertical="center"/>
    </xf>
    <xf numFmtId="181" fontId="2" fillId="8" borderId="94" xfId="0" applyNumberFormat="1" applyFont="1" applyFill="1" applyBorder="1" applyAlignment="1">
      <alignment horizontal="center" vertical="center"/>
    </xf>
    <xf numFmtId="181" fontId="2" fillId="8" borderId="98" xfId="0" applyNumberFormat="1" applyFont="1" applyFill="1" applyBorder="1" applyAlignment="1">
      <alignment horizontal="center" vertical="center"/>
    </xf>
    <xf numFmtId="181" fontId="1" fillId="8" borderId="29" xfId="0" applyNumberFormat="1" applyFont="1" applyFill="1" applyBorder="1" applyAlignment="1">
      <alignment horizontal="center" vertical="center"/>
    </xf>
    <xf numFmtId="181" fontId="1" fillId="8" borderId="62" xfId="0" applyNumberFormat="1" applyFont="1" applyFill="1" applyBorder="1" applyAlignment="1">
      <alignment horizontal="center" vertical="center"/>
    </xf>
    <xf numFmtId="49" fontId="1" fillId="0" borderId="9" xfId="0" applyNumberFormat="1" applyFont="1" applyBorder="1" applyAlignment="1">
      <alignment horizontal="center"/>
    </xf>
    <xf numFmtId="49" fontId="1" fillId="0" borderId="99" xfId="0" applyNumberFormat="1" applyFont="1" applyBorder="1" applyAlignment="1">
      <alignment horizontal="center"/>
    </xf>
    <xf numFmtId="49" fontId="1" fillId="0" borderId="55" xfId="0" applyNumberFormat="1" applyFont="1" applyBorder="1" applyAlignment="1">
      <alignment horizontal="center"/>
    </xf>
    <xf numFmtId="49" fontId="1" fillId="15" borderId="55" xfId="0" applyNumberFormat="1" applyFont="1" applyFill="1" applyBorder="1" applyAlignment="1">
      <alignment horizontal="center"/>
    </xf>
    <xf numFmtId="49" fontId="1" fillId="11" borderId="55" xfId="0" applyNumberFormat="1" applyFont="1" applyFill="1" applyBorder="1" applyAlignment="1">
      <alignment horizontal="center"/>
    </xf>
    <xf numFmtId="49" fontId="1" fillId="12" borderId="55" xfId="0" applyNumberFormat="1" applyFont="1" applyFill="1" applyBorder="1" applyAlignment="1">
      <alignment horizontal="center"/>
    </xf>
    <xf numFmtId="180" fontId="2" fillId="4" borderId="99" xfId="0" applyNumberFormat="1" applyFont="1" applyFill="1" applyBorder="1"/>
    <xf numFmtId="180" fontId="2" fillId="4" borderId="55" xfId="0" applyNumberFormat="1" applyFont="1" applyFill="1" applyBorder="1"/>
    <xf numFmtId="0" fontId="4" fillId="4" borderId="55" xfId="0" applyFont="1" applyFill="1" applyBorder="1" applyAlignment="1">
      <alignment horizontal="center"/>
    </xf>
    <xf numFmtId="49" fontId="4" fillId="4" borderId="55" xfId="0" applyNumberFormat="1" applyFont="1" applyFill="1" applyBorder="1" applyAlignment="1">
      <alignment horizontal="center"/>
    </xf>
    <xf numFmtId="0" fontId="2" fillId="0" borderId="8" xfId="0" applyFont="1" applyBorder="1"/>
    <xf numFmtId="3" fontId="2" fillId="0" borderId="8" xfId="0" applyNumberFormat="1" applyFont="1" applyBorder="1"/>
    <xf numFmtId="3" fontId="2" fillId="0" borderId="5" xfId="0" applyNumberFormat="1" applyFont="1" applyBorder="1"/>
    <xf numFmtId="49" fontId="6" fillId="5" borderId="8" xfId="0" applyNumberFormat="1" applyFont="1" applyFill="1" applyBorder="1"/>
    <xf numFmtId="49" fontId="1" fillId="7" borderId="5" xfId="0" applyNumberFormat="1" applyFont="1" applyFill="1" applyBorder="1" applyAlignment="1">
      <alignment horizontal="center"/>
    </xf>
    <xf numFmtId="0" fontId="1" fillId="7" borderId="5" xfId="0" applyFont="1" applyFill="1" applyBorder="1" applyAlignment="1">
      <alignment horizontal="center"/>
    </xf>
    <xf numFmtId="3" fontId="1" fillId="7" borderId="5" xfId="0" applyNumberFormat="1" applyFont="1" applyFill="1" applyBorder="1" applyAlignment="1">
      <alignment horizontal="center"/>
    </xf>
    <xf numFmtId="49" fontId="1" fillId="7" borderId="1" xfId="0" applyNumberFormat="1" applyFont="1" applyFill="1" applyBorder="1" applyAlignment="1">
      <alignment horizontal="center"/>
    </xf>
    <xf numFmtId="0" fontId="1" fillId="7" borderId="1" xfId="0" applyFont="1" applyFill="1" applyBorder="1" applyAlignment="1">
      <alignment horizontal="center"/>
    </xf>
    <xf numFmtId="9" fontId="13" fillId="7" borderId="1" xfId="0" applyNumberFormat="1" applyFont="1" applyFill="1" applyBorder="1" applyAlignment="1">
      <alignment horizontal="center"/>
    </xf>
    <xf numFmtId="0" fontId="6" fillId="4" borderId="8" xfId="0" applyFont="1" applyFill="1" applyBorder="1"/>
    <xf numFmtId="0" fontId="4" fillId="4" borderId="8" xfId="0" applyFont="1" applyFill="1" applyBorder="1" applyAlignment="1">
      <alignment horizontal="center"/>
    </xf>
    <xf numFmtId="49" fontId="4" fillId="4" borderId="8" xfId="0" applyNumberFormat="1" applyFont="1" applyFill="1" applyBorder="1" applyAlignment="1">
      <alignment horizontal="center"/>
    </xf>
    <xf numFmtId="0" fontId="12" fillId="0" borderId="1" xfId="0" applyFont="1" applyBorder="1"/>
    <xf numFmtId="0" fontId="12" fillId="0" borderId="8" xfId="0" applyFont="1" applyBorder="1"/>
    <xf numFmtId="49" fontId="1" fillId="7" borderId="4" xfId="0" applyNumberFormat="1" applyFont="1" applyFill="1" applyBorder="1" applyAlignment="1">
      <alignment horizontal="center"/>
    </xf>
    <xf numFmtId="49" fontId="1" fillId="7" borderId="6" xfId="0" applyNumberFormat="1" applyFont="1" applyFill="1" applyBorder="1" applyAlignment="1">
      <alignment horizontal="center"/>
    </xf>
    <xf numFmtId="49" fontId="1" fillId="7" borderId="7" xfId="0" applyNumberFormat="1" applyFont="1" applyFill="1" applyBorder="1" applyAlignment="1">
      <alignment horizontal="center"/>
    </xf>
    <xf numFmtId="0" fontId="1" fillId="7" borderId="8" xfId="0" applyFont="1" applyFill="1" applyBorder="1" applyAlignment="1">
      <alignment horizontal="center"/>
    </xf>
    <xf numFmtId="9" fontId="13" fillId="7" borderId="8" xfId="0" applyNumberFormat="1" applyFont="1" applyFill="1" applyBorder="1" applyAlignment="1">
      <alignment horizontal="center"/>
    </xf>
    <xf numFmtId="49" fontId="13" fillId="7" borderId="8" xfId="0" applyNumberFormat="1" applyFont="1" applyFill="1" applyBorder="1" applyAlignment="1">
      <alignment horizontal="center"/>
    </xf>
    <xf numFmtId="180" fontId="2" fillId="4" borderId="4" xfId="0" applyNumberFormat="1" applyFont="1" applyFill="1" applyBorder="1"/>
    <xf numFmtId="0" fontId="4" fillId="4" borderId="5" xfId="0" applyFont="1" applyFill="1" applyBorder="1" applyAlignment="1">
      <alignment horizontal="center"/>
    </xf>
    <xf numFmtId="49" fontId="4" fillId="4" borderId="5" xfId="0" applyNumberFormat="1" applyFont="1" applyFill="1" applyBorder="1" applyAlignment="1">
      <alignment horizontal="center"/>
    </xf>
    <xf numFmtId="49" fontId="1" fillId="16" borderId="55" xfId="0" applyNumberFormat="1" applyFont="1" applyFill="1" applyBorder="1" applyAlignment="1">
      <alignment horizontal="center"/>
    </xf>
    <xf numFmtId="49" fontId="1" fillId="17" borderId="55" xfId="0" applyNumberFormat="1" applyFont="1" applyFill="1" applyBorder="1" applyAlignment="1">
      <alignment horizontal="center"/>
    </xf>
    <xf numFmtId="0" fontId="14" fillId="4" borderId="55" xfId="0" applyFont="1" applyFill="1" applyBorder="1" applyAlignment="1">
      <alignment horizontal="center"/>
    </xf>
    <xf numFmtId="0" fontId="1" fillId="0" borderId="1" xfId="0" applyFont="1" applyBorder="1"/>
    <xf numFmtId="0" fontId="1" fillId="0" borderId="8" xfId="0" applyFont="1" applyBorder="1"/>
    <xf numFmtId="0" fontId="1" fillId="0" borderId="5" xfId="0" applyFont="1" applyBorder="1"/>
    <xf numFmtId="0" fontId="14" fillId="4" borderId="8" xfId="0" applyFont="1" applyFill="1" applyBorder="1" applyAlignment="1">
      <alignment horizontal="center"/>
    </xf>
    <xf numFmtId="1" fontId="2" fillId="0" borderId="1" xfId="0" applyNumberFormat="1" applyFont="1" applyBorder="1"/>
    <xf numFmtId="0" fontId="2" fillId="18" borderId="1" xfId="0" applyFont="1" applyFill="1" applyBorder="1"/>
    <xf numFmtId="1" fontId="2" fillId="0" borderId="8" xfId="0" applyNumberFormat="1" applyFont="1" applyBorder="1"/>
    <xf numFmtId="0" fontId="14" fillId="4" borderId="5" xfId="0" applyFont="1" applyFill="1" applyBorder="1" applyAlignment="1">
      <alignment horizontal="center"/>
    </xf>
    <xf numFmtId="49" fontId="1" fillId="0" borderId="100" xfId="0" applyNumberFormat="1" applyFont="1" applyBorder="1" applyAlignment="1">
      <alignment horizontal="center"/>
    </xf>
    <xf numFmtId="0" fontId="4" fillId="4" borderId="100" xfId="0" applyFont="1" applyFill="1" applyBorder="1" applyAlignment="1">
      <alignment horizontal="center"/>
    </xf>
    <xf numFmtId="0" fontId="2" fillId="0" borderId="42" xfId="0" applyFont="1" applyBorder="1"/>
    <xf numFmtId="3" fontId="1" fillId="0" borderId="43" xfId="0" applyNumberFormat="1" applyFont="1" applyBorder="1"/>
    <xf numFmtId="3" fontId="1" fillId="0" borderId="44" xfId="0" applyNumberFormat="1" applyFont="1" applyBorder="1"/>
    <xf numFmtId="3" fontId="1" fillId="0" borderId="42" xfId="0" applyNumberFormat="1" applyFont="1" applyBorder="1"/>
    <xf numFmtId="3" fontId="1" fillId="7" borderId="42" xfId="0" applyNumberFormat="1" applyFont="1" applyFill="1" applyBorder="1"/>
    <xf numFmtId="9" fontId="13" fillId="7" borderId="43" xfId="0" applyNumberFormat="1" applyFont="1" applyFill="1" applyBorder="1" applyAlignment="1">
      <alignment horizontal="center"/>
    </xf>
    <xf numFmtId="0" fontId="4" fillId="4" borderId="44" xfId="0" applyFont="1" applyFill="1" applyBorder="1" applyAlignment="1">
      <alignment horizontal="center"/>
    </xf>
    <xf numFmtId="0" fontId="1" fillId="0" borderId="42" xfId="0" applyFont="1" applyBorder="1"/>
    <xf numFmtId="0" fontId="1" fillId="0" borderId="43" xfId="0" applyFont="1" applyBorder="1"/>
    <xf numFmtId="0" fontId="1" fillId="0" borderId="44" xfId="0" applyFont="1" applyBorder="1"/>
    <xf numFmtId="1" fontId="1" fillId="0" borderId="43" xfId="0" applyNumberFormat="1" applyFont="1" applyBorder="1"/>
    <xf numFmtId="1" fontId="1" fillId="0" borderId="44" xfId="0" applyNumberFormat="1" applyFont="1" applyBorder="1"/>
    <xf numFmtId="0" fontId="2" fillId="7" borderId="43" xfId="0" applyFont="1" applyFill="1" applyBorder="1" applyAlignment="1">
      <alignment horizontal="center"/>
    </xf>
    <xf numFmtId="9" fontId="13" fillId="7" borderId="44" xfId="0" applyNumberFormat="1" applyFont="1" applyFill="1" applyBorder="1" applyAlignment="1">
      <alignment horizontal="center"/>
    </xf>
    <xf numFmtId="0" fontId="4" fillId="4" borderId="42" xfId="0" applyFont="1" applyFill="1" applyBorder="1" applyAlignment="1">
      <alignment horizontal="center"/>
    </xf>
    <xf numFmtId="180" fontId="2" fillId="4" borderId="5" xfId="0" applyNumberFormat="1" applyFont="1" applyFill="1" applyBorder="1"/>
    <xf numFmtId="49" fontId="6" fillId="5" borderId="55" xfId="0" applyNumberFormat="1" applyFont="1" applyFill="1" applyBorder="1"/>
    <xf numFmtId="180" fontId="6" fillId="5" borderId="55" xfId="0" applyNumberFormat="1" applyFont="1" applyFill="1" applyBorder="1"/>
    <xf numFmtId="0" fontId="2" fillId="0" borderId="55" xfId="0" applyFont="1" applyBorder="1"/>
    <xf numFmtId="3" fontId="15" fillId="0" borderId="0" xfId="0" applyNumberFormat="1" applyFont="1"/>
    <xf numFmtId="0" fontId="16" fillId="0" borderId="0" xfId="0" applyFont="1"/>
    <xf numFmtId="0" fontId="15" fillId="0" borderId="0" xfId="0" applyFont="1" applyAlignment="1">
      <alignment horizontal="center"/>
    </xf>
    <xf numFmtId="3" fontId="15" fillId="12" borderId="0" xfId="0" applyNumberFormat="1" applyFont="1" applyFill="1" applyBorder="1"/>
    <xf numFmtId="3" fontId="15" fillId="19" borderId="0" xfId="0" applyNumberFormat="1" applyFont="1" applyFill="1" applyBorder="1"/>
    <xf numFmtId="3" fontId="15" fillId="20" borderId="0" xfId="0" applyNumberFormat="1" applyFont="1" applyFill="1" applyBorder="1"/>
    <xf numFmtId="0" fontId="15" fillId="12" borderId="0" xfId="0" applyFont="1" applyFill="1" applyBorder="1"/>
    <xf numFmtId="0" fontId="15" fillId="19" borderId="0" xfId="0" applyFont="1" applyFill="1" applyBorder="1"/>
    <xf numFmtId="0" fontId="15" fillId="20" borderId="0" xfId="0" applyFont="1" applyFill="1" applyBorder="1"/>
    <xf numFmtId="0" fontId="17" fillId="21" borderId="0" xfId="0" applyFont="1" applyFill="1" applyBorder="1"/>
    <xf numFmtId="9" fontId="15" fillId="22" borderId="0" xfId="0" applyNumberFormat="1" applyFont="1" applyFill="1" applyBorder="1"/>
    <xf numFmtId="179" fontId="16" fillId="0" borderId="0" xfId="0" applyNumberFormat="1" applyFont="1"/>
    <xf numFmtId="182" fontId="18" fillId="23" borderId="0" xfId="0" applyNumberFormat="1" applyFont="1" applyFill="1" applyBorder="1" applyAlignment="1">
      <alignment horizontal="left"/>
    </xf>
    <xf numFmtId="182" fontId="18" fillId="23" borderId="0" xfId="0" applyNumberFormat="1" applyFont="1" applyFill="1" applyBorder="1" applyAlignment="1">
      <alignment horizontal="center"/>
    </xf>
    <xf numFmtId="183" fontId="18" fillId="23" borderId="0" xfId="0" applyNumberFormat="1" applyFont="1" applyFill="1" applyBorder="1" applyAlignment="1">
      <alignment horizontal="center"/>
    </xf>
    <xf numFmtId="37" fontId="18" fillId="24" borderId="0" xfId="0" applyNumberFormat="1" applyFont="1" applyFill="1" applyBorder="1" applyAlignment="1">
      <alignment vertical="center"/>
    </xf>
    <xf numFmtId="184" fontId="18" fillId="24" borderId="0" xfId="0" applyNumberFormat="1" applyFont="1" applyFill="1" applyBorder="1" applyAlignment="1">
      <alignment vertical="center"/>
    </xf>
    <xf numFmtId="0" fontId="15" fillId="25" borderId="101" xfId="0" applyFont="1" applyFill="1" applyBorder="1"/>
    <xf numFmtId="0" fontId="19" fillId="0" borderId="101" xfId="0" applyFont="1" applyBorder="1"/>
    <xf numFmtId="184" fontId="20" fillId="0" borderId="102" xfId="0" applyNumberFormat="1" applyFont="1" applyBorder="1"/>
    <xf numFmtId="184" fontId="20" fillId="0" borderId="103" xfId="0" applyNumberFormat="1" applyFont="1" applyBorder="1"/>
    <xf numFmtId="0" fontId="15" fillId="25" borderId="104" xfId="0" applyFont="1" applyFill="1" applyBorder="1"/>
    <xf numFmtId="0" fontId="21" fillId="0" borderId="104" xfId="0" applyFont="1" applyBorder="1"/>
    <xf numFmtId="9" fontId="22" fillId="0" borderId="0" xfId="0" applyNumberFormat="1" applyFont="1"/>
    <xf numFmtId="9" fontId="22" fillId="0" borderId="105" xfId="0" applyNumberFormat="1" applyFont="1" applyBorder="1"/>
    <xf numFmtId="0" fontId="23" fillId="0" borderId="104" xfId="0" applyFont="1" applyBorder="1"/>
    <xf numFmtId="184" fontId="20" fillId="0" borderId="0" xfId="0" applyNumberFormat="1" applyFont="1"/>
    <xf numFmtId="184" fontId="20" fillId="0" borderId="105" xfId="0" applyNumberFormat="1" applyFont="1" applyBorder="1"/>
    <xf numFmtId="0" fontId="24" fillId="25" borderId="104" xfId="0" applyFont="1" applyFill="1" applyBorder="1" applyAlignment="1">
      <alignment horizontal="center" vertical="center" shrinkToFit="1"/>
    </xf>
    <xf numFmtId="3" fontId="17" fillId="0" borderId="102" xfId="0" applyNumberFormat="1" applyFont="1" applyBorder="1"/>
    <xf numFmtId="3" fontId="17" fillId="0" borderId="103" xfId="0" applyNumberFormat="1" applyFont="1" applyBorder="1"/>
    <xf numFmtId="0" fontId="19" fillId="0" borderId="104" xfId="0" applyFont="1" applyBorder="1"/>
    <xf numFmtId="3" fontId="17" fillId="0" borderId="0" xfId="0" applyNumberFormat="1" applyFont="1"/>
    <xf numFmtId="0" fontId="17" fillId="0" borderId="105" xfId="0" applyFont="1" applyBorder="1"/>
    <xf numFmtId="0" fontId="25" fillId="25" borderId="104" xfId="0" applyFont="1" applyFill="1" applyBorder="1" applyAlignment="1">
      <alignment horizontal="center" vertical="center" shrinkToFit="1"/>
    </xf>
    <xf numFmtId="0" fontId="17" fillId="0" borderId="103" xfId="0" applyFont="1" applyBorder="1"/>
    <xf numFmtId="0" fontId="19" fillId="0" borderId="106" xfId="0" applyFont="1" applyBorder="1"/>
    <xf numFmtId="0" fontId="15" fillId="0" borderId="107" xfId="0" applyFont="1" applyBorder="1"/>
    <xf numFmtId="0" fontId="15" fillId="0" borderId="108" xfId="0" applyFont="1" applyBorder="1"/>
    <xf numFmtId="0" fontId="24" fillId="25" borderId="109" xfId="0" applyFont="1" applyFill="1" applyBorder="1" applyAlignment="1">
      <alignment horizontal="center" vertical="center" shrinkToFit="1"/>
    </xf>
    <xf numFmtId="0" fontId="19" fillId="26" borderId="104" xfId="0" applyFont="1" applyFill="1" applyBorder="1"/>
    <xf numFmtId="3" fontId="17" fillId="26" borderId="0" xfId="0" applyNumberFormat="1" applyFont="1" applyFill="1" applyBorder="1"/>
    <xf numFmtId="3" fontId="17" fillId="26" borderId="103" xfId="0" applyNumberFormat="1" applyFont="1" applyFill="1" applyBorder="1"/>
    <xf numFmtId="3" fontId="17" fillId="0" borderId="105" xfId="0" applyNumberFormat="1" applyFont="1" applyBorder="1"/>
    <xf numFmtId="0" fontId="24" fillId="0" borderId="104" xfId="0" applyFont="1" applyBorder="1"/>
    <xf numFmtId="9" fontId="17" fillId="0" borderId="0" xfId="0" applyNumberFormat="1" applyFont="1"/>
    <xf numFmtId="9" fontId="17" fillId="0" borderId="105" xfId="0" applyNumberFormat="1" applyFont="1" applyBorder="1"/>
    <xf numFmtId="0" fontId="24" fillId="25" borderId="110" xfId="0" applyFont="1" applyFill="1" applyBorder="1" applyAlignment="1">
      <alignment horizontal="center" vertical="center" shrinkToFit="1"/>
    </xf>
    <xf numFmtId="0" fontId="24" fillId="0" borderId="106" xfId="0" applyFont="1" applyBorder="1"/>
    <xf numFmtId="9" fontId="17" fillId="0" borderId="107" xfId="0" applyNumberFormat="1" applyFont="1" applyBorder="1"/>
    <xf numFmtId="9" fontId="17" fillId="0" borderId="108" xfId="0" applyNumberFormat="1" applyFont="1" applyBorder="1"/>
    <xf numFmtId="0" fontId="15" fillId="0" borderId="0" xfId="0" applyFont="1"/>
    <xf numFmtId="0" fontId="15" fillId="27" borderId="101" xfId="0" applyFont="1" applyFill="1" applyBorder="1"/>
    <xf numFmtId="0" fontId="15" fillId="27" borderId="104" xfId="0" applyFont="1" applyFill="1" applyBorder="1"/>
    <xf numFmtId="0" fontId="15" fillId="0" borderId="104" xfId="0" applyFont="1" applyBorder="1"/>
    <xf numFmtId="3" fontId="23" fillId="0" borderId="105" xfId="0" applyNumberFormat="1" applyFont="1" applyBorder="1"/>
    <xf numFmtId="0" fontId="25" fillId="27" borderId="104" xfId="0" applyFont="1" applyFill="1" applyBorder="1" applyAlignment="1">
      <alignment horizontal="center"/>
    </xf>
    <xf numFmtId="0" fontId="15" fillId="27" borderId="109" xfId="0" applyFont="1" applyFill="1" applyBorder="1"/>
    <xf numFmtId="0" fontId="19" fillId="26" borderId="107" xfId="0" applyFont="1" applyFill="1" applyBorder="1"/>
    <xf numFmtId="3" fontId="17" fillId="26" borderId="107" xfId="0" applyNumberFormat="1" applyFont="1" applyFill="1" applyBorder="1"/>
    <xf numFmtId="3" fontId="17" fillId="26" borderId="111" xfId="0" applyNumberFormat="1" applyFont="1" applyFill="1" applyBorder="1"/>
    <xf numFmtId="0" fontId="15" fillId="27" borderId="110" xfId="0" applyFont="1" applyFill="1" applyBorder="1"/>
    <xf numFmtId="0" fontId="15" fillId="28" borderId="101" xfId="0" applyFont="1" applyFill="1" applyBorder="1"/>
    <xf numFmtId="0" fontId="15" fillId="28" borderId="104" xfId="0" applyFont="1" applyFill="1" applyBorder="1"/>
    <xf numFmtId="184" fontId="18" fillId="0" borderId="0" xfId="0" applyNumberFormat="1" applyFont="1" applyAlignment="1">
      <alignment vertical="center"/>
    </xf>
    <xf numFmtId="0" fontId="15" fillId="0" borderId="105" xfId="0" applyFont="1" applyBorder="1"/>
    <xf numFmtId="0" fontId="25" fillId="28" borderId="104" xfId="0" applyFont="1" applyFill="1" applyBorder="1" applyAlignment="1">
      <alignment horizontal="center"/>
    </xf>
    <xf numFmtId="0" fontId="15" fillId="28" borderId="109" xfId="0" applyFont="1" applyFill="1" applyBorder="1"/>
    <xf numFmtId="0" fontId="19" fillId="26" borderId="106" xfId="0" applyFont="1" applyFill="1" applyBorder="1"/>
    <xf numFmtId="3" fontId="17" fillId="26" borderId="108" xfId="0" applyNumberFormat="1" applyFont="1" applyFill="1" applyBorder="1"/>
    <xf numFmtId="0" fontId="15" fillId="28" borderId="110" xfId="0" applyFont="1" applyFill="1" applyBorder="1"/>
    <xf numFmtId="0" fontId="25" fillId="0" borderId="0" xfId="0" applyFont="1" applyAlignment="1">
      <alignment horizontal="left"/>
    </xf>
    <xf numFmtId="0" fontId="26" fillId="29" borderId="112" xfId="0" applyFont="1" applyFill="1" applyBorder="1" applyAlignment="1">
      <alignment horizontal="center"/>
    </xf>
    <xf numFmtId="0" fontId="26" fillId="29" borderId="111" xfId="0" applyFont="1" applyFill="1" applyBorder="1" applyAlignment="1">
      <alignment horizontal="center"/>
    </xf>
    <xf numFmtId="0" fontId="26" fillId="29" borderId="113" xfId="0" applyFont="1" applyFill="1" applyBorder="1" applyAlignment="1">
      <alignment horizontal="center"/>
    </xf>
    <xf numFmtId="0" fontId="15" fillId="0" borderId="106" xfId="0" applyFont="1" applyBorder="1"/>
    <xf numFmtId="3" fontId="15" fillId="0" borderId="101" xfId="0" applyNumberFormat="1" applyFont="1" applyBorder="1"/>
    <xf numFmtId="9" fontId="26" fillId="29" borderId="114" xfId="0" applyNumberFormat="1" applyFont="1" applyFill="1" applyBorder="1" applyAlignment="1">
      <alignment horizontal="center"/>
    </xf>
    <xf numFmtId="0" fontId="15" fillId="0" borderId="112" xfId="0" applyFont="1" applyBorder="1"/>
    <xf numFmtId="0" fontId="15" fillId="0" borderId="113" xfId="0" applyFont="1" applyBorder="1"/>
    <xf numFmtId="3" fontId="15" fillId="0" borderId="104" xfId="0" applyNumberFormat="1" applyFont="1" applyBorder="1"/>
    <xf numFmtId="9" fontId="26" fillId="29" borderId="109" xfId="0" applyNumberFormat="1" applyFont="1" applyFill="1" applyBorder="1" applyAlignment="1">
      <alignment horizontal="center"/>
    </xf>
    <xf numFmtId="0" fontId="15" fillId="0" borderId="115" xfId="0" applyFont="1" applyBorder="1"/>
    <xf numFmtId="0" fontId="15" fillId="0" borderId="116" xfId="0" applyFont="1" applyBorder="1"/>
    <xf numFmtId="3" fontId="15" fillId="0" borderId="117" xfId="0" applyNumberFormat="1" applyFont="1" applyBorder="1"/>
    <xf numFmtId="9" fontId="26" fillId="29" borderId="118" xfId="0" applyNumberFormat="1" applyFont="1" applyFill="1" applyBorder="1" applyAlignment="1">
      <alignment horizontal="center"/>
    </xf>
    <xf numFmtId="3" fontId="15" fillId="0" borderId="119" xfId="0" applyNumberFormat="1" applyFont="1" applyBorder="1"/>
    <xf numFmtId="0" fontId="25" fillId="0" borderId="117" xfId="0" applyFont="1" applyBorder="1"/>
    <xf numFmtId="0" fontId="15" fillId="0" borderId="119" xfId="0" applyFont="1" applyBorder="1"/>
    <xf numFmtId="9" fontId="15" fillId="0" borderId="120" xfId="0" applyNumberFormat="1" applyFont="1" applyBorder="1"/>
    <xf numFmtId="0" fontId="25" fillId="0" borderId="0" xfId="0" applyFont="1"/>
    <xf numFmtId="9" fontId="15" fillId="0" borderId="0" xfId="0" applyNumberFormat="1" applyFont="1"/>
    <xf numFmtId="0" fontId="24" fillId="0" borderId="0" xfId="0" applyFont="1" applyAlignment="1">
      <alignment horizontal="center"/>
    </xf>
    <xf numFmtId="0" fontId="27" fillId="0" borderId="0" xfId="0" applyFont="1" applyAlignment="1">
      <alignment horizontal="center"/>
    </xf>
    <xf numFmtId="0" fontId="15" fillId="30" borderId="1" xfId="0" applyFont="1" applyFill="1" applyBorder="1" applyAlignment="1">
      <alignment horizontal="center"/>
    </xf>
    <xf numFmtId="0" fontId="24" fillId="30" borderId="1" xfId="0" applyFont="1" applyFill="1" applyBorder="1" applyAlignment="1">
      <alignment horizontal="center"/>
    </xf>
    <xf numFmtId="0" fontId="15" fillId="30" borderId="111" xfId="0" applyFont="1" applyFill="1" applyBorder="1" applyAlignment="1">
      <alignment horizontal="center"/>
    </xf>
    <xf numFmtId="0" fontId="15" fillId="0" borderId="101" xfId="0" applyFont="1" applyBorder="1"/>
    <xf numFmtId="0" fontId="15" fillId="0" borderId="103" xfId="0" applyFont="1" applyBorder="1"/>
    <xf numFmtId="3" fontId="15" fillId="0" borderId="105" xfId="0" applyNumberFormat="1" applyFont="1" applyBorder="1"/>
    <xf numFmtId="0" fontId="15" fillId="0" borderId="117" xfId="0" applyFont="1" applyBorder="1"/>
    <xf numFmtId="0" fontId="15" fillId="0" borderId="120" xfId="0" applyFont="1" applyBorder="1"/>
    <xf numFmtId="3" fontId="15" fillId="0" borderId="120" xfId="0" applyNumberFormat="1" applyFont="1" applyBorder="1"/>
    <xf numFmtId="0" fontId="25" fillId="0" borderId="106" xfId="0" applyFont="1" applyBorder="1"/>
    <xf numFmtId="0" fontId="17" fillId="0" borderId="108" xfId="0" applyFont="1" applyBorder="1"/>
    <xf numFmtId="3" fontId="17" fillId="0" borderId="106" xfId="0" applyNumberFormat="1" applyFont="1" applyBorder="1"/>
    <xf numFmtId="3" fontId="17" fillId="0" borderId="107" xfId="0" applyNumberFormat="1" applyFont="1" applyBorder="1"/>
    <xf numFmtId="3" fontId="17" fillId="0" borderId="108" xfId="0" applyNumberFormat="1" applyFont="1" applyBorder="1"/>
    <xf numFmtId="0" fontId="24" fillId="0" borderId="0" xfId="0" applyFont="1"/>
    <xf numFmtId="3" fontId="24" fillId="0" borderId="0" xfId="0" applyNumberFormat="1" applyFont="1"/>
    <xf numFmtId="9" fontId="24" fillId="0" borderId="0" xfId="0" applyNumberFormat="1" applyFont="1"/>
    <xf numFmtId="0" fontId="24" fillId="0" borderId="119" xfId="0" applyFont="1" applyBorder="1"/>
    <xf numFmtId="3" fontId="24" fillId="0" borderId="119" xfId="0" applyNumberFormat="1" applyFont="1" applyBorder="1"/>
    <xf numFmtId="9" fontId="24" fillId="0" borderId="119" xfId="0" applyNumberFormat="1" applyFont="1" applyBorder="1"/>
    <xf numFmtId="3" fontId="25" fillId="0" borderId="0" xfId="0" applyNumberFormat="1" applyFont="1"/>
    <xf numFmtId="9" fontId="25" fillId="0" borderId="0" xfId="0" applyNumberFormat="1" applyFont="1"/>
    <xf numFmtId="0" fontId="26" fillId="31" borderId="112" xfId="0" applyFont="1" applyFill="1" applyBorder="1" applyAlignment="1">
      <alignment horizontal="center"/>
    </xf>
    <xf numFmtId="0" fontId="26" fillId="31" borderId="111" xfId="0" applyFont="1" applyFill="1" applyBorder="1" applyAlignment="1">
      <alignment horizontal="center"/>
    </xf>
    <xf numFmtId="0" fontId="26" fillId="32" borderId="112" xfId="0" applyFont="1" applyFill="1" applyBorder="1" applyAlignment="1">
      <alignment horizontal="center"/>
    </xf>
    <xf numFmtId="0" fontId="26" fillId="32" borderId="111" xfId="0" applyFont="1" applyFill="1" applyBorder="1" applyAlignment="1">
      <alignment horizontal="center"/>
    </xf>
    <xf numFmtId="0" fontId="24" fillId="0" borderId="105" xfId="0" applyFont="1" applyBorder="1"/>
    <xf numFmtId="3" fontId="24" fillId="0" borderId="105" xfId="0" applyNumberFormat="1" applyFont="1" applyBorder="1" applyAlignment="1">
      <alignment horizontal="center"/>
    </xf>
    <xf numFmtId="9" fontId="24" fillId="0" borderId="0" xfId="0" applyNumberFormat="1" applyFont="1" applyAlignment="1">
      <alignment horizontal="center"/>
    </xf>
    <xf numFmtId="3" fontId="24" fillId="0" borderId="109" xfId="0" applyNumberFormat="1" applyFont="1" applyBorder="1" applyAlignment="1">
      <alignment horizontal="center"/>
    </xf>
    <xf numFmtId="3" fontId="24" fillId="0" borderId="114" xfId="0" applyNumberFormat="1" applyFont="1" applyBorder="1" applyAlignment="1">
      <alignment horizontal="center"/>
    </xf>
    <xf numFmtId="9" fontId="24" fillId="0" borderId="103" xfId="0" applyNumberFormat="1" applyFont="1" applyBorder="1" applyAlignment="1">
      <alignment horizontal="center"/>
    </xf>
    <xf numFmtId="9" fontId="24" fillId="0" borderId="105" xfId="0" applyNumberFormat="1" applyFont="1" applyBorder="1" applyAlignment="1">
      <alignment horizontal="center"/>
    </xf>
    <xf numFmtId="0" fontId="24" fillId="0" borderId="120" xfId="0" applyFont="1" applyBorder="1"/>
    <xf numFmtId="3" fontId="24" fillId="0" borderId="120" xfId="0" applyNumberFormat="1" applyFont="1" applyBorder="1" applyAlignment="1">
      <alignment horizontal="center"/>
    </xf>
    <xf numFmtId="3" fontId="24" fillId="0" borderId="118" xfId="0" applyNumberFormat="1" applyFont="1" applyBorder="1" applyAlignment="1">
      <alignment horizontal="center"/>
    </xf>
    <xf numFmtId="0" fontId="24" fillId="0" borderId="121" xfId="0" applyFont="1" applyBorder="1"/>
    <xf numFmtId="3" fontId="24" fillId="0" borderId="122" xfId="0" applyNumberFormat="1" applyFont="1" applyBorder="1" applyAlignment="1">
      <alignment horizontal="center"/>
    </xf>
    <xf numFmtId="9" fontId="24" fillId="0" borderId="123" xfId="0" applyNumberFormat="1" applyFont="1" applyBorder="1" applyAlignment="1">
      <alignment horizontal="center"/>
    </xf>
    <xf numFmtId="9" fontId="24" fillId="0" borderId="121" xfId="0" applyNumberFormat="1" applyFont="1" applyBorder="1" applyAlignment="1">
      <alignment horizontal="center"/>
    </xf>
    <xf numFmtId="3" fontId="24" fillId="0" borderId="0" xfId="0" applyNumberFormat="1" applyFont="1" applyAlignment="1">
      <alignment horizontal="center"/>
    </xf>
    <xf numFmtId="185" fontId="18" fillId="24" borderId="0" xfId="0" applyNumberFormat="1" applyFont="1" applyFill="1" applyBorder="1" applyAlignment="1">
      <alignment horizontal="left"/>
    </xf>
    <xf numFmtId="0" fontId="17" fillId="0" borderId="0" xfId="0" applyFont="1"/>
    <xf numFmtId="0" fontId="15" fillId="30" borderId="112" xfId="0" applyFont="1" applyFill="1" applyBorder="1" applyAlignment="1">
      <alignment horizontal="center"/>
    </xf>
    <xf numFmtId="0" fontId="15" fillId="30" borderId="113" xfId="0" applyFont="1" applyFill="1" applyBorder="1" applyAlignment="1">
      <alignment horizontal="center"/>
    </xf>
    <xf numFmtId="0" fontId="15" fillId="0" borderId="114" xfId="0" applyFont="1" applyBorder="1" applyAlignment="1">
      <alignment horizontal="left"/>
    </xf>
    <xf numFmtId="9" fontId="15" fillId="0" borderId="104" xfId="0" applyNumberFormat="1" applyFont="1" applyBorder="1" applyAlignment="1">
      <alignment horizontal="center"/>
    </xf>
    <xf numFmtId="9" fontId="15" fillId="0" borderId="0" xfId="0" applyNumberFormat="1" applyFont="1" applyAlignment="1">
      <alignment horizontal="center"/>
    </xf>
    <xf numFmtId="9" fontId="15" fillId="0" borderId="105" xfId="0" applyNumberFormat="1" applyFont="1" applyBorder="1" applyAlignment="1">
      <alignment horizontal="center"/>
    </xf>
    <xf numFmtId="0" fontId="15" fillId="0" borderId="109" xfId="0" applyFont="1" applyBorder="1" applyAlignment="1">
      <alignment horizontal="left"/>
    </xf>
    <xf numFmtId="0" fontId="15" fillId="0" borderId="110" xfId="0" applyFont="1" applyBorder="1" applyAlignment="1">
      <alignment horizontal="left"/>
    </xf>
    <xf numFmtId="9" fontId="15" fillId="0" borderId="106" xfId="0" applyNumberFormat="1" applyFont="1" applyBorder="1" applyAlignment="1">
      <alignment horizontal="center"/>
    </xf>
    <xf numFmtId="9" fontId="15" fillId="0" borderId="107" xfId="0" applyNumberFormat="1" applyFont="1" applyBorder="1" applyAlignment="1">
      <alignment horizontal="center"/>
    </xf>
    <xf numFmtId="9" fontId="15" fillId="0" borderId="108" xfId="0" applyNumberFormat="1" applyFont="1" applyBorder="1" applyAlignment="1">
      <alignment horizontal="center"/>
    </xf>
    <xf numFmtId="9" fontId="15" fillId="0" borderId="101" xfId="0" applyNumberFormat="1" applyFont="1" applyBorder="1" applyAlignment="1">
      <alignment horizontal="center"/>
    </xf>
    <xf numFmtId="9" fontId="15" fillId="0" borderId="102" xfId="0" applyNumberFormat="1" applyFont="1" applyBorder="1" applyAlignment="1">
      <alignment horizontal="center"/>
    </xf>
    <xf numFmtId="9" fontId="15" fillId="0" borderId="103" xfId="0" applyNumberFormat="1" applyFont="1" applyBorder="1" applyAlignment="1">
      <alignment horizontal="center"/>
    </xf>
    <xf numFmtId="0" fontId="28" fillId="33" borderId="0" xfId="0" applyFont="1" applyFill="1" applyBorder="1" applyAlignment="1">
      <alignment horizontal="left" vertical="center" readingOrder="1"/>
    </xf>
    <xf numFmtId="37" fontId="18" fillId="23" borderId="0" xfId="0" applyNumberFormat="1" applyFont="1" applyFill="1" applyBorder="1" applyAlignment="1">
      <alignment horizontal="center" vertical="center"/>
    </xf>
    <xf numFmtId="0" fontId="10" fillId="0" borderId="0" xfId="0" applyFont="1" applyBorder="1"/>
    <xf numFmtId="37" fontId="18" fillId="34" borderId="0" xfId="0" applyNumberFormat="1" applyFont="1" applyFill="1" applyBorder="1" applyAlignment="1">
      <alignment vertical="top"/>
    </xf>
    <xf numFmtId="182" fontId="18" fillId="23" borderId="0" xfId="0" applyNumberFormat="1" applyFont="1" applyFill="1" applyBorder="1" applyAlignment="1">
      <alignment horizontal="right"/>
    </xf>
    <xf numFmtId="183" fontId="18" fillId="23" borderId="0" xfId="0" applyNumberFormat="1" applyFont="1" applyFill="1" applyBorder="1" applyAlignment="1">
      <alignment horizontal="right"/>
    </xf>
    <xf numFmtId="182" fontId="18" fillId="34" borderId="0" xfId="0" applyNumberFormat="1" applyFont="1" applyFill="1" applyBorder="1" applyAlignment="1">
      <alignment horizontal="right"/>
    </xf>
    <xf numFmtId="0" fontId="19" fillId="0" borderId="0" xfId="0" applyFont="1"/>
    <xf numFmtId="0" fontId="23" fillId="0" borderId="0" xfId="0" applyFont="1"/>
    <xf numFmtId="184" fontId="23" fillId="0" borderId="0" xfId="0" applyNumberFormat="1" applyFont="1"/>
    <xf numFmtId="0" fontId="29" fillId="0" borderId="0" xfId="0" applyFont="1"/>
    <xf numFmtId="184" fontId="30" fillId="0" borderId="0" xfId="0" applyNumberFormat="1" applyFont="1"/>
    <xf numFmtId="184" fontId="19" fillId="0" borderId="0" xfId="0" applyNumberFormat="1" applyFont="1"/>
    <xf numFmtId="0" fontId="21" fillId="0" borderId="0" xfId="0" applyFont="1"/>
    <xf numFmtId="0" fontId="31" fillId="0" borderId="0" xfId="0" applyFont="1"/>
    <xf numFmtId="0" fontId="21" fillId="0" borderId="107" xfId="0" applyFont="1" applyBorder="1"/>
    <xf numFmtId="9" fontId="22" fillId="0" borderId="107" xfId="0" applyNumberFormat="1" applyFont="1" applyBorder="1"/>
    <xf numFmtId="186" fontId="19" fillId="0" borderId="0" xfId="0" applyNumberFormat="1" applyFont="1"/>
    <xf numFmtId="0" fontId="29" fillId="0" borderId="102" xfId="0" applyFont="1" applyBorder="1"/>
    <xf numFmtId="184" fontId="25" fillId="0" borderId="102" xfId="0" applyNumberFormat="1" applyFont="1" applyBorder="1"/>
    <xf numFmtId="0" fontId="15" fillId="0" borderId="102" xfId="0" applyFont="1" applyBorder="1"/>
    <xf numFmtId="186" fontId="19" fillId="0" borderId="102" xfId="0" applyNumberFormat="1" applyFont="1" applyBorder="1"/>
    <xf numFmtId="186" fontId="23" fillId="0" borderId="0" xfId="0" applyNumberFormat="1" applyFont="1"/>
    <xf numFmtId="0" fontId="29" fillId="0" borderId="116" xfId="0" applyFont="1" applyBorder="1"/>
    <xf numFmtId="186" fontId="19" fillId="0" borderId="116" xfId="0" applyNumberFormat="1" applyFont="1" applyBorder="1"/>
    <xf numFmtId="184" fontId="20" fillId="0" borderId="0" xfId="0" applyNumberFormat="1" applyFont="1" applyAlignment="1">
      <alignment horizontal="right"/>
    </xf>
    <xf numFmtId="184" fontId="23" fillId="0" borderId="0" xfId="0" applyNumberFormat="1" applyFont="1" applyAlignment="1">
      <alignment horizontal="right"/>
    </xf>
    <xf numFmtId="0" fontId="31" fillId="0" borderId="102" xfId="0" applyFont="1" applyBorder="1"/>
    <xf numFmtId="184" fontId="23" fillId="0" borderId="102" xfId="0" applyNumberFormat="1" applyFont="1" applyBorder="1"/>
    <xf numFmtId="0" fontId="29" fillId="26" borderId="119" xfId="0" applyFont="1" applyFill="1" applyBorder="1"/>
    <xf numFmtId="186" fontId="19" fillId="26" borderId="119" xfId="0" applyNumberFormat="1" applyFont="1" applyFill="1" applyBorder="1"/>
    <xf numFmtId="184" fontId="29" fillId="0" borderId="113" xfId="0" applyNumberFormat="1" applyFont="1" applyBorder="1"/>
    <xf numFmtId="184" fontId="19" fillId="0" borderId="113" xfId="0" applyNumberFormat="1" applyFont="1" applyBorder="1"/>
    <xf numFmtId="185" fontId="18" fillId="24" borderId="0" xfId="0" applyNumberFormat="1" applyFont="1" applyFill="1" applyBorder="1"/>
    <xf numFmtId="185" fontId="31" fillId="24" borderId="0" xfId="0" applyNumberFormat="1" applyFont="1" applyFill="1" applyBorder="1"/>
    <xf numFmtId="185" fontId="31" fillId="24" borderId="0" xfId="0" applyNumberFormat="1" applyFont="1" applyFill="1" applyBorder="1" applyAlignment="1">
      <alignment horizontal="center"/>
    </xf>
    <xf numFmtId="185" fontId="31" fillId="0" borderId="0" xfId="0" applyNumberFormat="1" applyFont="1"/>
    <xf numFmtId="9" fontId="31" fillId="0" borderId="0" xfId="0" applyNumberFormat="1" applyFont="1"/>
    <xf numFmtId="37" fontId="18" fillId="0" borderId="0" xfId="0" applyNumberFormat="1" applyFont="1" applyAlignment="1">
      <alignment vertical="center"/>
    </xf>
    <xf numFmtId="0" fontId="15" fillId="0" borderId="107" xfId="0" applyFont="1" applyBorder="1" applyAlignment="1">
      <alignment horizontal="right"/>
    </xf>
    <xf numFmtId="0" fontId="15" fillId="0" borderId="123" xfId="0" applyFont="1" applyBorder="1"/>
    <xf numFmtId="3" fontId="15" fillId="0" borderId="123" xfId="0" applyNumberFormat="1" applyFont="1" applyBorder="1"/>
    <xf numFmtId="9" fontId="15" fillId="0" borderId="123" xfId="0" applyNumberFormat="1"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600" b="1" i="0" u="none" strike="noStrike" kern="1200" baseline="0">
                <a:solidFill>
                  <a:srgbClr val="000000"/>
                </a:solidFill>
                <a:latin typeface="Calibri" panose="020F0502020204030204"/>
                <a:ea typeface="+mn-ea"/>
                <a:cs typeface="+mn-cs"/>
              </a:defRPr>
            </a:pPr>
            <a:r>
              <a:rPr sz="1600" b="1" i="0">
                <a:solidFill>
                  <a:srgbClr val="000000"/>
                </a:solidFill>
                <a:latin typeface="Calibri" panose="020F0502020204030204"/>
              </a:rPr>
              <a:t>Chiffres d'affaires et Marge brute</a:t>
            </a:r>
            <a:endParaRPr sz="1600" b="1" i="0">
              <a:solidFill>
                <a:srgbClr val="000000"/>
              </a:solidFill>
              <a:latin typeface="Calibri" panose="020F0502020204030204"/>
            </a:endParaRPr>
          </a:p>
        </c:rich>
      </c:tx>
      <c:layout>
        <c:manualLayout>
          <c:xMode val="edge"/>
          <c:yMode val="edge"/>
          <c:x val="0.24682998765961"/>
          <c:y val="0.0277777494479942"/>
        </c:manualLayout>
      </c:layout>
      <c:overlay val="0"/>
    </c:title>
    <c:autoTitleDeleted val="0"/>
    <c:plotArea>
      <c:layout>
        <c:manualLayout>
          <c:xMode val="edge"/>
          <c:yMode val="edge"/>
          <c:x val="0.1347895888014"/>
          <c:y val="0.130172938671044"/>
          <c:w val="0.768087707786527"/>
          <c:h val="0.656524386340916"/>
        </c:manualLayout>
      </c:layout>
      <c:barChart>
        <c:barDir val="col"/>
        <c:grouping val="clustered"/>
        <c:varyColors val="1"/>
        <c:ser>
          <c:idx val="0"/>
          <c:order val="0"/>
          <c:tx>
            <c:strRef>
              <c:f>" Chiffre d'affaires "</c:f>
              <c:strCache>
                <c:ptCount val="1"/>
                <c:pt idx="0">
                  <c:v> Chiffre d'affaires </c:v>
                </c:pt>
              </c:strCache>
            </c:strRef>
          </c:tx>
          <c:spPr>
            <a:solidFill>
              <a:srgbClr val="4472C4"/>
            </a:solidFill>
            <a:ln cmpd="sng">
              <a:solidFill>
                <a:srgbClr val="000000"/>
              </a:solidFill>
            </a:ln>
          </c:spPr>
          <c:invertIfNegative val="1"/>
          <c:dPt>
            <c:idx val="0"/>
            <c:invertIfNegative val="1"/>
            <c:bubble3D val="0"/>
          </c:dPt>
          <c:dPt>
            <c:idx val="1"/>
            <c:invertIfNegative val="1"/>
            <c:bubble3D val="0"/>
          </c:dPt>
          <c:dPt>
            <c:idx val="2"/>
            <c:invertIfNegative val="1"/>
            <c:bubble3D val="0"/>
          </c:dPt>
          <c:dPt>
            <c:idx val="3"/>
            <c:invertIfNegative val="1"/>
            <c:bubble3D val="0"/>
          </c:dPt>
          <c:dPt>
            <c:idx val="4"/>
            <c:invertIfNegative val="1"/>
            <c:bubble3D val="0"/>
          </c:dPt>
          <c:dLbls>
            <c:spPr>
              <a:noFill/>
              <a:ln>
                <a:noFill/>
              </a:ln>
              <a:effectLst/>
            </c:spPr>
            <c:txPr>
              <a:bodyPr rot="0" spcFirstLastPara="0" vertOverflow="ellipsis" vert="horz" wrap="square" lIns="38100" tIns="19050" rIns="38100" bIns="19050" anchor="ctr" anchorCtr="1"/>
              <a:lstStyle/>
              <a:p>
                <a:pPr>
                  <a:defRPr lang="fr-FR" sz="1400" b="0" i="0" u="none" strike="noStrike" kern="1200" baseline="0">
                    <a:solidFill>
                      <a:srgbClr val="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Globale'!$C$63:$G$63</c:f>
              <c:numCache>
                <c:formatCode>_-* #,##0_-;\(#,##0\)_-;_-* "-"_-;_-@</c:formatCode>
                <c:ptCount val="5"/>
                <c:pt idx="0">
                  <c:v>3527300</c:v>
                </c:pt>
                <c:pt idx="1">
                  <c:v>12225050</c:v>
                </c:pt>
                <c:pt idx="2">
                  <c:v>20471000</c:v>
                </c:pt>
                <c:pt idx="3">
                  <c:v>28821750</c:v>
                </c:pt>
                <c:pt idx="4">
                  <c:v>7057250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9237914"/>
        <c:axId val="695618981"/>
      </c:barChart>
      <c:lineChart>
        <c:grouping val="standard"/>
        <c:varyColors val="0"/>
        <c:ser>
          <c:idx val="1"/>
          <c:order val="1"/>
          <c:tx>
            <c:strRef>
              <c:f>" Marge brute "</c:f>
              <c:strCache>
                <c:ptCount val="1"/>
                <c:pt idx="0">
                  <c:v> Marge brute </c:v>
                </c:pt>
              </c:strCache>
            </c:strRef>
          </c:tx>
          <c:spPr>
            <a:ln w="38100" cap="rnd" cmpd="sng" algn="ctr">
              <a:solidFill>
                <a:schemeClr val="accent2"/>
              </a:solidFill>
              <a:prstDash val="dash"/>
              <a:round/>
            </a:ln>
          </c:spPr>
          <c:marker>
            <c:symbol val="none"/>
          </c:marker>
          <c:dLbls>
            <c:delete val="1"/>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Globale'!$C$64:$G$64</c:f>
              <c:numCache>
                <c:formatCode>0%</c:formatCode>
                <c:ptCount val="5"/>
                <c:pt idx="0">
                  <c:v>0.157018115839311</c:v>
                </c:pt>
                <c:pt idx="1">
                  <c:v>0.494558304465012</c:v>
                </c:pt>
                <c:pt idx="2">
                  <c:v>0.591102046797909</c:v>
                </c:pt>
                <c:pt idx="3">
                  <c:v>0.463230893335762</c:v>
                </c:pt>
                <c:pt idx="4">
                  <c:v>0</c:v>
                </c:pt>
              </c:numCache>
            </c:numRef>
          </c:val>
          <c:smooth val="0"/>
        </c:ser>
        <c:dLbls>
          <c:showLegendKey val="0"/>
          <c:showVal val="0"/>
          <c:showCatName val="0"/>
          <c:showSerName val="0"/>
          <c:showPercent val="0"/>
          <c:showBubbleSize val="0"/>
        </c:dLbls>
        <c:marker val="0"/>
        <c:smooth val="0"/>
        <c:axId val="797523605"/>
        <c:axId val="1301592353"/>
      </c:lineChart>
      <c:catAx>
        <c:axId val="29237914"/>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695618981"/>
        <c:crosses val="autoZero"/>
        <c:auto val="1"/>
        <c:lblAlgn val="ctr"/>
        <c:lblOffset val="100"/>
        <c:noMultiLvlLbl val="1"/>
      </c:catAx>
      <c:valAx>
        <c:axId val="695618981"/>
        <c:scaling>
          <c:orientation val="minMax"/>
          <c:max val="30000000"/>
        </c:scaling>
        <c:delete val="0"/>
        <c:axPos val="l"/>
        <c:title>
          <c:layout/>
          <c:overlay val="0"/>
          <c:tx>
            <c:rich>
              <a:bodyPr/>
              <a:lstStyle/>
              <a:p>
                <a:pPr>
                  <a:defRPr/>
                </a:pPr>
              </a:p>
            </c:rich>
          </c:tx>
        </c:title>
        <c:numFmt formatCode="_-* #\ ##0_-;\(#\ ##0\)_-;_-* &quot;-&quot;_-;_-@"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29237914"/>
        <c:crosses val="autoZero"/>
        <c:crossBetween val="between"/>
      </c:valAx>
      <c:catAx>
        <c:axId val="797523605"/>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fr-FR" sz="1000" b="0" i="0" u="none" strike="noStrike" kern="1200" baseline="0">
                <a:solidFill>
                  <a:schemeClr val="tx1"/>
                </a:solidFill>
                <a:latin typeface="+mn-lt"/>
                <a:ea typeface="+mn-ea"/>
                <a:cs typeface="+mn-cs"/>
              </a:defRPr>
            </a:pPr>
          </a:p>
        </c:txPr>
        <c:crossAx val="1301592353"/>
        <c:crosses val="autoZero"/>
        <c:auto val="1"/>
        <c:lblAlgn val="ctr"/>
        <c:lblOffset val="100"/>
        <c:noMultiLvlLbl val="1"/>
      </c:catAx>
      <c:valAx>
        <c:axId val="1301592353"/>
        <c:scaling>
          <c:orientation val="minMax"/>
          <c:max val="1"/>
        </c:scaling>
        <c:delete val="0"/>
        <c:axPos val="r"/>
        <c:title>
          <c:layout/>
          <c:overlay val="0"/>
          <c:tx>
            <c:rich>
              <a:bodyPr/>
              <a:lstStyle/>
              <a:p>
                <a:pPr>
                  <a:defRPr/>
                </a:pPr>
              </a:p>
            </c:rich>
          </c:tx>
        </c:title>
        <c:numFmt formatCode="0.00%" sourceLinked="0"/>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400" b="0" i="0" u="none" strike="noStrike" kern="1200" baseline="0">
                <a:solidFill>
                  <a:srgbClr val="000000"/>
                </a:solidFill>
                <a:latin typeface="Calibri" panose="020F0502020204030204"/>
                <a:ea typeface="+mn-ea"/>
                <a:cs typeface="+mn-cs"/>
              </a:defRPr>
            </a:pPr>
          </a:p>
        </c:txPr>
        <c:crossAx val="797523605"/>
        <c:crosses val="max"/>
        <c:crossBetween val="between"/>
      </c:valAx>
    </c:plotArea>
    <c:legend>
      <c:legendPos val="b"/>
      <c:layout>
        <c:manualLayout>
          <c:xMode val="edge"/>
          <c:yMode val="edge"/>
          <c:x val="0.237535909679704"/>
          <c:y val="0.934253087063985"/>
        </c:manualLayout>
      </c:layout>
      <c:overlay val="0"/>
      <c:txPr>
        <a:bodyPr rot="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600" b="1" i="0" u="none" strike="noStrike" kern="1200" baseline="0">
                <a:solidFill>
                  <a:srgbClr val="000000"/>
                </a:solidFill>
                <a:latin typeface="Calibri" panose="020F0502020204030204"/>
                <a:ea typeface="+mn-ea"/>
                <a:cs typeface="+mn-cs"/>
              </a:defRPr>
            </a:pPr>
            <a:r>
              <a:rPr sz="1600" b="1" i="0">
                <a:solidFill>
                  <a:srgbClr val="000000"/>
                </a:solidFill>
                <a:latin typeface="Calibri" panose="020F0502020204030204"/>
              </a:rPr>
              <a:t>Flux de Trésorerie</a:t>
            </a:r>
            <a:endParaRPr sz="1600" b="1" i="0">
              <a:solidFill>
                <a:srgbClr val="000000"/>
              </a:solidFill>
              <a:latin typeface="Calibri" panose="020F0502020204030204"/>
            </a:endParaRPr>
          </a:p>
        </c:rich>
      </c:tx>
      <c:layout>
        <c:manualLayout>
          <c:xMode val="edge"/>
          <c:yMode val="edge"/>
          <c:x val="0.430030541396634"/>
          <c:y val="0.0138888888888889"/>
        </c:manualLayout>
      </c:layout>
      <c:overlay val="0"/>
    </c:title>
    <c:autoTitleDeleted val="0"/>
    <c:plotArea>
      <c:layout>
        <c:manualLayout>
          <c:xMode val="edge"/>
          <c:yMode val="edge"/>
          <c:x val="0.107520022890781"/>
          <c:y val="0.0559722222222222"/>
          <c:w val="0.868106180423671"/>
          <c:h val="0.730725065616798"/>
        </c:manualLayout>
      </c:layout>
      <c:barChart>
        <c:barDir val="col"/>
        <c:grouping val="stacked"/>
        <c:varyColors val="1"/>
        <c:ser>
          <c:idx val="0"/>
          <c:order val="0"/>
          <c:tx>
            <c:strRef>
              <c:f>"Tresorerie net d'exploitation"</c:f>
              <c:strCache>
                <c:ptCount val="1"/>
                <c:pt idx="0">
                  <c:v>Tresorerie net d'exploitation</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Lbls>
            <c:dLbl>
              <c:idx val="0"/>
              <c:layout/>
              <c:tx>
                <c:rich>
                  <a:bodyPr rot="0" spcFirstLastPara="0" vertOverflow="ellipsis" vert="horz" wrap="square" lIns="38100" tIns="19050" rIns="38100" bIns="19050" anchor="ctr" anchorCtr="1"/>
                  <a:lstStyle/>
                  <a:p>
                    <a:pPr lvl="0">
                      <a:defRPr lang="fr-FR" sz="1000" b="0" i="0" u="none" strike="noStrike" kern="1200" baseline="0">
                        <a:solidFill>
                          <a:srgbClr val="000000"/>
                        </a:solidFill>
                        <a:latin typeface="Roboto"/>
                        <a:ea typeface="+mn-ea"/>
                        <a:cs typeface="+mn-cs"/>
                      </a:defRPr>
                    </a:pPr>
                    <a:r>
                      <a:rPr b="0">
                        <a:solidFill>
                          <a:srgbClr val="000000"/>
                        </a:solidFill>
                        <a:latin typeface="Roboto"/>
                      </a:rPr>
                      <a:t>[PLAGECELL]</a:t>
                    </a:r>
                    <a:endParaRPr b="0">
                      <a:solidFill>
                        <a:srgbClr val="000000"/>
                      </a:solidFill>
                      <a:latin typeface="Roboto"/>
                    </a:endParaRPr>
                  </a:p>
                </c:rich>
              </c:tx>
              <c:numFmt formatCode="General" sourceLinked="1"/>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rgbClr val="000000"/>
                      </a:solidFill>
                      <a:latin typeface="Roboto"/>
                      <a:ea typeface="+mn-ea"/>
                      <a:cs typeface="+mn-cs"/>
                    </a:defRPr>
                  </a:pPr>
                </a:p>
              </c:txPr>
              <c:dLblPos val="ctr"/>
              <c:showLegendKey val="0"/>
              <c:showVal val="1"/>
              <c:showCatName val="0"/>
              <c:showSerName val="0"/>
              <c:showPercent val="0"/>
              <c:showBubbleSize val="0"/>
              <c:extLst>
                <c:ext xmlns:c15="http://schemas.microsoft.com/office/drawing/2012/chart" uri="{CE6537A1-D6FC-4f65-9D91-7224C49458BB}"/>
              </c:extLst>
            </c:dLbl>
            <c:dLbl>
              <c:idx val="1"/>
              <c:layout/>
              <c:tx>
                <c:rich>
                  <a:bodyPr rot="0" spcFirstLastPara="0" vertOverflow="ellipsis" vert="horz" wrap="square" lIns="38100" tIns="19050" rIns="38100" bIns="19050" anchor="ctr" anchorCtr="1"/>
                  <a:lstStyle/>
                  <a:p>
                    <a:pPr lvl="0">
                      <a:defRPr lang="fr-FR" sz="1000" b="0" i="0" u="none" strike="noStrike" kern="1200" baseline="0">
                        <a:solidFill>
                          <a:srgbClr val="000000"/>
                        </a:solidFill>
                        <a:latin typeface="Roboto"/>
                        <a:ea typeface="+mn-ea"/>
                        <a:cs typeface="+mn-cs"/>
                      </a:defRPr>
                    </a:pPr>
                    <a:r>
                      <a:rPr b="0">
                        <a:solidFill>
                          <a:srgbClr val="000000"/>
                        </a:solidFill>
                        <a:latin typeface="Roboto"/>
                      </a:rPr>
                      <a:t>[PLAGECELL]</a:t>
                    </a:r>
                    <a:endParaRPr b="0">
                      <a:solidFill>
                        <a:srgbClr val="000000"/>
                      </a:solidFill>
                      <a:latin typeface="Roboto"/>
                    </a:endParaRPr>
                  </a:p>
                </c:rich>
              </c:tx>
              <c:numFmt formatCode="General" sourceLinked="1"/>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rgbClr val="000000"/>
                      </a:solidFill>
                      <a:latin typeface="Roboto"/>
                      <a:ea typeface="+mn-ea"/>
                      <a:cs typeface="+mn-cs"/>
                    </a:defRPr>
                  </a:pPr>
                </a:p>
              </c:txPr>
              <c:dLblPos val="ctr"/>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0" vertOverflow="ellipsis" vert="horz" wrap="square" lIns="38100" tIns="19050" rIns="38100" bIns="19050" anchor="ctr" anchorCtr="1"/>
                  <a:lstStyle/>
                  <a:p>
                    <a:pPr lvl="0">
                      <a:defRPr lang="fr-FR" sz="1000" b="0" i="0" u="none" strike="noStrike" kern="1200" baseline="0">
                        <a:solidFill>
                          <a:srgbClr val="000000"/>
                        </a:solidFill>
                        <a:latin typeface="Roboto"/>
                        <a:ea typeface="+mn-ea"/>
                        <a:cs typeface="+mn-cs"/>
                      </a:defRPr>
                    </a:pPr>
                    <a:r>
                      <a:rPr b="0">
                        <a:solidFill>
                          <a:srgbClr val="000000"/>
                        </a:solidFill>
                        <a:latin typeface="Roboto"/>
                      </a:rPr>
                      <a:t>[PLAGECELL]</a:t>
                    </a:r>
                    <a:endParaRPr b="0">
                      <a:solidFill>
                        <a:srgbClr val="000000"/>
                      </a:solidFill>
                      <a:latin typeface="Roboto"/>
                    </a:endParaRPr>
                  </a:p>
                </c:rich>
              </c:tx>
              <c:numFmt formatCode="General" sourceLinked="1"/>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rgbClr val="000000"/>
                      </a:solidFill>
                      <a:latin typeface="Roboto"/>
                      <a:ea typeface="+mn-ea"/>
                      <a:cs typeface="+mn-cs"/>
                    </a:defRPr>
                  </a:pPr>
                </a:p>
              </c:txPr>
              <c:dLblPos val="ctr"/>
              <c:showLegendKey val="0"/>
              <c:showVal val="1"/>
              <c:showCatName val="0"/>
              <c:showSerName val="0"/>
              <c:showPercent val="0"/>
              <c:showBubbleSize val="0"/>
              <c:extLst>
                <c:ext xmlns:c15="http://schemas.microsoft.com/office/drawing/2012/chart" uri="{CE6537A1-D6FC-4f65-9D91-7224C49458BB}"/>
              </c:extLst>
            </c:dLbl>
            <c:dLbl>
              <c:idx val="3"/>
              <c:layout/>
              <c:tx>
                <c:rich>
                  <a:bodyPr rot="0" spcFirstLastPara="0" vertOverflow="ellipsis" vert="horz" wrap="square" lIns="38100" tIns="19050" rIns="38100" bIns="19050" anchor="ctr" anchorCtr="1"/>
                  <a:lstStyle/>
                  <a:p>
                    <a:pPr lvl="0">
                      <a:defRPr lang="fr-FR" sz="1000" b="0" i="0" u="none" strike="noStrike" kern="1200" baseline="0">
                        <a:solidFill>
                          <a:srgbClr val="000000"/>
                        </a:solidFill>
                        <a:latin typeface="Roboto"/>
                        <a:ea typeface="+mn-ea"/>
                        <a:cs typeface="+mn-cs"/>
                      </a:defRPr>
                    </a:pPr>
                    <a:r>
                      <a:rPr b="0">
                        <a:solidFill>
                          <a:srgbClr val="000000"/>
                        </a:solidFill>
                        <a:latin typeface="Roboto"/>
                      </a:rPr>
                      <a:t>[PLAGECELL]</a:t>
                    </a:r>
                    <a:endParaRPr b="0">
                      <a:solidFill>
                        <a:srgbClr val="000000"/>
                      </a:solidFill>
                      <a:latin typeface="Roboto"/>
                    </a:endParaRPr>
                  </a:p>
                </c:rich>
              </c:tx>
              <c:numFmt formatCode="General" sourceLinked="1"/>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rgbClr val="000000"/>
                      </a:solidFill>
                      <a:latin typeface="Roboto"/>
                      <a:ea typeface="+mn-ea"/>
                      <a:cs typeface="+mn-cs"/>
                    </a:defRPr>
                  </a:pPr>
                </a:p>
              </c:txPr>
              <c:dLblPos val="ctr"/>
              <c:showLegendKey val="0"/>
              <c:showVal val="1"/>
              <c:showCatName val="0"/>
              <c:showSerName val="0"/>
              <c:showPercent val="0"/>
              <c:showBubbleSize val="0"/>
              <c:extLst>
                <c:ext xmlns:c15="http://schemas.microsoft.com/office/drawing/2012/chart" uri="{CE6537A1-D6FC-4f65-9D91-7224C49458BB}"/>
              </c:extLst>
            </c:dLbl>
            <c:dLbl>
              <c:idx val="4"/>
              <c:layout/>
              <c:tx>
                <c:rich>
                  <a:bodyPr rot="0" spcFirstLastPara="0" vertOverflow="ellipsis" vert="horz" wrap="square" lIns="38100" tIns="19050" rIns="38100" bIns="19050" anchor="ctr" anchorCtr="1"/>
                  <a:lstStyle/>
                  <a:p>
                    <a:pPr lvl="0">
                      <a:defRPr lang="fr-FR" sz="1000" b="0" i="0" u="none" strike="noStrike" kern="1200" baseline="0">
                        <a:solidFill>
                          <a:srgbClr val="000000"/>
                        </a:solidFill>
                        <a:latin typeface="Roboto"/>
                        <a:ea typeface="+mn-ea"/>
                        <a:cs typeface="+mn-cs"/>
                      </a:defRPr>
                    </a:pPr>
                    <a:r>
                      <a:rPr b="0">
                        <a:solidFill>
                          <a:srgbClr val="000000"/>
                        </a:solidFill>
                        <a:latin typeface="Roboto"/>
                      </a:rPr>
                      <a:t>[PLAGECELL]</a:t>
                    </a:r>
                    <a:endParaRPr b="0">
                      <a:solidFill>
                        <a:srgbClr val="000000"/>
                      </a:solidFill>
                      <a:latin typeface="Roboto"/>
                    </a:endParaRPr>
                  </a:p>
                </c:rich>
              </c:tx>
              <c:numFmt formatCode="General" sourceLinked="1"/>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rgbClr val="000000"/>
                      </a:solidFill>
                      <a:latin typeface="Roboto"/>
                      <a:ea typeface="+mn-ea"/>
                      <a:cs typeface="+mn-cs"/>
                    </a:defRPr>
                  </a:pPr>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Globale'!$C$66:$G$66</c:f>
              <c:numCache>
                <c:formatCode>#,##0_);\(#,##0\);\-</c:formatCode>
                <c:ptCount val="5"/>
                <c:pt idx="0">
                  <c:v>-292750</c:v>
                </c:pt>
                <c:pt idx="1">
                  <c:v>2827027.74</c:v>
                </c:pt>
                <c:pt idx="2">
                  <c:v>8525150</c:v>
                </c:pt>
                <c:pt idx="3">
                  <c:v>9556300</c:v>
                </c:pt>
                <c:pt idx="4">
                  <c:v>4957950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"Tresorerie net d'investissement"</c:f>
              <c:strCache>
                <c:ptCount val="1"/>
                <c:pt idx="0">
                  <c:v>Tresorerie net d'investissement</c:v>
                </c:pt>
              </c:strCache>
            </c:strRef>
          </c:tx>
          <c:spPr>
            <a:solidFill>
              <a:srgbClr val="ED7D31"/>
            </a:solidFill>
            <a:ln cmpd="sng">
              <a:solidFill>
                <a:srgbClr val="000000"/>
              </a:solidFill>
            </a:ln>
          </c:spPr>
          <c:invertIfNegative val="1"/>
          <c:dPt>
            <c:idx val="0"/>
            <c:invertIfNegative val="1"/>
            <c:bubble3D val="0"/>
            <c:spPr>
              <a:solidFill>
                <a:srgbClr val="ED7D31"/>
              </a:solidFill>
              <a:ln cmpd="sng">
                <a:solidFill>
                  <a:srgbClr val="000000"/>
                </a:solidFill>
              </a:ln>
            </c:spPr>
          </c:dPt>
          <c:dPt>
            <c:idx val="1"/>
            <c:invertIfNegative val="1"/>
            <c:bubble3D val="0"/>
            <c:spPr>
              <a:solidFill>
                <a:srgbClr val="ED7D31"/>
              </a:solidFill>
              <a:ln cmpd="sng">
                <a:solidFill>
                  <a:srgbClr val="000000"/>
                </a:solidFill>
              </a:ln>
            </c:spPr>
          </c:dPt>
          <c:dPt>
            <c:idx val="2"/>
            <c:invertIfNegative val="1"/>
            <c:bubble3D val="0"/>
            <c:spPr>
              <a:solidFill>
                <a:srgbClr val="ED7D31"/>
              </a:solidFill>
              <a:ln cmpd="sng">
                <a:solidFill>
                  <a:srgbClr val="000000"/>
                </a:solidFill>
              </a:ln>
            </c:spPr>
          </c:dPt>
          <c:dPt>
            <c:idx val="3"/>
            <c:invertIfNegative val="1"/>
            <c:bubble3D val="0"/>
            <c:spPr>
              <a:solidFill>
                <a:srgbClr val="ED7D31"/>
              </a:solidFill>
              <a:ln cmpd="sng">
                <a:solidFill>
                  <a:srgbClr val="000000"/>
                </a:solidFill>
              </a:ln>
            </c:spPr>
          </c:dPt>
          <c:dPt>
            <c:idx val="4"/>
            <c:invertIfNegative val="1"/>
            <c:bubble3D val="0"/>
            <c:spPr>
              <a:solidFill>
                <a:srgbClr val="ED7D31"/>
              </a:solidFill>
              <a:ln cmpd="sng">
                <a:solidFill>
                  <a:srgbClr val="000000"/>
                </a:solidFill>
              </a:ln>
            </c:spPr>
          </c:dPt>
          <c:dLbls>
            <c:delete val="1"/>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Globale'!$C$67:$G$67</c:f>
              <c:numCache>
                <c:formatCode>#,##0_);\(#,##0\);\-</c:formatCode>
                <c:ptCount val="5"/>
                <c:pt idx="0">
                  <c:v>-114000</c:v>
                </c:pt>
                <c:pt idx="1">
                  <c:v>-3087027.39623</c:v>
                </c:pt>
                <c:pt idx="2">
                  <c:v>-1972000</c:v>
                </c:pt>
                <c:pt idx="3">
                  <c:v>-1159300</c:v>
                </c:pt>
                <c:pt idx="4">
                  <c:v>-6000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421808795"/>
        <c:axId val="2056181938"/>
      </c:barChart>
      <c:catAx>
        <c:axId val="1421808795"/>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2056181938"/>
        <c:crosses val="autoZero"/>
        <c:auto val="1"/>
        <c:lblAlgn val="ctr"/>
        <c:lblOffset val="100"/>
        <c:noMultiLvlLbl val="1"/>
      </c:catAx>
      <c:valAx>
        <c:axId val="2056181938"/>
        <c:scaling>
          <c:orientation val="minMax"/>
        </c:scaling>
        <c:delete val="0"/>
        <c:axPos val="l"/>
        <c:title>
          <c:layout/>
          <c:overlay val="0"/>
          <c:tx>
            <c:rich>
              <a:bodyPr/>
              <a:lstStyle/>
              <a:p>
                <a:pPr>
                  <a:defRPr/>
                </a:pPr>
              </a:p>
            </c:rich>
          </c:tx>
        </c:title>
        <c:numFmt formatCode="#\ ##0_);\(#\ ##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1421808795"/>
        <c:crosses val="autoZero"/>
        <c:crossBetween val="between"/>
        <c:majorUnit val="2000000"/>
      </c:valAx>
    </c:plotArea>
    <c:legend>
      <c:legendPos val="b"/>
      <c:layout>
        <c:manualLayout>
          <c:xMode val="edge"/>
          <c:yMode val="edge"/>
          <c:x val="0.248467679322457"/>
          <c:y val="0.93411625587638"/>
        </c:manualLayout>
      </c:layout>
      <c:overlay val="0"/>
      <c:txPr>
        <a:bodyPr rot="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600" b="1" i="0" u="none" strike="noStrike" kern="1200" baseline="0">
                <a:solidFill>
                  <a:srgbClr val="000000"/>
                </a:solidFill>
                <a:latin typeface="Calibri" panose="020F0502020204030204"/>
                <a:ea typeface="+mn-ea"/>
                <a:cs typeface="+mn-cs"/>
              </a:defRPr>
            </a:pPr>
            <a:r>
              <a:rPr sz="1600" b="1" i="0">
                <a:solidFill>
                  <a:srgbClr val="000000"/>
                </a:solidFill>
                <a:latin typeface="Calibri" panose="020F0502020204030204"/>
              </a:rPr>
              <a:t>Evolution des charges opérationelles</a:t>
            </a:r>
            <a:endParaRPr sz="1600" b="1" i="0">
              <a:solidFill>
                <a:srgbClr val="000000"/>
              </a:solidFill>
              <a:latin typeface="Calibri" panose="020F0502020204030204"/>
            </a:endParaRPr>
          </a:p>
        </c:rich>
      </c:tx>
      <c:layout/>
      <c:overlay val="0"/>
    </c:title>
    <c:autoTitleDeleted val="0"/>
    <c:plotArea>
      <c:layout>
        <c:manualLayout>
          <c:xMode val="edge"/>
          <c:yMode val="edge"/>
          <c:x val="0.0762009572228984"/>
          <c:y val="0.0633960782603006"/>
          <c:w val="0.908773532213587"/>
          <c:h val="0.838393351800554"/>
        </c:manualLayout>
      </c:layout>
      <c:barChart>
        <c:barDir val="col"/>
        <c:grouping val="stacked"/>
        <c:varyColors val="1"/>
        <c:ser>
          <c:idx val="0"/>
          <c:order val="0"/>
          <c:tx>
            <c:strRef>
              <c:f>"Cachet"</c:f>
              <c:strCache>
                <c:ptCount val="1"/>
                <c:pt idx="0">
                  <c:v>Cachet</c:v>
                </c:pt>
              </c:strCache>
            </c:strRef>
          </c:tx>
          <c:spPr>
            <a:solidFill>
              <a:srgbClr val="4472C4"/>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chemeClr val="tx1"/>
                    </a:solidFill>
                    <a:latin typeface="Calibri" panose="020F0502020204030204"/>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Globale'!$C$15:$G$15</c:f>
              <c:numCache>
                <c:formatCode>#,##0_);\(#,##0\);\-</c:formatCode>
                <c:ptCount val="5"/>
                <c:pt idx="0">
                  <c:v>20000</c:v>
                </c:pt>
                <c:pt idx="1">
                  <c:v>335000</c:v>
                </c:pt>
                <c:pt idx="2">
                  <c:v>480000</c:v>
                </c:pt>
                <c:pt idx="3">
                  <c:v>630000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"Cash Power"</c:f>
              <c:strCache>
                <c:ptCount val="1"/>
                <c:pt idx="0">
                  <c:v>Cash Power</c:v>
                </c:pt>
              </c:strCache>
            </c:strRef>
          </c:tx>
          <c:spPr>
            <a:solidFill>
              <a:srgbClr val="ED7D31"/>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chemeClr val="tx1"/>
                    </a:solidFill>
                    <a:latin typeface="Calibri" panose="020F0502020204030204"/>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Globale'!$C$17:$G$17</c:f>
              <c:numCache>
                <c:formatCode>#,##0_);\(#,##0\);\-</c:formatCode>
                <c:ptCount val="5"/>
                <c:pt idx="0">
                  <c:v>0</c:v>
                </c:pt>
                <c:pt idx="1">
                  <c:v>470000</c:v>
                </c:pt>
                <c:pt idx="2">
                  <c:v>550000</c:v>
                </c:pt>
                <c:pt idx="3">
                  <c:v>500000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"Marketing et Administration"</c:f>
              <c:strCache>
                <c:ptCount val="1"/>
                <c:pt idx="0">
                  <c:v>Marketing et Administration</c:v>
                </c:pt>
              </c:strCache>
            </c:strRef>
          </c:tx>
          <c:spPr>
            <a:solidFill>
              <a:srgbClr val="A5A5A5"/>
            </a:solidFill>
            <a:ln cmpd="sng">
              <a:solidFill>
                <a:srgbClr val="000000"/>
              </a:solidFill>
            </a:ln>
          </c:spPr>
          <c:invertIfNegative val="1"/>
          <c:dLbls>
            <c:delete val="1"/>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Globale'!$C$19:$G$19</c:f>
              <c:numCache>
                <c:formatCode>#,##0_);\(#,##0\);\-</c:formatCode>
                <c:ptCount val="5"/>
                <c:pt idx="0">
                  <c:v>145100</c:v>
                </c:pt>
                <c:pt idx="1">
                  <c:v>227700</c:v>
                </c:pt>
                <c:pt idx="2">
                  <c:v>48300</c:v>
                </c:pt>
                <c:pt idx="3">
                  <c:v>177600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strRef>
              <c:f>"Charges du personnel"</c:f>
              <c:strCache>
                <c:ptCount val="1"/>
                <c:pt idx="0">
                  <c:v>Charges du personnel</c:v>
                </c:pt>
              </c:strCache>
            </c:strRef>
          </c:tx>
          <c:spPr>
            <a:solidFill>
              <a:srgbClr val="FFC000"/>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chemeClr val="tx1"/>
                    </a:solidFill>
                    <a:latin typeface="Calibri" panose="020F0502020204030204"/>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Globale'!$C$21:$G$21</c:f>
              <c:numCache>
                <c:formatCode>#,##0_);\(#,##0\);\-</c:formatCode>
                <c:ptCount val="5"/>
                <c:pt idx="0">
                  <c:v>549500</c:v>
                </c:pt>
                <c:pt idx="1">
                  <c:v>1399000</c:v>
                </c:pt>
                <c:pt idx="2">
                  <c:v>1736000</c:v>
                </c:pt>
                <c:pt idx="3">
                  <c:v>1809500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4"/>
          <c:order val="4"/>
          <c:tx>
            <c:strRef>
              <c:f>"Autres"</c:f>
              <c:strCache>
                <c:ptCount val="1"/>
                <c:pt idx="0">
                  <c:v>Autres</c:v>
                </c:pt>
              </c:strCache>
            </c:strRef>
          </c:tx>
          <c:spPr>
            <a:solidFill>
              <a:srgbClr val="5B9BD5"/>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chemeClr val="tx1"/>
                    </a:solidFill>
                    <a:latin typeface="Calibri" panose="020F0502020204030204"/>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Globale'!$C$23:$G$23</c:f>
              <c:numCache>
                <c:formatCode>#,##0_);\(#,##0\);\-</c:formatCode>
                <c:ptCount val="5"/>
                <c:pt idx="0">
                  <c:v>132000</c:v>
                </c:pt>
                <c:pt idx="1">
                  <c:v>787272.26</c:v>
                </c:pt>
                <c:pt idx="2">
                  <c:v>761000</c:v>
                </c:pt>
                <c:pt idx="3">
                  <c:v>677725</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2117699447"/>
        <c:axId val="1923677090"/>
      </c:barChart>
      <c:catAx>
        <c:axId val="2117699447"/>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1923677090"/>
        <c:crosses val="autoZero"/>
        <c:auto val="1"/>
        <c:lblAlgn val="ctr"/>
        <c:lblOffset val="100"/>
        <c:noMultiLvlLbl val="1"/>
      </c:catAx>
      <c:valAx>
        <c:axId val="1923677090"/>
        <c:scaling>
          <c:orientation val="minMax"/>
          <c:max val="4000000"/>
        </c:scaling>
        <c:delete val="0"/>
        <c:axPos val="l"/>
        <c:title>
          <c:layout/>
          <c:overlay val="0"/>
          <c:tx>
            <c:rich>
              <a:bodyPr/>
              <a:lstStyle/>
              <a:p>
                <a:pPr>
                  <a:defRPr/>
                </a:pPr>
              </a:p>
            </c:rich>
          </c:tx>
        </c:title>
        <c:numFmt formatCode="#\ ##0_);\(#\ ##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1" i="0" u="none" strike="noStrike" kern="1200" baseline="0">
                <a:solidFill>
                  <a:srgbClr val="000000"/>
                </a:solidFill>
                <a:latin typeface="Calibri" panose="020F0502020204030204"/>
                <a:ea typeface="+mn-ea"/>
                <a:cs typeface="+mn-cs"/>
              </a:defRPr>
            </a:pPr>
          </a:p>
        </c:txPr>
        <c:crossAx val="2117699447"/>
        <c:crosses val="autoZero"/>
        <c:crossBetween val="between"/>
      </c:valAx>
    </c:plotArea>
    <c:legend>
      <c:legendPos val="b"/>
      <c:layout/>
      <c:overlay val="0"/>
      <c:txPr>
        <a:bodyPr rot="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600" b="1" i="0" u="none" strike="noStrike" kern="1200" baseline="0">
                <a:solidFill>
                  <a:srgbClr val="757575"/>
                </a:solidFill>
                <a:latin typeface="Calibri" panose="020F0502020204030204"/>
                <a:ea typeface="+mn-ea"/>
                <a:cs typeface="+mn-cs"/>
              </a:defRPr>
            </a:pPr>
            <a:r>
              <a:rPr sz="1600" b="1" i="0">
                <a:solidFill>
                  <a:srgbClr val="757575"/>
                </a:solidFill>
                <a:latin typeface="Calibri" panose="020F0502020204030204"/>
              </a:rPr>
              <a:t>Répartition du CA Avril-Juillet</a:t>
            </a:r>
            <a:endParaRPr sz="1600" b="1" i="0">
              <a:solidFill>
                <a:srgbClr val="757575"/>
              </a:solidFill>
              <a:latin typeface="Calibri" panose="020F0502020204030204"/>
            </a:endParaRPr>
          </a:p>
        </c:rich>
      </c:tx>
      <c:layout/>
      <c:overlay val="0"/>
    </c:title>
    <c:autoTitleDeleted val="0"/>
    <c:plotArea>
      <c:layout/>
      <c:pie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Lbls>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'Analyse Globale'!$I$64:$I$66</c:f>
              <c:strCache>
                <c:ptCount val="3"/>
                <c:pt idx="0">
                  <c:v>DRINK</c:v>
                </c:pt>
                <c:pt idx="1">
                  <c:v>EAT</c:v>
                </c:pt>
                <c:pt idx="2">
                  <c:v>SMOKE</c:v>
                </c:pt>
              </c:strCache>
            </c:strRef>
          </c:cat>
          <c:val>
            <c:numRef>
              <c:f>'Analyse Globale'!$K$64:$K$66</c:f>
              <c:numCache>
                <c:formatCode>0%</c:formatCode>
                <c:ptCount val="3"/>
                <c:pt idx="0">
                  <c:v>0.707864520888892</c:v>
                </c:pt>
                <c:pt idx="1">
                  <c:v>0.17892666162687</c:v>
                </c:pt>
                <c:pt idx="2">
                  <c:v>0.113208817484238</c:v>
                </c:pt>
              </c:numCache>
            </c:numRef>
          </c:val>
        </c:ser>
        <c:dLbls>
          <c:showLegendKey val="0"/>
          <c:showVal val="0"/>
          <c:showCatName val="0"/>
          <c:showSerName val="0"/>
          <c:showPercent val="0"/>
          <c:showBubbleSize val="0"/>
          <c:showLeaderLines val="1"/>
        </c:dLbls>
        <c:firstSliceAng val="0"/>
      </c:pieChart>
    </c:plotArea>
    <c:plotVisOnly val="1"/>
    <c:dispBlanksAs val="zero"/>
    <c:showDLblsOverMax val="1"/>
  </c:chart>
  <c:txPr>
    <a:bodyPr/>
    <a:lstStyle/>
    <a:p>
      <a:pPr>
        <a:defRPr lang="fr-F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600" b="1" i="0" u="none" strike="noStrike" kern="1200" baseline="0">
                <a:solidFill>
                  <a:srgbClr val="000000"/>
                </a:solidFill>
                <a:latin typeface="Calibri" panose="020F0502020204030204"/>
                <a:ea typeface="+mn-ea"/>
                <a:cs typeface="+mn-cs"/>
              </a:defRPr>
            </a:pPr>
            <a:r>
              <a:rPr sz="1600" b="1" i="0">
                <a:solidFill>
                  <a:srgbClr val="000000"/>
                </a:solidFill>
                <a:latin typeface="Calibri" panose="020F0502020204030204"/>
              </a:rPr>
              <a:t>Evolution des couts de produits</a:t>
            </a:r>
            <a:endParaRPr sz="1600" b="1" i="0">
              <a:solidFill>
                <a:srgbClr val="000000"/>
              </a:solidFill>
              <a:latin typeface="Calibri" panose="020F0502020204030204"/>
            </a:endParaRPr>
          </a:p>
        </c:rich>
      </c:tx>
      <c:layout/>
      <c:overlay val="0"/>
    </c:title>
    <c:autoTitleDeleted val="0"/>
    <c:plotArea>
      <c:layout/>
      <c:areaChart>
        <c:grouping val="stacked"/>
        <c:varyColors val="1"/>
        <c:ser>
          <c:idx val="0"/>
          <c:order val="0"/>
          <c:tx>
            <c:strRef>
              <c:f>"Coûts des produits vendus"</c:f>
              <c:strCache>
                <c:ptCount val="1"/>
                <c:pt idx="0">
                  <c:v>Coûts des produits vendus</c:v>
                </c:pt>
              </c:strCache>
            </c:strRef>
          </c:tx>
          <c:spPr>
            <a:solidFill>
              <a:srgbClr val="000000">
                <a:alpha val="30000"/>
              </a:srgbClr>
            </a:solidFill>
            <a:ln w="28575" cmpd="sng">
              <a:solidFill>
                <a:srgbClr val="000000">
                  <a:alpha val="0"/>
                </a:srgbClr>
              </a:solidFill>
              <a:prstDash val="solid"/>
            </a:ln>
          </c:spPr>
          <c:dLbls>
            <c:delete val="1"/>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Globale'!$C$10:$G$10</c:f>
              <c:numCache>
                <c:formatCode>#,##0_);\(#,##0\);\-</c:formatCode>
                <c:ptCount val="5"/>
                <c:pt idx="0">
                  <c:v>2973450</c:v>
                </c:pt>
                <c:pt idx="1">
                  <c:v>6179050</c:v>
                </c:pt>
                <c:pt idx="2">
                  <c:v>8370550</c:v>
                </c:pt>
                <c:pt idx="3">
                  <c:v>15470625</c:v>
                </c:pt>
                <c:pt idx="4">
                  <c:v>0</c:v>
                </c:pt>
              </c:numCache>
            </c:numRef>
          </c:val>
        </c:ser>
        <c:dLbls>
          <c:showLegendKey val="0"/>
          <c:showVal val="0"/>
          <c:showCatName val="0"/>
          <c:showSerName val="0"/>
          <c:showPercent val="0"/>
          <c:showBubbleSize val="0"/>
        </c:dLbls>
        <c:axId val="1746140775"/>
        <c:axId val="1285584024"/>
      </c:areaChart>
      <c:lineChart>
        <c:grouping val="standard"/>
        <c:varyColors val="0"/>
        <c:ser>
          <c:idx val="1"/>
          <c:order val="1"/>
          <c:tx>
            <c:strRef>
              <c:f>"Coûts des produits vendus"</c:f>
              <c:strCache>
                <c:ptCount val="1"/>
                <c:pt idx="0">
                  <c:v>Coûts des produits vendus</c:v>
                </c:pt>
              </c:strCache>
            </c:strRef>
          </c:tx>
          <c:spPr>
            <a:ln w="47625" cap="rnd" cmpd="sng" algn="ctr">
              <a:solidFill>
                <a:schemeClr val="accent2"/>
              </a:solidFill>
              <a:prstDash val="solid"/>
              <a:round/>
            </a:ln>
          </c:spPr>
          <c:marker>
            <c:symbol val="none"/>
          </c:marker>
          <c:dLbls>
            <c:spPr>
              <a:noFill/>
              <a:ln>
                <a:noFill/>
              </a:ln>
              <a:effectLst/>
            </c:spPr>
            <c:txPr>
              <a:bodyPr rot="0" spcFirstLastPara="0" vertOverflow="ellipsis" vert="horz" wrap="square" lIns="38100" tIns="19050" rIns="38100" bIns="19050" anchor="ctr" anchorCtr="1"/>
              <a:lstStyle/>
              <a:p>
                <a:pPr>
                  <a:defRPr lang="fr-FR"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Globale'!$C$3:$G$3</c:f>
              <c:strCache>
                <c:ptCount val="5"/>
                <c:pt idx="0" c:formatCode="0&quot;A&quot;">
                  <c:v>Avril</c:v>
                </c:pt>
                <c:pt idx="1" c:formatCode="0&quot;A&quot;">
                  <c:v>Mai</c:v>
                </c:pt>
                <c:pt idx="2" c:formatCode="0&quot;A&quot;">
                  <c:v>Juin</c:v>
                </c:pt>
                <c:pt idx="3" c:formatCode="0&quot;E&quot;">
                  <c:v>Juillet</c:v>
                </c:pt>
                <c:pt idx="4" c:formatCode="0&quot;E&quot;">
                  <c:v>Aout</c:v>
                </c:pt>
              </c:strCache>
            </c:strRef>
          </c:cat>
          <c:val>
            <c:numRef>
              <c:f>'Analyse Globale'!$C$10:$G$10</c:f>
              <c:numCache>
                <c:formatCode>#,##0_);\(#,##0\);\-</c:formatCode>
                <c:ptCount val="5"/>
                <c:pt idx="0">
                  <c:v>2973450</c:v>
                </c:pt>
                <c:pt idx="1">
                  <c:v>6179050</c:v>
                </c:pt>
                <c:pt idx="2">
                  <c:v>8370550</c:v>
                </c:pt>
                <c:pt idx="3">
                  <c:v>15470625</c:v>
                </c:pt>
                <c:pt idx="4">
                  <c:v>0</c:v>
                </c:pt>
              </c:numCache>
            </c:numRef>
          </c:val>
          <c:smooth val="0"/>
        </c:ser>
        <c:dLbls>
          <c:showLegendKey val="0"/>
          <c:showVal val="0"/>
          <c:showCatName val="0"/>
          <c:showSerName val="0"/>
          <c:showPercent val="0"/>
          <c:showBubbleSize val="0"/>
        </c:dLbls>
        <c:marker val="0"/>
        <c:smooth val="0"/>
        <c:axId val="1746140775"/>
        <c:axId val="1285584024"/>
      </c:lineChart>
      <c:catAx>
        <c:axId val="1746140775"/>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1400" b="1" i="0" u="none" strike="noStrike" kern="1200" baseline="0">
                <a:solidFill>
                  <a:srgbClr val="000000"/>
                </a:solidFill>
                <a:latin typeface="Calibri" panose="020F0502020204030204"/>
                <a:ea typeface="+mn-ea"/>
                <a:cs typeface="+mn-cs"/>
              </a:defRPr>
            </a:pPr>
          </a:p>
        </c:txPr>
        <c:crossAx val="1285584024"/>
        <c:crosses val="autoZero"/>
        <c:auto val="1"/>
        <c:lblAlgn val="ctr"/>
        <c:lblOffset val="100"/>
        <c:noMultiLvlLbl val="1"/>
      </c:catAx>
      <c:valAx>
        <c:axId val="1285584024"/>
        <c:scaling>
          <c:orientation val="minMax"/>
        </c:scaling>
        <c:delete val="0"/>
        <c:axPos val="l"/>
        <c:title>
          <c:layout/>
          <c:overlay val="0"/>
          <c:tx>
            <c:rich>
              <a:bodyPr/>
              <a:lstStyle/>
              <a:p>
                <a:pPr>
                  <a:defRPr/>
                </a:pPr>
              </a:p>
            </c:rich>
          </c:tx>
        </c:title>
        <c:numFmt formatCode="#\ ##0_);\(#\ ##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0" i="0" u="none" strike="noStrike" kern="1200" baseline="0">
                <a:solidFill>
                  <a:srgbClr val="000000"/>
                </a:solidFill>
                <a:latin typeface="+mn-lt"/>
                <a:ea typeface="+mn-ea"/>
                <a:cs typeface="+mn-cs"/>
              </a:defRPr>
            </a:pPr>
          </a:p>
        </c:txPr>
        <c:crossAx val="1746140775"/>
        <c:crosses val="autoZero"/>
        <c:crossBetween val="between"/>
      </c:valAx>
    </c:plotArea>
    <c:plotVisOnly val="1"/>
    <c:dispBlanksAs val="zero"/>
    <c:showDLblsOverMax val="1"/>
  </c:chart>
  <c:txPr>
    <a:bodyPr/>
    <a:lstStyle/>
    <a:p>
      <a:pPr>
        <a:defRPr lang="fr-F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400" b="1" i="0" u="none" strike="noStrike" kern="1200" baseline="0">
                <a:solidFill>
                  <a:srgbClr val="757575"/>
                </a:solidFill>
                <a:latin typeface="Calibri" panose="020F0502020204030204"/>
                <a:ea typeface="+mn-ea"/>
                <a:cs typeface="+mn-cs"/>
              </a:defRPr>
            </a:pPr>
            <a:r>
              <a:rPr lang="fr-FR" sz="1400" b="1" i="0">
                <a:solidFill>
                  <a:srgbClr val="757575"/>
                </a:solidFill>
                <a:latin typeface="Calibri" panose="020F0502020204030204"/>
              </a:rPr>
              <a:t>Variation OPEX</a:t>
            </a:r>
            <a:endParaRPr lang="fr-FR" sz="1400" b="1" i="0">
              <a:solidFill>
                <a:srgbClr val="757575"/>
              </a:solidFill>
              <a:latin typeface="Calibri" panose="020F0502020204030204"/>
            </a:endParaRPr>
          </a:p>
        </c:rich>
      </c:tx>
      <c:layout>
        <c:manualLayout>
          <c:xMode val="edge"/>
          <c:yMode val="edge"/>
          <c:x val="0.399566080322094"/>
          <c:y val="0.0272785869516301"/>
        </c:manualLayout>
      </c:layout>
      <c:overlay val="0"/>
    </c:title>
    <c:autoTitleDeleted val="0"/>
    <c:plotArea>
      <c:layout>
        <c:manualLayout>
          <c:xMode val="edge"/>
          <c:yMode val="edge"/>
          <c:x val="0.12427473586696"/>
          <c:y val="0.131901485675257"/>
          <c:w val="0.856239411066942"/>
          <c:h val="0.67970942196918"/>
        </c:manualLayout>
      </c:layout>
      <c:lineChart>
        <c:grouping val="standard"/>
        <c:varyColors val="1"/>
        <c:ser>
          <c:idx val="0"/>
          <c:order val="0"/>
          <c:tx>
            <c:strRef>
              <c:f>"DRINK"</c:f>
              <c:strCache>
                <c:ptCount val="1"/>
                <c:pt idx="0">
                  <c:v>DRINK</c:v>
                </c:pt>
              </c:strCache>
            </c:strRef>
          </c:tx>
          <c:spPr>
            <a:ln w="28575" cap="rnd" cmpd="sng" algn="ctr">
              <a:solidFill>
                <a:srgbClr val="4472C4"/>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Catégorielle'!$D$23:$G$23</c:f>
              <c:numCache>
                <c:formatCode>#,##0</c:formatCode>
                <c:ptCount val="4"/>
                <c:pt idx="0">
                  <c:v>-427594.543432459</c:v>
                </c:pt>
                <c:pt idx="1">
                  <c:v>2100045.27825581</c:v>
                </c:pt>
                <c:pt idx="2">
                  <c:v>6916734.42665316</c:v>
                </c:pt>
                <c:pt idx="3">
                  <c:v>6386795.5069001</c:v>
                </c:pt>
              </c:numCache>
            </c:numRef>
          </c:val>
          <c:smooth val="0"/>
        </c:ser>
        <c:ser>
          <c:idx val="1"/>
          <c:order val="1"/>
          <c:tx>
            <c:strRef>
              <c:f>"EAT"</c:f>
              <c:strCache>
                <c:ptCount val="1"/>
                <c:pt idx="0">
                  <c:v>EAT</c:v>
                </c:pt>
              </c:strCache>
            </c:strRef>
          </c:tx>
          <c:spPr>
            <a:ln w="28575" cap="rnd" cmpd="sng" algn="ctr">
              <a:solidFill>
                <a:srgbClr val="ED7D31"/>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Catégorielle'!$D$51:$G$51</c:f>
              <c:numCache>
                <c:formatCode>#,##0</c:formatCode>
                <c:ptCount val="4"/>
                <c:pt idx="0">
                  <c:v>87310.2366651288</c:v>
                </c:pt>
                <c:pt idx="1">
                  <c:v>331991.914161097</c:v>
                </c:pt>
                <c:pt idx="2">
                  <c:v>368722.344207381</c:v>
                </c:pt>
                <c:pt idx="3">
                  <c:v>391364.940538079</c:v>
                </c:pt>
              </c:numCache>
            </c:numRef>
          </c:val>
          <c:smooth val="0"/>
        </c:ser>
        <c:ser>
          <c:idx val="2"/>
          <c:order val="2"/>
          <c:tx>
            <c:strRef>
              <c:f>"SMOKE"</c:f>
              <c:strCache>
                <c:ptCount val="1"/>
                <c:pt idx="0">
                  <c:v>SMOKE</c:v>
                </c:pt>
              </c:strCache>
            </c:strRef>
          </c:tx>
          <c:spPr>
            <a:ln w="28575" cap="rnd" cmpd="sng" algn="ctr">
              <a:solidFill>
                <a:srgbClr val="A5A5A5"/>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Catégorielle'!$D$80:$G$80</c:f>
              <c:numCache>
                <c:formatCode>#,##0</c:formatCode>
                <c:ptCount val="4"/>
                <c:pt idx="0">
                  <c:v>149156.247903195</c:v>
                </c:pt>
                <c:pt idx="1">
                  <c:v>567144.990663558</c:v>
                </c:pt>
                <c:pt idx="2">
                  <c:v>629905.953916167</c:v>
                </c:pt>
                <c:pt idx="3">
                  <c:v>668585.339305496</c:v>
                </c:pt>
              </c:numCache>
            </c:numRef>
          </c:val>
          <c:smooth val="0"/>
        </c:ser>
        <c:dLbls>
          <c:showLegendKey val="0"/>
          <c:showVal val="0"/>
          <c:showCatName val="0"/>
          <c:showSerName val="0"/>
          <c:showPercent val="0"/>
          <c:showBubbleSize val="0"/>
        </c:dLbls>
        <c:marker val="0"/>
        <c:smooth val="0"/>
        <c:axId val="392672241"/>
        <c:axId val="252120779"/>
      </c:lineChart>
      <c:catAx>
        <c:axId val="392672241"/>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900" b="0" i="0" u="none" strike="noStrike" kern="1200" baseline="0">
                <a:solidFill>
                  <a:srgbClr val="000000"/>
                </a:solidFill>
                <a:latin typeface="Calibri" panose="020F0502020204030204"/>
                <a:ea typeface="+mn-ea"/>
                <a:cs typeface="+mn-cs"/>
              </a:defRPr>
            </a:pPr>
          </a:p>
        </c:txPr>
        <c:crossAx val="252120779"/>
        <c:crosses val="autoZero"/>
        <c:auto val="1"/>
        <c:lblAlgn val="ctr"/>
        <c:lblOffset val="100"/>
        <c:noMultiLvlLbl val="1"/>
      </c:catAx>
      <c:valAx>
        <c:axId val="252120779"/>
        <c:scaling>
          <c:orientation val="minMax"/>
        </c:scaling>
        <c:delete val="0"/>
        <c:axPos val="l"/>
        <c:majorGridlines>
          <c:spPr>
            <a:ln w="6350" cap="flat" cmpd="sng" algn="ctr">
              <a:solidFill>
                <a:srgbClr val="B7B7B7"/>
              </a:solidFill>
              <a:prstDash val="solid"/>
              <a:round/>
            </a:ln>
          </c:spPr>
        </c:majorGridlines>
        <c:title>
          <c:layout/>
          <c:overlay val="0"/>
          <c:tx>
            <c:rich>
              <a:bodyPr/>
              <a:lstStyle/>
              <a:p>
                <a:pPr>
                  <a:defRPr/>
                </a:pPr>
              </a:p>
            </c:rich>
          </c:tx>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1" i="0" u="none" strike="noStrike" kern="1200" baseline="0">
                <a:solidFill>
                  <a:srgbClr val="000000"/>
                </a:solidFill>
                <a:latin typeface="Calibri" panose="020F0502020204030204"/>
                <a:ea typeface="+mn-ea"/>
                <a:cs typeface="+mn-cs"/>
              </a:defRPr>
            </a:pPr>
          </a:p>
        </c:txPr>
        <c:crossAx val="392672241"/>
        <c:crosses val="autoZero"/>
        <c:crossBetween val="between"/>
      </c:valAx>
    </c:plotArea>
    <c:legend>
      <c:legendPos val="b"/>
      <c:layout>
        <c:manualLayout>
          <c:xMode val="edge"/>
          <c:yMode val="edge"/>
          <c:x val="0.166510588668671"/>
          <c:y val="0.901834064516361"/>
        </c:manualLayout>
      </c:layout>
      <c:overlay val="0"/>
      <c:txPr>
        <a:bodyPr rot="0" spcFirstLastPara="0" vertOverflow="ellipsis" vert="horz" wrap="square" anchor="ctr" anchorCtr="1"/>
        <a:lstStyle/>
        <a:p>
          <a:pPr>
            <a:defRPr lang="fr-FR" sz="1100" b="1"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400" b="1" i="0" u="none" strike="noStrike" kern="1200" baseline="0">
                <a:solidFill>
                  <a:srgbClr val="757575"/>
                </a:solidFill>
                <a:latin typeface="Calibri" panose="020F0502020204030204"/>
                <a:ea typeface="+mn-ea"/>
                <a:cs typeface="+mn-cs"/>
              </a:defRPr>
            </a:pPr>
            <a:r>
              <a:rPr lang="fr-FR" sz="1400" b="1" i="0">
                <a:solidFill>
                  <a:srgbClr val="757575"/>
                </a:solidFill>
                <a:latin typeface="Calibri" panose="020F0502020204030204"/>
              </a:rPr>
              <a:t>Variation marge brute</a:t>
            </a:r>
            <a:endParaRPr lang="fr-FR" sz="1400" b="1" i="0">
              <a:solidFill>
                <a:srgbClr val="757575"/>
              </a:solidFill>
              <a:latin typeface="Calibri" panose="020F0502020204030204"/>
            </a:endParaRPr>
          </a:p>
        </c:rich>
      </c:tx>
      <c:layout/>
      <c:overlay val="0"/>
    </c:title>
    <c:autoTitleDeleted val="0"/>
    <c:plotArea>
      <c:layout>
        <c:manualLayout>
          <c:xMode val="edge"/>
          <c:yMode val="edge"/>
          <c:x val="0.119990388080401"/>
          <c:y val="0.115529273205713"/>
          <c:w val="0.85618446699467"/>
          <c:h val="0.659326690148117"/>
        </c:manualLayout>
      </c:layout>
      <c:lineChart>
        <c:grouping val="standard"/>
        <c:varyColors val="1"/>
        <c:ser>
          <c:idx val="0"/>
          <c:order val="0"/>
          <c:tx>
            <c:strRef>
              <c:f>"DRINK"</c:f>
              <c:strCache>
                <c:ptCount val="1"/>
                <c:pt idx="0">
                  <c:v>DRINK</c:v>
                </c:pt>
              </c:strCache>
            </c:strRef>
          </c:tx>
          <c:spPr>
            <a:ln w="28575" cap="rnd" cmpd="sng" algn="ctr">
              <a:solidFill>
                <a:srgbClr val="4472C4"/>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Catégorielle'!$D$10:$G$10</c:f>
              <c:numCache>
                <c:formatCode>#,##0</c:formatCode>
                <c:ptCount val="4"/>
                <c:pt idx="0">
                  <c:v>182538.971999217</c:v>
                </c:pt>
                <c:pt idx="1">
                  <c:v>4419934.22907148</c:v>
                </c:pt>
                <c:pt idx="2">
                  <c:v>9493406.29669806</c:v>
                </c:pt>
                <c:pt idx="3">
                  <c:v>9121679.04990128</c:v>
                </c:pt>
              </c:numCache>
            </c:numRef>
          </c:val>
          <c:smooth val="0"/>
        </c:ser>
        <c:ser>
          <c:idx val="1"/>
          <c:order val="1"/>
          <c:tx>
            <c:strRef>
              <c:f>"EAT"</c:f>
              <c:strCache>
                <c:ptCount val="1"/>
                <c:pt idx="0">
                  <c:v>EAT</c:v>
                </c:pt>
              </c:strCache>
            </c:strRef>
          </c:tx>
          <c:spPr>
            <a:ln w="28575" cap="rnd" cmpd="sng" algn="ctr">
              <a:solidFill>
                <a:srgbClr val="ED7D31"/>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Catégorielle'!$D$38:$G$38</c:f>
              <c:numCache>
                <c:formatCode>#,##0</c:formatCode>
                <c:ptCount val="4"/>
                <c:pt idx="0">
                  <c:v>333069.907969454</c:v>
                </c:pt>
                <c:pt idx="1">
                  <c:v>492040.657476961</c:v>
                </c:pt>
                <c:pt idx="2">
                  <c:v>974897.47888944</c:v>
                </c:pt>
                <c:pt idx="3">
                  <c:v>1522429.55385007</c:v>
                </c:pt>
              </c:numCache>
            </c:numRef>
          </c:val>
          <c:smooth val="0"/>
        </c:ser>
        <c:ser>
          <c:idx val="2"/>
          <c:order val="2"/>
          <c:tx>
            <c:strRef>
              <c:f>"SMOKE"</c:f>
              <c:strCache>
                <c:ptCount val="1"/>
                <c:pt idx="0">
                  <c:v>SMOKE</c:v>
                </c:pt>
              </c:strCache>
            </c:strRef>
          </c:tx>
          <c:spPr>
            <a:ln w="28575" cap="rnd" cmpd="sng" algn="ctr">
              <a:solidFill>
                <a:srgbClr val="A5A5A5"/>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Catégorielle'!$D$67:$G$67</c:f>
              <c:numCache>
                <c:formatCode>#,##0</c:formatCode>
                <c:ptCount val="4"/>
                <c:pt idx="0">
                  <c:v>38241.1200313295</c:v>
                </c:pt>
                <c:pt idx="1">
                  <c:v>1176475.11345156</c:v>
                </c:pt>
                <c:pt idx="2">
                  <c:v>1652146.2244125</c:v>
                </c:pt>
                <c:pt idx="3">
                  <c:v>2809016.39624865</c:v>
                </c:pt>
              </c:numCache>
            </c:numRef>
          </c:val>
          <c:smooth val="0"/>
        </c:ser>
        <c:dLbls>
          <c:showLegendKey val="0"/>
          <c:showVal val="0"/>
          <c:showCatName val="0"/>
          <c:showSerName val="0"/>
          <c:showPercent val="0"/>
          <c:showBubbleSize val="0"/>
        </c:dLbls>
        <c:marker val="0"/>
        <c:smooth val="0"/>
        <c:axId val="1231002140"/>
        <c:axId val="1346106677"/>
      </c:lineChart>
      <c:catAx>
        <c:axId val="1231002140"/>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900" b="0" i="0" u="none" strike="noStrike" kern="1200" baseline="0">
                <a:solidFill>
                  <a:srgbClr val="000000"/>
                </a:solidFill>
                <a:latin typeface="Calibri" panose="020F0502020204030204"/>
                <a:ea typeface="+mn-ea"/>
                <a:cs typeface="+mn-cs"/>
              </a:defRPr>
            </a:pPr>
          </a:p>
        </c:txPr>
        <c:crossAx val="1346106677"/>
        <c:crosses val="autoZero"/>
        <c:auto val="1"/>
        <c:lblAlgn val="ctr"/>
        <c:lblOffset val="100"/>
        <c:noMultiLvlLbl val="1"/>
      </c:catAx>
      <c:valAx>
        <c:axId val="1346106677"/>
        <c:scaling>
          <c:orientation val="minMax"/>
        </c:scaling>
        <c:delete val="0"/>
        <c:axPos val="l"/>
        <c:majorGridlines>
          <c:spPr>
            <a:ln w="6350" cap="flat" cmpd="sng" algn="ctr">
              <a:solidFill>
                <a:srgbClr val="B7B7B7"/>
              </a:solidFill>
              <a:prstDash val="solid"/>
              <a:round/>
            </a:ln>
          </c:spPr>
        </c:majorGridlines>
        <c:title>
          <c:layout/>
          <c:overlay val="0"/>
          <c:tx>
            <c:rich>
              <a:bodyPr/>
              <a:lstStyle/>
              <a:p>
                <a:pPr>
                  <a:defRPr/>
                </a:pPr>
              </a:p>
            </c:rich>
          </c:tx>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1" i="0" u="none" strike="noStrike" kern="1200" baseline="0">
                <a:solidFill>
                  <a:srgbClr val="000000"/>
                </a:solidFill>
                <a:latin typeface="Calibri" panose="020F0502020204030204"/>
                <a:ea typeface="+mn-ea"/>
                <a:cs typeface="+mn-cs"/>
              </a:defRPr>
            </a:pPr>
          </a:p>
        </c:txPr>
        <c:crossAx val="1231002140"/>
        <c:crosses val="autoZero"/>
        <c:crossBetween val="between"/>
      </c:valAx>
    </c:plotArea>
    <c:legend>
      <c:legendPos val="b"/>
      <c:layout>
        <c:manualLayout>
          <c:xMode val="edge"/>
          <c:yMode val="edge"/>
          <c:x val="0.207851280614331"/>
          <c:y val="0.924985670527347"/>
        </c:manualLayout>
      </c:layout>
      <c:overlay val="0"/>
      <c:txPr>
        <a:bodyPr rot="0" spcFirstLastPara="0" vertOverflow="ellipsis" vert="horz" wrap="square" anchor="ctr" anchorCtr="1"/>
        <a:lstStyle/>
        <a:p>
          <a:pPr>
            <a:defRPr lang="fr-FR" sz="1000" b="1"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400" b="1" i="0" u="none" strike="noStrike" kern="1200" baseline="0">
                <a:solidFill>
                  <a:srgbClr val="757575"/>
                </a:solidFill>
                <a:latin typeface="Calibri" panose="020F0502020204030204"/>
                <a:ea typeface="+mn-ea"/>
                <a:cs typeface="+mn-cs"/>
              </a:defRPr>
            </a:pPr>
            <a:r>
              <a:rPr lang="fr-FR" sz="1400" b="1" i="0">
                <a:solidFill>
                  <a:srgbClr val="757575"/>
                </a:solidFill>
                <a:latin typeface="Calibri" panose="020F0502020204030204"/>
              </a:rPr>
              <a:t>Variation résultat d'exploitation</a:t>
            </a:r>
            <a:endParaRPr lang="fr-FR" sz="1400" b="1" i="0">
              <a:solidFill>
                <a:srgbClr val="757575"/>
              </a:solidFill>
              <a:latin typeface="Calibri" panose="020F0502020204030204"/>
            </a:endParaRPr>
          </a:p>
        </c:rich>
      </c:tx>
      <c:layout/>
      <c:overlay val="0"/>
    </c:title>
    <c:autoTitleDeleted val="0"/>
    <c:plotArea>
      <c:layout>
        <c:manualLayout>
          <c:xMode val="edge"/>
          <c:yMode val="edge"/>
          <c:x val="0.110139347192995"/>
          <c:y val="0.117414816596602"/>
          <c:w val="0.866029976500258"/>
          <c:h val="0.691754667809965"/>
        </c:manualLayout>
      </c:layout>
      <c:lineChart>
        <c:grouping val="standard"/>
        <c:varyColors val="1"/>
        <c:ser>
          <c:idx val="0"/>
          <c:order val="0"/>
          <c:tx>
            <c:strRef>
              <c:f>"DRINK"</c:f>
              <c:strCache>
                <c:ptCount val="1"/>
                <c:pt idx="0">
                  <c:v>DRINK</c:v>
                </c:pt>
              </c:strCache>
            </c:strRef>
          </c:tx>
          <c:spPr>
            <a:ln w="28575" cap="rnd" cmpd="sng" algn="ctr">
              <a:solidFill>
                <a:srgbClr val="4472C4"/>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Catégorielle'!$D$26:$G$26</c:f>
              <c:numCache>
                <c:formatCode>#,##0</c:formatCode>
                <c:ptCount val="4"/>
                <c:pt idx="0">
                  <c:v>610133.515431676</c:v>
                </c:pt>
                <c:pt idx="1">
                  <c:v>2319888.95081567</c:v>
                </c:pt>
                <c:pt idx="2">
                  <c:v>2576671.87004489</c:v>
                </c:pt>
                <c:pt idx="3">
                  <c:v>2734883.54300118</c:v>
                </c:pt>
              </c:numCache>
            </c:numRef>
          </c:val>
          <c:smooth val="0"/>
        </c:ser>
        <c:ser>
          <c:idx val="1"/>
          <c:order val="1"/>
          <c:tx>
            <c:strRef>
              <c:f>"EAT"</c:f>
              <c:strCache>
                <c:ptCount val="1"/>
                <c:pt idx="0">
                  <c:v>EAT</c:v>
                </c:pt>
              </c:strCache>
            </c:strRef>
          </c:tx>
          <c:spPr>
            <a:ln w="28575" cap="rnd" cmpd="sng" algn="ctr">
              <a:solidFill>
                <a:srgbClr val="ED7D31"/>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Catégorielle'!$D$54:$G$54</c:f>
              <c:numCache>
                <c:formatCode>#,##0</c:formatCode>
                <c:ptCount val="4"/>
                <c:pt idx="0">
                  <c:v>245759.671304325</c:v>
                </c:pt>
                <c:pt idx="1">
                  <c:v>160048.743315864</c:v>
                </c:pt>
                <c:pt idx="2">
                  <c:v>606175.134682059</c:v>
                </c:pt>
                <c:pt idx="3">
                  <c:v>1131064.61331199</c:v>
                </c:pt>
              </c:numCache>
            </c:numRef>
          </c:val>
          <c:smooth val="0"/>
        </c:ser>
        <c:ser>
          <c:idx val="2"/>
          <c:order val="2"/>
          <c:tx>
            <c:strRef>
              <c:f>"SMOKE"</c:f>
              <c:strCache>
                <c:ptCount val="1"/>
                <c:pt idx="0">
                  <c:v>SMOKE</c:v>
                </c:pt>
              </c:strCache>
            </c:strRef>
          </c:tx>
          <c:spPr>
            <a:ln w="28575" cap="rnd" cmpd="sng" algn="ctr">
              <a:solidFill>
                <a:srgbClr val="A5A5A5"/>
              </a:solidFill>
              <a:prstDash val="solid"/>
              <a:round/>
            </a:ln>
          </c:spPr>
          <c:marker>
            <c:symbol val="none"/>
          </c:marker>
          <c:dLbls>
            <c:delete val="1"/>
          </c:dLbls>
          <c:cat>
            <c:strRef>
              <c:f>'Analyse Catégorielle'!$D$2:$G$2</c:f>
              <c:strCache>
                <c:ptCount val="4"/>
                <c:pt idx="0" c:formatCode="0&quot;A&quot;">
                  <c:v>Avril</c:v>
                </c:pt>
                <c:pt idx="1" c:formatCode="0&quot;A&quot;">
                  <c:v>Mai</c:v>
                </c:pt>
                <c:pt idx="2" c:formatCode="0&quot;A&quot;">
                  <c:v>Juin</c:v>
                </c:pt>
                <c:pt idx="3" c:formatCode="0&quot;E&quot;">
                  <c:v>Juillet</c:v>
                </c:pt>
              </c:strCache>
            </c:strRef>
          </c:cat>
          <c:val>
            <c:numRef>
              <c:f>'Analyse Catégorielle'!$D$83:$G$83</c:f>
              <c:numCache>
                <c:formatCode>#,##0</c:formatCode>
                <c:ptCount val="4"/>
                <c:pt idx="0">
                  <c:v>-110915.127871866</c:v>
                </c:pt>
                <c:pt idx="1">
                  <c:v>609330.122788003</c:v>
                </c:pt>
                <c:pt idx="2">
                  <c:v>1022240.27049634</c:v>
                </c:pt>
                <c:pt idx="3">
                  <c:v>2140431.05694315</c:v>
                </c:pt>
              </c:numCache>
            </c:numRef>
          </c:val>
          <c:smooth val="0"/>
        </c:ser>
        <c:dLbls>
          <c:showLegendKey val="0"/>
          <c:showVal val="0"/>
          <c:showCatName val="0"/>
          <c:showSerName val="0"/>
          <c:showPercent val="0"/>
          <c:showBubbleSize val="0"/>
        </c:dLbls>
        <c:marker val="0"/>
        <c:smooth val="0"/>
        <c:axId val="845078732"/>
        <c:axId val="59058385"/>
      </c:lineChart>
      <c:catAx>
        <c:axId val="845078732"/>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900" b="0" i="0" u="none" strike="noStrike" kern="1200" baseline="0">
                <a:solidFill>
                  <a:srgbClr val="000000"/>
                </a:solidFill>
                <a:latin typeface="Calibri" panose="020F0502020204030204"/>
                <a:ea typeface="+mn-ea"/>
                <a:cs typeface="+mn-cs"/>
              </a:defRPr>
            </a:pPr>
          </a:p>
        </c:txPr>
        <c:crossAx val="59058385"/>
        <c:crosses val="autoZero"/>
        <c:auto val="1"/>
        <c:lblAlgn val="ctr"/>
        <c:lblOffset val="100"/>
        <c:noMultiLvlLbl val="1"/>
      </c:catAx>
      <c:valAx>
        <c:axId val="59058385"/>
        <c:scaling>
          <c:orientation val="minMax"/>
        </c:scaling>
        <c:delete val="0"/>
        <c:axPos val="l"/>
        <c:majorGridlines>
          <c:spPr>
            <a:ln w="6350" cap="flat" cmpd="sng" algn="ctr">
              <a:solidFill>
                <a:srgbClr val="B7B7B7"/>
              </a:solidFill>
              <a:prstDash val="solid"/>
              <a:round/>
            </a:ln>
          </c:spPr>
        </c:majorGridlines>
        <c:title>
          <c:layout/>
          <c:overlay val="0"/>
          <c:tx>
            <c:rich>
              <a:bodyPr/>
              <a:lstStyle/>
              <a:p>
                <a:pPr>
                  <a:defRPr/>
                </a:pPr>
              </a:p>
            </c:rich>
          </c:tx>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1" i="0" u="none" strike="noStrike" kern="1200" baseline="0">
                <a:solidFill>
                  <a:srgbClr val="000000"/>
                </a:solidFill>
                <a:latin typeface="Calibri" panose="020F0502020204030204"/>
                <a:ea typeface="+mn-ea"/>
                <a:cs typeface="+mn-cs"/>
              </a:defRPr>
            </a:pPr>
          </a:p>
        </c:txPr>
        <c:crossAx val="845078732"/>
        <c:crosses val="autoZero"/>
        <c:crossBetween val="between"/>
      </c:valAx>
    </c:plotArea>
    <c:legend>
      <c:legendPos val="b"/>
      <c:layout>
        <c:manualLayout>
          <c:xMode val="edge"/>
          <c:yMode val="edge"/>
          <c:x val="0.120333418462324"/>
          <c:y val="0.920973771352504"/>
        </c:manualLayout>
      </c:layout>
      <c:overlay val="0"/>
      <c:txPr>
        <a:bodyPr rot="0" spcFirstLastPara="0" vertOverflow="ellipsis" vert="horz" wrap="square" anchor="ctr" anchorCtr="1"/>
        <a:lstStyle/>
        <a:p>
          <a:pPr>
            <a:defRPr lang="fr-FR" sz="1100" b="1"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fr-FR" sz="1400" b="1" i="0" u="none" strike="noStrike" kern="1200" baseline="0">
                <a:solidFill>
                  <a:srgbClr val="757575"/>
                </a:solidFill>
                <a:latin typeface="Calibri" panose="020F0502020204030204"/>
                <a:ea typeface="+mn-ea"/>
                <a:cs typeface="+mn-cs"/>
              </a:defRPr>
            </a:pPr>
            <a:r>
              <a:rPr lang="fr-FR" sz="1400" b="1" i="0">
                <a:solidFill>
                  <a:srgbClr val="757575"/>
                </a:solidFill>
                <a:latin typeface="Calibri" panose="020F0502020204030204"/>
              </a:rPr>
              <a:t>Répartition du chiffres d'affaires</a:t>
            </a:r>
            <a:endParaRPr lang="fr-FR" sz="1400" b="1" i="0">
              <a:solidFill>
                <a:srgbClr val="757575"/>
              </a:solidFill>
              <a:latin typeface="Calibri" panose="020F0502020204030204"/>
            </a:endParaRPr>
          </a:p>
        </c:rich>
      </c:tx>
      <c:layout/>
      <c:overlay val="0"/>
    </c:title>
    <c:autoTitleDeleted val="0"/>
    <c:plotArea>
      <c:layout/>
      <c:barChart>
        <c:barDir val="col"/>
        <c:grouping val="clustered"/>
        <c:varyColors val="1"/>
        <c:ser>
          <c:idx val="0"/>
          <c:order val="0"/>
          <c:tx>
            <c:strRef>
              <c:f>"DRINK"</c:f>
              <c:strCache>
                <c:ptCount val="1"/>
                <c:pt idx="0">
                  <c:v>DRINK</c:v>
                </c:pt>
              </c:strCache>
            </c:strRef>
          </c:tx>
          <c:spPr>
            <a:solidFill>
              <a:srgbClr val="4472C4"/>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400" b="1" i="0" u="none" strike="noStrike" kern="1200" baseline="0">
                    <a:solidFill>
                      <a:schemeClr val="tx1"/>
                    </a:solidFill>
                    <a:latin typeface="Calibri" panose="020F0502020204030204"/>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Catégorielle'!$K$101:$N$101</c:f>
              <c:strCache>
                <c:ptCount val="4"/>
                <c:pt idx="0">
                  <c:v>Avril</c:v>
                </c:pt>
                <c:pt idx="1">
                  <c:v>Mai</c:v>
                </c:pt>
                <c:pt idx="2">
                  <c:v>Juin</c:v>
                </c:pt>
                <c:pt idx="3">
                  <c:v>Juillet</c:v>
                </c:pt>
              </c:strCache>
            </c:strRef>
          </c:cat>
          <c:val>
            <c:numRef>
              <c:f>'Analyse Catégorielle'!$K$102:$N$102</c:f>
              <c:numCache>
                <c:formatCode>0%</c:formatCode>
                <c:ptCount val="4"/>
                <c:pt idx="0">
                  <c:v>0.698551008419816</c:v>
                </c:pt>
                <c:pt idx="1">
                  <c:v>0.64694493920855</c:v>
                </c:pt>
                <c:pt idx="2">
                  <c:v>0.728223159430319</c:v>
                </c:pt>
                <c:pt idx="3">
                  <c:v>0.720384051971212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"EAT"</c:f>
              <c:strCache>
                <c:ptCount val="1"/>
                <c:pt idx="0">
                  <c:v>EAT</c:v>
                </c:pt>
              </c:strCache>
            </c:strRef>
          </c:tx>
          <c:spPr>
            <a:solidFill>
              <a:srgbClr val="ED7D31"/>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400" b="1" i="0" u="none" strike="noStrike" kern="1200" baseline="0">
                    <a:solidFill>
                      <a:schemeClr val="tx1"/>
                    </a:solidFill>
                    <a:latin typeface="Calibri" panose="020F0502020204030204"/>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Catégorielle'!$K$101:$N$101</c:f>
              <c:strCache>
                <c:ptCount val="4"/>
                <c:pt idx="0">
                  <c:v>Avril</c:v>
                </c:pt>
                <c:pt idx="1">
                  <c:v>Mai</c:v>
                </c:pt>
                <c:pt idx="2">
                  <c:v>Juin</c:v>
                </c:pt>
                <c:pt idx="3">
                  <c:v>Juillet</c:v>
                </c:pt>
              </c:strCache>
            </c:strRef>
          </c:cat>
          <c:val>
            <c:numRef>
              <c:f>'Analyse Catégorielle'!$K$103:$N$103</c:f>
              <c:numCache>
                <c:formatCode>0%</c:formatCode>
                <c:ptCount val="4"/>
                <c:pt idx="0">
                  <c:v>0.243489328372822</c:v>
                </c:pt>
                <c:pt idx="1">
                  <c:v>0.230480910710137</c:v>
                </c:pt>
                <c:pt idx="2">
                  <c:v>0.170670581744392</c:v>
                </c:pt>
                <c:pt idx="3">
                  <c:v>0.155021973122731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"SMOKE"</c:f>
              <c:strCache>
                <c:ptCount val="1"/>
                <c:pt idx="0">
                  <c:v>SMOKE</c:v>
                </c:pt>
              </c:strCache>
            </c:strRef>
          </c:tx>
          <c:spPr>
            <a:solidFill>
              <a:srgbClr val="A5A5A5"/>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fr-FR" sz="1400" b="1" i="0" u="none" strike="noStrike" kern="1200" baseline="0">
                    <a:solidFill>
                      <a:schemeClr val="tx1"/>
                    </a:solidFill>
                    <a:latin typeface="Calibri" panose="020F0502020204030204"/>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'Analyse Catégorielle'!$K$101:$N$101</c:f>
              <c:strCache>
                <c:ptCount val="4"/>
                <c:pt idx="0">
                  <c:v>Avril</c:v>
                </c:pt>
                <c:pt idx="1">
                  <c:v>Mai</c:v>
                </c:pt>
                <c:pt idx="2">
                  <c:v>Juin</c:v>
                </c:pt>
                <c:pt idx="3">
                  <c:v>Juillet</c:v>
                </c:pt>
              </c:strCache>
            </c:strRef>
          </c:cat>
          <c:val>
            <c:numRef>
              <c:f>'Analyse Catégorielle'!$K$104:$N$104</c:f>
              <c:numCache>
                <c:formatCode>0%</c:formatCode>
                <c:ptCount val="4"/>
                <c:pt idx="0">
                  <c:v>0.0579596632073624</c:v>
                </c:pt>
                <c:pt idx="1">
                  <c:v>0.122574150081313</c:v>
                </c:pt>
                <c:pt idx="2">
                  <c:v>0.10110625882529</c:v>
                </c:pt>
                <c:pt idx="3">
                  <c:v>0.124593974906057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312859081"/>
        <c:axId val="550942821"/>
      </c:barChart>
      <c:lineChart>
        <c:grouping val="standard"/>
        <c:varyColors val="1"/>
        <c:ser>
          <c:idx val="3"/>
          <c:order val="3"/>
          <c:tx>
            <c:strRef>
              <c:f>"CA DRINK"</c:f>
              <c:strCache>
                <c:ptCount val="1"/>
                <c:pt idx="0">
                  <c:v>CA DRINK</c:v>
                </c:pt>
              </c:strCache>
            </c:strRef>
          </c:tx>
          <c:spPr>
            <a:ln w="28575" cap="rnd" cmpd="sng" algn="ctr">
              <a:solidFill>
                <a:schemeClr val="accent1"/>
              </a:solidFill>
              <a:prstDash val="dash"/>
              <a:round/>
            </a:ln>
          </c:spPr>
          <c:marker>
            <c:symbol val="none"/>
          </c:marker>
          <c:dLbls>
            <c:delete val="1"/>
          </c:dLbls>
          <c:cat>
            <c:strRef>
              <c:f>'Analyse Catégorielle'!$K$101:$N$101</c:f>
              <c:strCache>
                <c:ptCount val="4"/>
                <c:pt idx="0">
                  <c:v>Avril</c:v>
                </c:pt>
                <c:pt idx="1">
                  <c:v>Mai</c:v>
                </c:pt>
                <c:pt idx="2">
                  <c:v>Juin</c:v>
                </c:pt>
                <c:pt idx="3">
                  <c:v>Juillet</c:v>
                </c:pt>
              </c:strCache>
            </c:strRef>
          </c:cat>
          <c:val>
            <c:numRef>
              <c:f>'Analyse Catégorielle'!$J$105:$N$105</c:f>
              <c:numCache>
                <c:formatCode>General</c:formatCode>
                <c:ptCount val="5"/>
                <c:pt idx="0">
                  <c:v>0</c:v>
                </c:pt>
                <c:pt idx="1" c:formatCode="0%">
                  <c:v>0.698551008419816</c:v>
                </c:pt>
                <c:pt idx="2" c:formatCode="0%">
                  <c:v>0.64694493920855</c:v>
                </c:pt>
                <c:pt idx="3" c:formatCode="0%">
                  <c:v>0.728223159430319</c:v>
                </c:pt>
                <c:pt idx="4" c:formatCode="0%">
                  <c:v>0.720384051971212</c:v>
                </c:pt>
              </c:numCache>
            </c:numRef>
          </c:val>
          <c:smooth val="0"/>
        </c:ser>
        <c:ser>
          <c:idx val="4"/>
          <c:order val="4"/>
          <c:tx>
            <c:strRef>
              <c:f>"CA EAT"</c:f>
              <c:strCache>
                <c:ptCount val="1"/>
                <c:pt idx="0">
                  <c:v>CA EAT</c:v>
                </c:pt>
              </c:strCache>
            </c:strRef>
          </c:tx>
          <c:spPr>
            <a:ln w="28575" cap="rnd" cmpd="sng" algn="ctr">
              <a:solidFill>
                <a:schemeClr val="accent2"/>
              </a:solidFill>
              <a:prstDash val="dash"/>
              <a:round/>
            </a:ln>
          </c:spPr>
          <c:marker>
            <c:symbol val="none"/>
          </c:marker>
          <c:dLbls>
            <c:delete val="1"/>
          </c:dLbls>
          <c:cat>
            <c:strRef>
              <c:f>'Analyse Catégorielle'!$K$101:$N$101</c:f>
              <c:strCache>
                <c:ptCount val="4"/>
                <c:pt idx="0">
                  <c:v>Avril</c:v>
                </c:pt>
                <c:pt idx="1">
                  <c:v>Mai</c:v>
                </c:pt>
                <c:pt idx="2">
                  <c:v>Juin</c:v>
                </c:pt>
                <c:pt idx="3">
                  <c:v>Juillet</c:v>
                </c:pt>
              </c:strCache>
            </c:strRef>
          </c:cat>
          <c:val>
            <c:numRef>
              <c:f>'Analyse Catégorielle'!$J$106:$N$106</c:f>
              <c:numCache>
                <c:formatCode>General</c:formatCode>
                <c:ptCount val="5"/>
                <c:pt idx="0">
                  <c:v>0</c:v>
                </c:pt>
                <c:pt idx="1" c:formatCode="0%">
                  <c:v>0.243489328372822</c:v>
                </c:pt>
                <c:pt idx="2" c:formatCode="0%">
                  <c:v>0.230480910710137</c:v>
                </c:pt>
                <c:pt idx="3" c:formatCode="0%">
                  <c:v>0.170670581744392</c:v>
                </c:pt>
                <c:pt idx="4" c:formatCode="0%">
                  <c:v>0.155021973122731</c:v>
                </c:pt>
              </c:numCache>
            </c:numRef>
          </c:val>
          <c:smooth val="0"/>
        </c:ser>
        <c:ser>
          <c:idx val="5"/>
          <c:order val="5"/>
          <c:tx>
            <c:strRef>
              <c:f>"CA SMOKE"</c:f>
              <c:strCache>
                <c:ptCount val="1"/>
                <c:pt idx="0">
                  <c:v>CA SMOKE</c:v>
                </c:pt>
              </c:strCache>
            </c:strRef>
          </c:tx>
          <c:spPr>
            <a:ln w="28575" cap="rnd" cmpd="sng" algn="ctr">
              <a:solidFill>
                <a:schemeClr val="accent3"/>
              </a:solidFill>
              <a:prstDash val="dash"/>
              <a:round/>
            </a:ln>
          </c:spPr>
          <c:marker>
            <c:symbol val="none"/>
          </c:marker>
          <c:dLbls>
            <c:delete val="1"/>
          </c:dLbls>
          <c:cat>
            <c:strRef>
              <c:f>'Analyse Catégorielle'!$K$101:$N$101</c:f>
              <c:strCache>
                <c:ptCount val="4"/>
                <c:pt idx="0">
                  <c:v>Avril</c:v>
                </c:pt>
                <c:pt idx="1">
                  <c:v>Mai</c:v>
                </c:pt>
                <c:pt idx="2">
                  <c:v>Juin</c:v>
                </c:pt>
                <c:pt idx="3">
                  <c:v>Juillet</c:v>
                </c:pt>
              </c:strCache>
            </c:strRef>
          </c:cat>
          <c:val>
            <c:numRef>
              <c:f>'Analyse Catégorielle'!$J$107:$N$107</c:f>
              <c:numCache>
                <c:formatCode>General</c:formatCode>
                <c:ptCount val="5"/>
                <c:pt idx="0">
                  <c:v>0</c:v>
                </c:pt>
                <c:pt idx="1" c:formatCode="0%">
                  <c:v>0.0579596632073624</c:v>
                </c:pt>
                <c:pt idx="2" c:formatCode="0%">
                  <c:v>0.122574150081313</c:v>
                </c:pt>
                <c:pt idx="3" c:formatCode="0%">
                  <c:v>0.10110625882529</c:v>
                </c:pt>
                <c:pt idx="4" c:formatCode="0%">
                  <c:v>0.124593974906057</c:v>
                </c:pt>
              </c:numCache>
            </c:numRef>
          </c:val>
          <c:smooth val="0"/>
        </c:ser>
        <c:dLbls>
          <c:showLegendKey val="0"/>
          <c:showVal val="0"/>
          <c:showCatName val="0"/>
          <c:showSerName val="0"/>
          <c:showPercent val="0"/>
          <c:showBubbleSize val="0"/>
        </c:dLbls>
        <c:marker val="0"/>
        <c:smooth val="0"/>
        <c:axId val="312859081"/>
        <c:axId val="550942821"/>
      </c:lineChart>
      <c:catAx>
        <c:axId val="312859081"/>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fr-FR" sz="1100" b="1" i="0" u="none" strike="noStrike" kern="1200" baseline="0">
                <a:solidFill>
                  <a:srgbClr val="000000"/>
                </a:solidFill>
                <a:latin typeface="Calibri" panose="020F0502020204030204"/>
                <a:ea typeface="+mn-ea"/>
                <a:cs typeface="+mn-cs"/>
              </a:defRPr>
            </a:pPr>
          </a:p>
        </c:txPr>
        <c:crossAx val="550942821"/>
        <c:crosses val="autoZero"/>
        <c:auto val="1"/>
        <c:lblAlgn val="ctr"/>
        <c:lblOffset val="100"/>
        <c:noMultiLvlLbl val="1"/>
      </c:catAx>
      <c:valAx>
        <c:axId val="550942821"/>
        <c:scaling>
          <c:orientation val="minMax"/>
        </c:scaling>
        <c:delete val="0"/>
        <c:axPos val="l"/>
        <c:title>
          <c:layout/>
          <c:overlay val="0"/>
          <c:tx>
            <c:rich>
              <a:bodyPr/>
              <a:lstStyle/>
              <a:p>
                <a:pPr>
                  <a:defRPr/>
                </a:pPr>
              </a:p>
            </c:rich>
          </c:tx>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fr-FR" sz="1000" b="0" i="0" u="none" strike="noStrike" kern="1200" baseline="0">
                <a:solidFill>
                  <a:srgbClr val="000000"/>
                </a:solidFill>
                <a:latin typeface="+mn-lt"/>
                <a:ea typeface="+mn-ea"/>
                <a:cs typeface="+mn-cs"/>
              </a:defRPr>
            </a:pPr>
          </a:p>
        </c:txPr>
        <c:crossAx val="312859081"/>
        <c:crosses val="autoZero"/>
        <c:crossBetween val="between"/>
      </c:valAx>
    </c:plotArea>
    <c:legend>
      <c:legendPos val="b"/>
      <c:layout>
        <c:manualLayout>
          <c:xMode val="edge"/>
          <c:yMode val="edge"/>
          <c:x val="0.154630767893714"/>
          <c:y val="0.917737660841175"/>
        </c:manualLayout>
      </c:layout>
      <c:overlay val="0"/>
      <c:txPr>
        <a:bodyPr rot="0" spcFirstLastPara="0" vertOverflow="ellipsis" vert="horz" wrap="square" anchor="ctr" anchorCtr="1"/>
        <a:lstStyle/>
        <a:p>
          <a:pPr>
            <a:defRPr lang="fr-FR" sz="1100" b="1" i="0" u="none" strike="noStrike" kern="1200" baseline="0">
              <a:solidFill>
                <a:srgbClr val="1A1A1A"/>
              </a:solidFill>
              <a:latin typeface="Calibri" panose="020F0502020204030204"/>
              <a:ea typeface="+mn-ea"/>
              <a:cs typeface="+mn-cs"/>
            </a:defRPr>
          </a:pPr>
        </a:p>
      </c:txPr>
    </c:legend>
    <c:plotVisOnly val="1"/>
    <c:dispBlanksAs val="zero"/>
    <c:showDLblsOverMax val="1"/>
  </c:chart>
  <c:txPr>
    <a:bodyPr/>
    <a:lstStyle/>
    <a:p>
      <a:pPr>
        <a:defRPr lang="fr-F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9.xml"/><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47625</xdr:colOff>
      <xdr:row>68</xdr:row>
      <xdr:rowOff>28575</xdr:rowOff>
    </xdr:from>
    <xdr:ext cx="11058525" cy="5534025"/>
    <xdr:graphicFrame>
      <xdr:nvGraphicFramePr>
        <xdr:cNvPr id="856014115" name="Chart 1" title="Chart"/>
        <xdr:cNvGraphicFramePr/>
      </xdr:nvGraphicFramePr>
      <xdr:xfrm>
        <a:off x="285750" y="11172825"/>
        <a:ext cx="11058525" cy="553402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571500</xdr:colOff>
      <xdr:row>69</xdr:row>
      <xdr:rowOff>152400</xdr:rowOff>
    </xdr:from>
    <xdr:ext cx="9839325" cy="4838700"/>
    <xdr:graphicFrame>
      <xdr:nvGraphicFramePr>
        <xdr:cNvPr id="1596997873" name="Chart 2" title="Graphique"/>
        <xdr:cNvGraphicFramePr/>
      </xdr:nvGraphicFramePr>
      <xdr:xfrm>
        <a:off x="10191750" y="11458575"/>
        <a:ext cx="9839325" cy="48387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57150</xdr:colOff>
      <xdr:row>105</xdr:row>
      <xdr:rowOff>142875</xdr:rowOff>
    </xdr:from>
    <xdr:ext cx="10801350" cy="7686675"/>
    <xdr:graphicFrame>
      <xdr:nvGraphicFramePr>
        <xdr:cNvPr id="802195253" name="Chart 3"/>
        <xdr:cNvGraphicFramePr/>
      </xdr:nvGraphicFramePr>
      <xdr:xfrm>
        <a:off x="295275" y="17278350"/>
        <a:ext cx="10801350" cy="7686675"/>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20</xdr:col>
      <xdr:colOff>781050</xdr:colOff>
      <xdr:row>69</xdr:row>
      <xdr:rowOff>95250</xdr:rowOff>
    </xdr:from>
    <xdr:ext cx="6343650" cy="3943350"/>
    <xdr:graphicFrame>
      <xdr:nvGraphicFramePr>
        <xdr:cNvPr id="1204806711" name="Chart 4" title="Graphique"/>
        <xdr:cNvGraphicFramePr/>
      </xdr:nvGraphicFramePr>
      <xdr:xfrm>
        <a:off x="18983325" y="11401425"/>
        <a:ext cx="6343650" cy="394335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161925</xdr:colOff>
      <xdr:row>106</xdr:row>
      <xdr:rowOff>95250</xdr:rowOff>
    </xdr:from>
    <xdr:ext cx="14516100" cy="7219950"/>
    <xdr:graphicFrame>
      <xdr:nvGraphicFramePr>
        <xdr:cNvPr id="1188672412" name="Chart 5" title="Chart"/>
        <xdr:cNvGraphicFramePr/>
      </xdr:nvGraphicFramePr>
      <xdr:xfrm>
        <a:off x="9782175" y="17392650"/>
        <a:ext cx="14516100" cy="721995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142875</xdr:colOff>
      <xdr:row>122</xdr:row>
      <xdr:rowOff>114300</xdr:rowOff>
    </xdr:from>
    <xdr:ext cx="6848475" cy="4410075"/>
    <xdr:graphicFrame>
      <xdr:nvGraphicFramePr>
        <xdr:cNvPr id="717494066" name="Chart 6"/>
        <xdr:cNvGraphicFramePr/>
      </xdr:nvGraphicFramePr>
      <xdr:xfrm>
        <a:off x="6248400" y="21374100"/>
        <a:ext cx="6848475" cy="44100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28575</xdr:colOff>
      <xdr:row>123</xdr:row>
      <xdr:rowOff>0</xdr:rowOff>
    </xdr:from>
    <xdr:ext cx="6629400" cy="4286250"/>
    <xdr:graphicFrame>
      <xdr:nvGraphicFramePr>
        <xdr:cNvPr id="1879348945" name="Chart 7"/>
        <xdr:cNvGraphicFramePr/>
      </xdr:nvGraphicFramePr>
      <xdr:xfrm>
        <a:off x="104775" y="21440775"/>
        <a:ext cx="6629400" cy="428625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57150</xdr:colOff>
      <xdr:row>151</xdr:row>
      <xdr:rowOff>0</xdr:rowOff>
    </xdr:from>
    <xdr:ext cx="6858000" cy="4152900"/>
    <xdr:graphicFrame>
      <xdr:nvGraphicFramePr>
        <xdr:cNvPr id="1586903264" name="Chart 8"/>
        <xdr:cNvGraphicFramePr/>
      </xdr:nvGraphicFramePr>
      <xdr:xfrm>
        <a:off x="133350" y="25974675"/>
        <a:ext cx="6858000" cy="41529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247650</xdr:colOff>
      <xdr:row>150</xdr:row>
      <xdr:rowOff>104775</xdr:rowOff>
    </xdr:from>
    <xdr:ext cx="10563225" cy="4848225"/>
    <xdr:graphicFrame>
      <xdr:nvGraphicFramePr>
        <xdr:cNvPr id="1717799507" name="Chart 9"/>
        <xdr:cNvGraphicFramePr/>
      </xdr:nvGraphicFramePr>
      <xdr:xfrm>
        <a:off x="6353175" y="25917525"/>
        <a:ext cx="10563225" cy="4848225"/>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C1000"/>
  <sheetViews>
    <sheetView showGridLines="0" workbookViewId="0">
      <pane xSplit="1" ySplit="3" topLeftCell="B10" activePane="bottomRight" state="frozen"/>
      <selection/>
      <selection pane="topRight"/>
      <selection pane="bottomLeft"/>
      <selection pane="bottomRight" activeCell="B30" sqref="B30"/>
    </sheetView>
  </sheetViews>
  <sheetFormatPr defaultColWidth="12.5714285714286" defaultRowHeight="15" customHeight="1"/>
  <cols>
    <col min="1" max="1" width="3.57142857142857" customWidth="1"/>
    <col min="2" max="2" width="46.1428571428571" customWidth="1"/>
    <col min="3" max="3" width="10.5714285714286" customWidth="1"/>
    <col min="4" max="4" width="12.5714285714286" customWidth="1"/>
    <col min="5" max="6" width="12.2857142857143" customWidth="1"/>
    <col min="7" max="7" width="11.1428571428571" customWidth="1"/>
    <col min="8" max="8" width="20.2857142857143" customWidth="1" outlineLevel="1"/>
    <col min="9" max="9" width="15.4285714285714" customWidth="1" outlineLevel="1"/>
    <col min="10" max="10" width="18.7142857142857" customWidth="1" outlineLevel="1"/>
    <col min="11" max="12" width="10.5714285714286" customWidth="1"/>
    <col min="13" max="13" width="16" customWidth="1"/>
    <col min="14" max="29" width="10.5714285714286" customWidth="1"/>
  </cols>
  <sheetData>
    <row r="1" ht="12.75" customHeight="1"/>
    <row r="2" ht="23.25" customHeight="1" spans="2:14">
      <c r="B2" s="510" t="s">
        <v>0</v>
      </c>
      <c r="C2" s="511" t="s">
        <v>1</v>
      </c>
      <c r="D2" s="512"/>
      <c r="E2" s="512"/>
      <c r="F2" s="512"/>
      <c r="G2" s="512"/>
      <c r="H2" s="513"/>
      <c r="I2" s="513"/>
      <c r="J2" s="513"/>
      <c r="K2" s="548"/>
      <c r="L2" s="548"/>
      <c r="M2" s="548"/>
      <c r="N2" s="548"/>
    </row>
    <row r="3" ht="12.75" customHeight="1" spans="2:10">
      <c r="B3" s="512"/>
      <c r="C3" s="514" t="s">
        <v>2</v>
      </c>
      <c r="D3" s="514" t="s">
        <v>3</v>
      </c>
      <c r="E3" s="514" t="s">
        <v>4</v>
      </c>
      <c r="F3" s="515" t="s">
        <v>5</v>
      </c>
      <c r="G3" s="515" t="s">
        <v>6</v>
      </c>
      <c r="H3" s="516" t="s">
        <v>7</v>
      </c>
      <c r="I3" s="516" t="s">
        <v>8</v>
      </c>
      <c r="J3" s="516" t="s">
        <v>9</v>
      </c>
    </row>
    <row r="4" ht="12.75" customHeight="1"/>
    <row r="5" ht="12.75" customHeight="1"/>
    <row r="6" ht="12.75" customHeight="1" spans="2:10">
      <c r="B6" s="374" t="s">
        <v>10</v>
      </c>
      <c r="C6" s="374"/>
      <c r="D6" s="374"/>
      <c r="E6" s="374"/>
      <c r="F6" s="375"/>
      <c r="G6" s="375"/>
      <c r="H6" s="375"/>
      <c r="I6" s="375"/>
      <c r="J6" s="375"/>
    </row>
    <row r="7" ht="12.75" customHeight="1" spans="2:10">
      <c r="B7" s="517"/>
      <c r="C7" s="518"/>
      <c r="D7" s="518"/>
      <c r="E7" s="518"/>
      <c r="F7" s="519"/>
      <c r="G7" s="519"/>
      <c r="H7" s="519"/>
      <c r="I7" s="519"/>
      <c r="J7" s="519"/>
    </row>
    <row r="8" ht="12.75" customHeight="1" spans="2:8">
      <c r="B8" s="520" t="s">
        <v>11</v>
      </c>
      <c r="C8" s="521">
        <f>'Analyse CA Initial'!C45</f>
        <v>3527300</v>
      </c>
      <c r="D8" s="521">
        <f>'Analyse CA Initial'!F45</f>
        <v>12225050</v>
      </c>
      <c r="E8" s="521">
        <f>'Analyse CA Initial'!I45</f>
        <v>20471000</v>
      </c>
      <c r="F8" s="521">
        <f>'Analyse CA Initial'!L45</f>
        <v>28821750</v>
      </c>
      <c r="G8" s="521">
        <f>'Analyse CA Initial'!O45</f>
        <v>7057250</v>
      </c>
      <c r="H8" s="522"/>
    </row>
    <row r="9" ht="12.75" customHeight="1" spans="2:9">
      <c r="B9" s="523" t="s">
        <v>12</v>
      </c>
      <c r="C9" s="382" t="str">
        <f t="shared" ref="C9:G9" si="0">IFERROR((C8-B8)/ABS(B8),"")</f>
        <v/>
      </c>
      <c r="D9" s="382">
        <f t="shared" si="0"/>
        <v>2.46583789300598</v>
      </c>
      <c r="E9" s="382">
        <f t="shared" si="0"/>
        <v>0.67451257868066</v>
      </c>
      <c r="F9" s="382">
        <f t="shared" si="0"/>
        <v>0.407930731278394</v>
      </c>
      <c r="G9" s="382">
        <f t="shared" si="0"/>
        <v>-0.755141516389532</v>
      </c>
      <c r="I9" s="382"/>
    </row>
    <row r="10" ht="12.75" customHeight="1" spans="2:10">
      <c r="B10" s="524" t="s">
        <v>13</v>
      </c>
      <c r="C10" s="385">
        <f>SUM('Détail Dépenses'!$D$13:$J$13)</f>
        <v>2973450</v>
      </c>
      <c r="D10" s="385">
        <f>SUM('Détail Dépenses'!$D$47:$J$47)</f>
        <v>6179050</v>
      </c>
      <c r="E10" s="385">
        <f>SUM('Détail Dépenses'!$D$81:$J$81)</f>
        <v>8370550</v>
      </c>
      <c r="F10" s="385">
        <f>SUM('Détail Dépenses'!$D$116:$J$116)</f>
        <v>15470625</v>
      </c>
      <c r="G10" s="385" t="e">
        <f>SUM('Détail Dépenses'!#REF!)</f>
        <v>#REF!</v>
      </c>
      <c r="H10" s="519"/>
      <c r="I10" s="519"/>
      <c r="J10" s="519"/>
    </row>
    <row r="11" ht="12.75" customHeight="1" spans="2:9">
      <c r="B11" s="525" t="s">
        <v>12</v>
      </c>
      <c r="C11" s="526" t="str">
        <f t="shared" ref="C11:G11" si="1">IFERROR((C10-B10)/ABS(B10),"")</f>
        <v/>
      </c>
      <c r="D11" s="526">
        <f t="shared" si="1"/>
        <v>1.07807429080698</v>
      </c>
      <c r="E11" s="526">
        <f t="shared" si="1"/>
        <v>0.354666170365995</v>
      </c>
      <c r="F11" s="526">
        <f t="shared" si="1"/>
        <v>0.84822084570309</v>
      </c>
      <c r="G11" s="526" t="str">
        <f t="shared" si="1"/>
        <v/>
      </c>
      <c r="I11" s="382"/>
    </row>
    <row r="12" ht="12.75" customHeight="1" spans="2:10">
      <c r="B12" s="520" t="s">
        <v>14</v>
      </c>
      <c r="C12" s="527">
        <f t="shared" ref="C12:G12" si="2">C8-C10</f>
        <v>553850</v>
      </c>
      <c r="D12" s="527">
        <f t="shared" si="2"/>
        <v>6046000</v>
      </c>
      <c r="E12" s="527">
        <f t="shared" si="2"/>
        <v>12100450</v>
      </c>
      <c r="F12" s="527">
        <f t="shared" si="2"/>
        <v>13351125</v>
      </c>
      <c r="G12" s="527" t="e">
        <f t="shared" si="2"/>
        <v>#REF!</v>
      </c>
      <c r="H12" s="527"/>
      <c r="I12" s="527"/>
      <c r="J12" s="527"/>
    </row>
    <row r="13" ht="12.75" customHeight="1" spans="2:9">
      <c r="B13" s="523" t="s">
        <v>12</v>
      </c>
      <c r="C13" s="382" t="str">
        <f t="shared" ref="C13:G13" si="3">IFERROR((C12-B12)/ABS(B12),"")</f>
        <v/>
      </c>
      <c r="D13" s="382">
        <f t="shared" si="3"/>
        <v>9.91631308115916</v>
      </c>
      <c r="E13" s="382">
        <f t="shared" si="3"/>
        <v>1.00139761826001</v>
      </c>
      <c r="F13" s="382">
        <f t="shared" si="3"/>
        <v>0.103357726365548</v>
      </c>
      <c r="G13" s="382" t="str">
        <f t="shared" si="3"/>
        <v/>
      </c>
      <c r="I13" s="382"/>
    </row>
    <row r="14" ht="12.75" customHeight="1" spans="2:10">
      <c r="B14" s="520"/>
      <c r="C14" s="527"/>
      <c r="D14" s="527"/>
      <c r="E14" s="527"/>
      <c r="F14" s="527"/>
      <c r="G14" s="527"/>
      <c r="H14" s="527"/>
      <c r="I14" s="527"/>
      <c r="J14" s="527"/>
    </row>
    <row r="15" ht="12.75" customHeight="1" spans="2:10">
      <c r="B15" s="524" t="s">
        <v>15</v>
      </c>
      <c r="C15" s="385">
        <f>'Détail Dépenses'!$L$13</f>
        <v>20000</v>
      </c>
      <c r="D15" s="385">
        <f>'Détail Dépenses'!$L$47</f>
        <v>335000</v>
      </c>
      <c r="E15" s="385">
        <f>'Détail Dépenses'!$L$81</f>
        <v>480000</v>
      </c>
      <c r="F15" s="385">
        <f>'Détail Dépenses'!$L$116</f>
        <v>630000</v>
      </c>
      <c r="G15" s="385" t="e">
        <f>'Détail Dépenses'!#REF!</f>
        <v>#REF!</v>
      </c>
      <c r="H15" s="519"/>
      <c r="I15" s="519"/>
      <c r="J15" s="519"/>
    </row>
    <row r="16" ht="12.75" customHeight="1" spans="2:9">
      <c r="B16" s="523" t="s">
        <v>12</v>
      </c>
      <c r="C16" s="382" t="str">
        <f t="shared" ref="C16:G16" si="4">IFERROR((C15-B15)/ABS(B15),"")</f>
        <v/>
      </c>
      <c r="D16" s="382">
        <f t="shared" si="4"/>
        <v>15.75</v>
      </c>
      <c r="E16" s="382">
        <f t="shared" si="4"/>
        <v>0.432835820895522</v>
      </c>
      <c r="F16" s="382">
        <f t="shared" si="4"/>
        <v>0.3125</v>
      </c>
      <c r="G16" s="382" t="str">
        <f t="shared" si="4"/>
        <v/>
      </c>
      <c r="I16" s="382"/>
    </row>
    <row r="17" ht="12.75" customHeight="1" spans="2:10">
      <c r="B17" s="524" t="s">
        <v>16</v>
      </c>
      <c r="C17" s="385">
        <f>'Détail Dépenses'!$N$13</f>
        <v>0</v>
      </c>
      <c r="D17" s="385">
        <f>'Détail Dépenses'!$N$47</f>
        <v>470000</v>
      </c>
      <c r="E17" s="385">
        <f>'Détail Dépenses'!$N$81</f>
        <v>550000</v>
      </c>
      <c r="F17" s="385">
        <f>'Détail Dépenses'!$N$116</f>
        <v>500000</v>
      </c>
      <c r="G17" s="385" t="e">
        <f>'Détail Dépenses'!#REF!</f>
        <v>#REF!</v>
      </c>
      <c r="H17" s="519"/>
      <c r="I17" s="519"/>
      <c r="J17" s="519"/>
    </row>
    <row r="18" ht="12.75" customHeight="1" spans="2:9">
      <c r="B18" s="523" t="s">
        <v>12</v>
      </c>
      <c r="C18" s="382" t="str">
        <f t="shared" ref="C18:G18" si="5">IFERROR((C17-B17)/ABS(B17),"")</f>
        <v/>
      </c>
      <c r="D18" s="382" t="str">
        <f t="shared" si="5"/>
        <v/>
      </c>
      <c r="E18" s="382">
        <f t="shared" si="5"/>
        <v>0.170212765957447</v>
      </c>
      <c r="F18" s="382">
        <f t="shared" si="5"/>
        <v>-0.0909090909090909</v>
      </c>
      <c r="G18" s="382" t="str">
        <f t="shared" si="5"/>
        <v/>
      </c>
      <c r="I18" s="382"/>
    </row>
    <row r="19" ht="12.75" customHeight="1" spans="2:10">
      <c r="B19" s="524" t="s">
        <v>17</v>
      </c>
      <c r="C19" s="385">
        <f>'Détail Dépenses'!$M$13+'Détail Dépenses'!$R$13</f>
        <v>145100</v>
      </c>
      <c r="D19" s="385">
        <f>'Détail Dépenses'!$M$47+'Détail Dépenses'!$R$47</f>
        <v>227700</v>
      </c>
      <c r="E19" s="385">
        <f>'Détail Dépenses'!$M$81+'Détail Dépenses'!$R$81</f>
        <v>48300</v>
      </c>
      <c r="F19" s="385">
        <f>'Détail Dépenses'!$M$116+'Détail Dépenses'!$R$116</f>
        <v>177600</v>
      </c>
      <c r="G19" s="385" t="e">
        <f>'Détail Dépenses'!#REF!+'Détail Dépenses'!#REF!</f>
        <v>#REF!</v>
      </c>
      <c r="H19" s="519"/>
      <c r="I19" s="519"/>
      <c r="J19" s="519"/>
    </row>
    <row r="20" ht="12.75" customHeight="1" spans="2:9">
      <c r="B20" s="523" t="s">
        <v>12</v>
      </c>
      <c r="C20" s="382" t="str">
        <f t="shared" ref="C20:G20" si="6">IFERROR((C19-B19)/ABS(B19),"")</f>
        <v/>
      </c>
      <c r="D20" s="382">
        <f t="shared" si="6"/>
        <v>0.569262577532736</v>
      </c>
      <c r="E20" s="382">
        <f t="shared" si="6"/>
        <v>-0.787878787878788</v>
      </c>
      <c r="F20" s="382">
        <f t="shared" si="6"/>
        <v>2.67701863354037</v>
      </c>
      <c r="G20" s="382" t="str">
        <f t="shared" si="6"/>
        <v/>
      </c>
      <c r="I20" s="382"/>
    </row>
    <row r="21" ht="12.75" customHeight="1" spans="2:10">
      <c r="B21" s="524" t="s">
        <v>18</v>
      </c>
      <c r="C21" s="385">
        <f>RHv!$B$58</f>
        <v>549500</v>
      </c>
      <c r="D21" s="385">
        <f>RHv!$D$58</f>
        <v>1399000</v>
      </c>
      <c r="E21" s="385">
        <f>RHv!$F$58</f>
        <v>1736000</v>
      </c>
      <c r="F21" s="385">
        <f>RHv!$H$58</f>
        <v>1809500</v>
      </c>
      <c r="G21" s="385">
        <f>RHv!$I$58</f>
        <v>0</v>
      </c>
      <c r="H21" s="519"/>
      <c r="I21" s="519"/>
      <c r="J21" s="519"/>
    </row>
    <row r="22" ht="12.75" customHeight="1" spans="2:9">
      <c r="B22" s="523" t="s">
        <v>12</v>
      </c>
      <c r="C22" s="382" t="str">
        <f t="shared" ref="C22:G22" si="7">IFERROR((C21-B21)/ABS(B21),"")</f>
        <v/>
      </c>
      <c r="D22" s="382">
        <f t="shared" si="7"/>
        <v>1.5459508644222</v>
      </c>
      <c r="E22" s="382">
        <f t="shared" si="7"/>
        <v>0.240886347390994</v>
      </c>
      <c r="F22" s="382">
        <f t="shared" si="7"/>
        <v>0.0423387096774194</v>
      </c>
      <c r="G22" s="382">
        <f t="shared" si="7"/>
        <v>-1</v>
      </c>
      <c r="I22" s="382"/>
    </row>
    <row r="23" ht="12.75" customHeight="1" spans="2:9">
      <c r="B23" s="524" t="s">
        <v>19</v>
      </c>
      <c r="C23" s="385">
        <f>'Détail Dépenses'!$K$13+'Détail Dépenses'!$O$13+'Détail Dépenses'!$P$13+'Détail Dépenses'!$Q$13+'Détail Dépenses'!$S$13+'Détail Dépenses'!$T$13+'Détail Dépenses'!$U$13+'Détail Dépenses'!$V$13</f>
        <v>132000</v>
      </c>
      <c r="D23" s="385">
        <f>'Détail Dépenses'!$K$47+'Détail Dépenses'!$O$47+'Détail Dépenses'!$P$47+'Détail Dépenses'!$Q$47+'Détail Dépenses'!$S$47+'Détail Dépenses'!$T$47+'Détail Dépenses'!$U$47+'Détail Dépenses'!$V$47</f>
        <v>787272.26</v>
      </c>
      <c r="E23" s="385">
        <f>'Détail Dépenses'!$K$81+'Détail Dépenses'!$O$81+'Détail Dépenses'!$P$81+'Détail Dépenses'!$Q$81+'Détail Dépenses'!$S$81+'Détail Dépenses'!$T$81+'Détail Dépenses'!$U$81+'Détail Dépenses'!$V$81</f>
        <v>761000</v>
      </c>
      <c r="F23" s="385">
        <f>'Détail Dépenses'!$K$116+'Détail Dépenses'!$O$116+'Détail Dépenses'!$P$116+'Détail Dépenses'!$Q$116+'Détail Dépenses'!$S$116+'Détail Dépenses'!$T$116+'Détail Dépenses'!$U$116+'Détail Dépenses'!$V$116</f>
        <v>677725</v>
      </c>
      <c r="G23" s="385" t="e">
        <f>'Détail Dépenses'!#REF!+'Détail Dépenses'!#REF!+'Détail Dépenses'!#REF!+'Détail Dépenses'!#REF!+'Détail Dépenses'!#REF!+'Détail Dépenses'!#REF!+'Détail Dépenses'!#REF!+'Détail Dépenses'!#REF!</f>
        <v>#REF!</v>
      </c>
      <c r="I23" s="382"/>
    </row>
    <row r="24" ht="12.75" customHeight="1" spans="2:9">
      <c r="B24" s="523" t="s">
        <v>12</v>
      </c>
      <c r="C24" s="382" t="str">
        <f t="shared" ref="C24:G24" si="8">IFERROR((C23-B23)/ABS(B23),"")</f>
        <v/>
      </c>
      <c r="D24" s="382">
        <f t="shared" si="8"/>
        <v>4.96418378787879</v>
      </c>
      <c r="E24" s="382">
        <f t="shared" si="8"/>
        <v>-0.0333712507538371</v>
      </c>
      <c r="F24" s="382">
        <f t="shared" si="8"/>
        <v>-0.10942838370565</v>
      </c>
      <c r="G24" s="382" t="str">
        <f t="shared" si="8"/>
        <v/>
      </c>
      <c r="I24" s="382"/>
    </row>
    <row r="25" ht="12.75" customHeight="1" spans="2:10">
      <c r="B25" s="528" t="s">
        <v>20</v>
      </c>
      <c r="C25" s="529">
        <f t="shared" ref="C25:G25" si="9">C15+C17+C19+C21+C23</f>
        <v>846600</v>
      </c>
      <c r="D25" s="529">
        <f t="shared" si="9"/>
        <v>3218972.26</v>
      </c>
      <c r="E25" s="529">
        <f t="shared" si="9"/>
        <v>3575300</v>
      </c>
      <c r="F25" s="529">
        <f t="shared" si="9"/>
        <v>3794825</v>
      </c>
      <c r="G25" s="529" t="e">
        <f t="shared" si="9"/>
        <v>#REF!</v>
      </c>
      <c r="H25" s="530"/>
      <c r="I25" s="530"/>
      <c r="J25" s="530"/>
    </row>
    <row r="26" ht="12.75" customHeight="1" spans="2:9">
      <c r="B26" s="523" t="s">
        <v>12</v>
      </c>
      <c r="C26" s="382" t="str">
        <f t="shared" ref="C26:G26" si="10">IFERROR((C25-B25)/ABS(B25),"")</f>
        <v/>
      </c>
      <c r="D26" s="382">
        <f t="shared" si="10"/>
        <v>2.80223512875029</v>
      </c>
      <c r="E26" s="382">
        <f t="shared" si="10"/>
        <v>0.110696120133698</v>
      </c>
      <c r="F26" s="382">
        <f t="shared" si="10"/>
        <v>0.0614004419209577</v>
      </c>
      <c r="G26" s="382" t="str">
        <f t="shared" si="10"/>
        <v/>
      </c>
      <c r="I26" s="382"/>
    </row>
    <row r="27" ht="12.75" customHeight="1" spans="2:2">
      <c r="B27" s="524"/>
    </row>
    <row r="28" ht="12.75" customHeight="1" spans="2:10">
      <c r="B28" s="528" t="s">
        <v>21</v>
      </c>
      <c r="C28" s="531">
        <f t="shared" ref="C28:G28" si="11">C12-C25</f>
        <v>-292750</v>
      </c>
      <c r="D28" s="531">
        <f t="shared" si="11"/>
        <v>2827027.74</v>
      </c>
      <c r="E28" s="531">
        <f t="shared" si="11"/>
        <v>8525150</v>
      </c>
      <c r="F28" s="531">
        <f t="shared" si="11"/>
        <v>9556300</v>
      </c>
      <c r="G28" s="531" t="e">
        <f t="shared" si="11"/>
        <v>#REF!</v>
      </c>
      <c r="H28" s="531"/>
      <c r="I28" s="531"/>
      <c r="J28" s="531"/>
    </row>
    <row r="29" ht="12.75" customHeight="1" spans="2:9">
      <c r="B29" s="523" t="s">
        <v>12</v>
      </c>
      <c r="C29" s="382" t="str">
        <f t="shared" ref="C29:G29" si="12">IFERROR((C28-B28)/ABS(B28),"")</f>
        <v/>
      </c>
      <c r="D29" s="382">
        <f t="shared" si="12"/>
        <v>10.6567984286934</v>
      </c>
      <c r="E29" s="382">
        <f t="shared" si="12"/>
        <v>2.01558767159462</v>
      </c>
      <c r="F29" s="382">
        <f t="shared" si="12"/>
        <v>0.120953883509381</v>
      </c>
      <c r="G29" s="382" t="str">
        <f t="shared" si="12"/>
        <v/>
      </c>
      <c r="I29" s="382"/>
    </row>
    <row r="30" ht="12.75" customHeight="1" spans="2:10">
      <c r="B30" s="524" t="s">
        <v>22</v>
      </c>
      <c r="C30" s="385">
        <v>0</v>
      </c>
      <c r="D30" s="385">
        <v>0</v>
      </c>
      <c r="E30" s="385">
        <v>0</v>
      </c>
      <c r="F30" s="385">
        <v>0</v>
      </c>
      <c r="G30" s="385">
        <v>0</v>
      </c>
      <c r="H30" s="519"/>
      <c r="I30" s="519"/>
      <c r="J30" s="519"/>
    </row>
    <row r="31" ht="12.75" customHeight="1" spans="2:9">
      <c r="B31" s="523" t="s">
        <v>12</v>
      </c>
      <c r="C31" s="382" t="str">
        <f t="shared" ref="C31:G31" si="13">IFERROR((C30-B30)/ABS(B30),"")</f>
        <v/>
      </c>
      <c r="D31" s="382" t="str">
        <f t="shared" si="13"/>
        <v/>
      </c>
      <c r="E31" s="382" t="str">
        <f t="shared" si="13"/>
        <v/>
      </c>
      <c r="F31" s="382" t="str">
        <f t="shared" si="13"/>
        <v/>
      </c>
      <c r="G31" s="382" t="str">
        <f t="shared" si="13"/>
        <v/>
      </c>
      <c r="I31" s="382"/>
    </row>
    <row r="32" ht="12.75" customHeight="1" spans="4:10">
      <c r="D32" s="382"/>
      <c r="E32" s="382"/>
      <c r="F32" s="382"/>
      <c r="G32" s="382"/>
      <c r="H32" s="396"/>
      <c r="I32" s="396"/>
      <c r="J32" s="396"/>
    </row>
    <row r="33" ht="12.75" customHeight="1" spans="2:10">
      <c r="B33" s="528" t="s">
        <v>23</v>
      </c>
      <c r="C33" s="531">
        <f t="shared" ref="C33:G33" si="14">C28-C30</f>
        <v>-292750</v>
      </c>
      <c r="D33" s="531">
        <f t="shared" si="14"/>
        <v>2827027.74</v>
      </c>
      <c r="E33" s="531">
        <f t="shared" si="14"/>
        <v>8525150</v>
      </c>
      <c r="F33" s="531">
        <f t="shared" si="14"/>
        <v>9556300</v>
      </c>
      <c r="G33" s="531" t="e">
        <f t="shared" si="14"/>
        <v>#REF!</v>
      </c>
      <c r="H33" s="532"/>
      <c r="I33" s="532"/>
      <c r="J33" s="532"/>
    </row>
    <row r="34" ht="12.75" customHeight="1" spans="2:9">
      <c r="B34" s="523" t="s">
        <v>12</v>
      </c>
      <c r="C34" s="382" t="str">
        <f t="shared" ref="C34:G34" si="15">IFERROR((C33-B33)/ABS(B33),"")</f>
        <v/>
      </c>
      <c r="D34" s="382">
        <f t="shared" si="15"/>
        <v>10.6567984286934</v>
      </c>
      <c r="E34" s="382">
        <f t="shared" si="15"/>
        <v>2.01558767159462</v>
      </c>
      <c r="F34" s="382">
        <f t="shared" si="15"/>
        <v>0.120953883509381</v>
      </c>
      <c r="G34" s="382" t="str">
        <f t="shared" si="15"/>
        <v/>
      </c>
      <c r="I34" s="382"/>
    </row>
    <row r="35" ht="12.75" customHeight="1" spans="2:10">
      <c r="B35" s="524" t="s">
        <v>24</v>
      </c>
      <c r="C35" s="385">
        <v>0</v>
      </c>
      <c r="D35" s="385">
        <v>0</v>
      </c>
      <c r="E35" s="385">
        <v>0</v>
      </c>
      <c r="F35" s="385">
        <v>0</v>
      </c>
      <c r="G35" s="385">
        <v>0</v>
      </c>
      <c r="H35" s="519"/>
      <c r="I35" s="519"/>
      <c r="J35" s="519"/>
    </row>
    <row r="36" ht="12.75" customHeight="1" spans="2:9">
      <c r="B36" s="523" t="s">
        <v>12</v>
      </c>
      <c r="C36" s="382" t="str">
        <f t="shared" ref="C36:G36" si="16">IFERROR((C35-B35)/ABS(B35),"")</f>
        <v/>
      </c>
      <c r="D36" s="382" t="str">
        <f t="shared" si="16"/>
        <v/>
      </c>
      <c r="E36" s="382" t="str">
        <f t="shared" si="16"/>
        <v/>
      </c>
      <c r="F36" s="382" t="str">
        <f t="shared" si="16"/>
        <v/>
      </c>
      <c r="G36" s="382" t="str">
        <f t="shared" si="16"/>
        <v/>
      </c>
      <c r="I36" s="382"/>
    </row>
    <row r="37" ht="12.75" customHeight="1"/>
    <row r="38" ht="12.75" customHeight="1" spans="2:10">
      <c r="B38" s="533" t="s">
        <v>25</v>
      </c>
      <c r="C38" s="534">
        <f t="shared" ref="C38:G38" si="17">C33-C35</f>
        <v>-292750</v>
      </c>
      <c r="D38" s="534">
        <f t="shared" si="17"/>
        <v>2827027.74</v>
      </c>
      <c r="E38" s="534">
        <f t="shared" si="17"/>
        <v>8525150</v>
      </c>
      <c r="F38" s="534">
        <f t="shared" si="17"/>
        <v>9556300</v>
      </c>
      <c r="G38" s="534" t="e">
        <f t="shared" si="17"/>
        <v>#REF!</v>
      </c>
      <c r="H38" s="534"/>
      <c r="I38" s="534"/>
      <c r="J38" s="534"/>
    </row>
    <row r="39" ht="12.75" customHeight="1" spans="2:9">
      <c r="B39" s="523" t="s">
        <v>12</v>
      </c>
      <c r="C39" s="382" t="str">
        <f t="shared" ref="C39:G39" si="18">IFERROR((C38-B38)/ABS(B38),"")</f>
        <v/>
      </c>
      <c r="D39" s="382">
        <f t="shared" si="18"/>
        <v>10.6567984286934</v>
      </c>
      <c r="E39" s="382">
        <f t="shared" si="18"/>
        <v>2.01558767159462</v>
      </c>
      <c r="F39" s="382">
        <f t="shared" si="18"/>
        <v>0.120953883509381</v>
      </c>
      <c r="G39" s="382" t="str">
        <f t="shared" si="18"/>
        <v/>
      </c>
      <c r="I39" s="382"/>
    </row>
    <row r="40" ht="12.75" customHeight="1" spans="2:10">
      <c r="B40" s="524"/>
      <c r="C40" s="518"/>
      <c r="D40" s="518"/>
      <c r="E40" s="518"/>
      <c r="F40" s="519"/>
      <c r="G40" s="519"/>
      <c r="H40" s="519"/>
      <c r="I40" s="519"/>
      <c r="J40" s="519"/>
    </row>
    <row r="41" ht="12.75" customHeight="1" spans="2:10">
      <c r="B41" s="374" t="s">
        <v>26</v>
      </c>
      <c r="C41" s="375"/>
      <c r="D41" s="375"/>
      <c r="E41" s="375"/>
      <c r="F41" s="375"/>
      <c r="G41" s="375"/>
      <c r="H41" s="375"/>
      <c r="I41" s="375"/>
      <c r="J41" s="375"/>
    </row>
    <row r="42" ht="12.75" customHeight="1" spans="2:10">
      <c r="B42" s="520"/>
      <c r="C42" s="519"/>
      <c r="D42" s="519"/>
      <c r="E42" s="519"/>
      <c r="F42" s="519"/>
      <c r="G42" s="519"/>
      <c r="H42" s="519"/>
      <c r="I42" s="519"/>
      <c r="J42" s="519"/>
    </row>
    <row r="43" ht="12.75" customHeight="1" spans="2:10">
      <c r="B43" s="520" t="s">
        <v>27</v>
      </c>
      <c r="C43" s="535"/>
      <c r="D43" s="535"/>
      <c r="E43" s="535"/>
      <c r="F43" s="536"/>
      <c r="G43" s="536"/>
      <c r="H43" s="536"/>
      <c r="I43" s="536"/>
      <c r="J43" s="536"/>
    </row>
    <row r="44" ht="12.75" customHeight="1" spans="2:10">
      <c r="B44" s="524" t="s">
        <v>25</v>
      </c>
      <c r="C44" s="385">
        <f t="shared" ref="C44:G44" si="19">C38</f>
        <v>-292750</v>
      </c>
      <c r="D44" s="385">
        <f t="shared" si="19"/>
        <v>2827027.74</v>
      </c>
      <c r="E44" s="385">
        <f t="shared" si="19"/>
        <v>8525150</v>
      </c>
      <c r="F44" s="385">
        <f t="shared" si="19"/>
        <v>9556300</v>
      </c>
      <c r="G44" s="385" t="e">
        <f t="shared" si="19"/>
        <v>#REF!</v>
      </c>
      <c r="H44" s="519"/>
      <c r="I44" s="519"/>
      <c r="J44" s="519"/>
    </row>
    <row r="45" ht="12.75" customHeight="1" spans="2:10">
      <c r="B45" s="537" t="s">
        <v>28</v>
      </c>
      <c r="C45" s="538">
        <f t="shared" ref="C45:G45" si="20">C44</f>
        <v>-292750</v>
      </c>
      <c r="D45" s="538">
        <f t="shared" si="20"/>
        <v>2827027.74</v>
      </c>
      <c r="E45" s="538">
        <f t="shared" si="20"/>
        <v>8525150</v>
      </c>
      <c r="F45" s="538">
        <f t="shared" si="20"/>
        <v>9556300</v>
      </c>
      <c r="G45" s="538" t="e">
        <f t="shared" si="20"/>
        <v>#REF!</v>
      </c>
      <c r="H45" s="538"/>
      <c r="I45" s="538"/>
      <c r="J45" s="538"/>
    </row>
    <row r="46" ht="12.75" customHeight="1" spans="2:9">
      <c r="B46" s="523" t="s">
        <v>12</v>
      </c>
      <c r="C46" s="382" t="str">
        <f t="shared" ref="C46:G46" si="21">IFERROR((C45-B45)/ABS(B45),"")</f>
        <v/>
      </c>
      <c r="D46" s="382">
        <f t="shared" si="21"/>
        <v>10.6567984286934</v>
      </c>
      <c r="E46" s="382">
        <f t="shared" si="21"/>
        <v>2.01558767159462</v>
      </c>
      <c r="F46" s="382">
        <f t="shared" si="21"/>
        <v>0.120953883509381</v>
      </c>
      <c r="G46" s="382" t="str">
        <f t="shared" si="21"/>
        <v/>
      </c>
      <c r="I46" s="382"/>
    </row>
    <row r="47" ht="12.75" customHeight="1" spans="2:10">
      <c r="B47" s="524" t="s">
        <v>29</v>
      </c>
      <c r="C47" s="385"/>
      <c r="D47" s="385"/>
      <c r="E47" s="385"/>
      <c r="F47" s="519"/>
      <c r="G47" s="519"/>
      <c r="H47" s="519"/>
      <c r="I47" s="519"/>
      <c r="J47" s="519"/>
    </row>
    <row r="48" ht="12.75" customHeight="1" spans="2:10">
      <c r="B48" s="520" t="s">
        <v>30</v>
      </c>
      <c r="C48" s="385"/>
      <c r="D48" s="385"/>
      <c r="E48" s="385"/>
      <c r="F48" s="519"/>
      <c r="G48" s="519"/>
      <c r="H48" s="519"/>
      <c r="I48" s="519"/>
      <c r="J48" s="519"/>
    </row>
    <row r="49" ht="12.75" customHeight="1" spans="2:10">
      <c r="B49" s="524" t="s">
        <v>31</v>
      </c>
      <c r="C49" s="385">
        <f>-('Détail Dépenses'!$W$13+'Détail Dépenses'!$X$13)</f>
        <v>-114000</v>
      </c>
      <c r="D49" s="385">
        <f>-('Détail Dépenses'!$W$47+'Détail Dépenses'!$X$47)</f>
        <v>-3087027.39623</v>
      </c>
      <c r="E49" s="385">
        <f>-('Détail Dépenses'!$W$81+'Détail Dépenses'!$X$81)</f>
        <v>-1972000</v>
      </c>
      <c r="F49" s="385">
        <f>-('Détail Dépenses'!$W$116+'Détail Dépenses'!$X$116)</f>
        <v>-1159300</v>
      </c>
      <c r="G49" s="385" t="e">
        <f>-('Détail Dépenses'!#REF!+'Détail Dépenses'!#REF!)</f>
        <v>#REF!</v>
      </c>
      <c r="H49" s="519"/>
      <c r="I49" s="519"/>
      <c r="J49" s="519"/>
    </row>
    <row r="50" ht="12.75" customHeight="1" spans="2:10">
      <c r="B50" s="537" t="s">
        <v>32</v>
      </c>
      <c r="C50" s="538">
        <f t="shared" ref="C50:G50" si="22">(C49)</f>
        <v>-114000</v>
      </c>
      <c r="D50" s="538">
        <f t="shared" si="22"/>
        <v>-3087027.39623</v>
      </c>
      <c r="E50" s="538">
        <f t="shared" si="22"/>
        <v>-1972000</v>
      </c>
      <c r="F50" s="538">
        <f t="shared" si="22"/>
        <v>-1159300</v>
      </c>
      <c r="G50" s="538" t="e">
        <f t="shared" si="22"/>
        <v>#REF!</v>
      </c>
      <c r="H50" s="538"/>
      <c r="I50" s="538"/>
      <c r="J50" s="538"/>
    </row>
    <row r="51" ht="12.75" customHeight="1" spans="2:9">
      <c r="B51" s="523" t="s">
        <v>12</v>
      </c>
      <c r="C51" s="382" t="str">
        <f t="shared" ref="C51:G51" si="23">IFERROR((C50-B50)/ABS(B50),"")</f>
        <v/>
      </c>
      <c r="D51" s="382">
        <f t="shared" si="23"/>
        <v>-26.0791876862281</v>
      </c>
      <c r="E51" s="382">
        <f t="shared" si="23"/>
        <v>0.361197765070603</v>
      </c>
      <c r="F51" s="382">
        <f t="shared" si="23"/>
        <v>0.412119675456389</v>
      </c>
      <c r="G51" s="382" t="str">
        <f t="shared" si="23"/>
        <v/>
      </c>
      <c r="I51" s="382"/>
    </row>
    <row r="52" ht="12.75" customHeight="1" spans="1:29">
      <c r="A52" s="410"/>
      <c r="B52" s="524"/>
      <c r="C52" s="519"/>
      <c r="D52" s="519"/>
      <c r="E52" s="519"/>
      <c r="F52" s="519"/>
      <c r="G52" s="519"/>
      <c r="H52" s="519"/>
      <c r="I52" s="519"/>
      <c r="J52" s="519"/>
      <c r="P52" s="410"/>
      <c r="Q52" s="410"/>
      <c r="R52" s="410"/>
      <c r="S52" s="410"/>
      <c r="T52" s="410"/>
      <c r="U52" s="410"/>
      <c r="V52" s="410"/>
      <c r="W52" s="410"/>
      <c r="X52" s="410"/>
      <c r="Y52" s="410"/>
      <c r="Z52" s="410"/>
      <c r="AA52" s="410"/>
      <c r="AB52" s="410"/>
      <c r="AC52" s="410"/>
    </row>
    <row r="53" ht="12.75" customHeight="1" spans="2:10">
      <c r="B53" s="539" t="s">
        <v>33</v>
      </c>
      <c r="C53" s="540">
        <f t="shared" ref="C53:G53" si="24">C45+C50</f>
        <v>-406750</v>
      </c>
      <c r="D53" s="540">
        <f t="shared" si="24"/>
        <v>-259999.65623</v>
      </c>
      <c r="E53" s="540">
        <f t="shared" si="24"/>
        <v>6553150</v>
      </c>
      <c r="F53" s="540">
        <f t="shared" si="24"/>
        <v>8397000</v>
      </c>
      <c r="G53" s="540" t="e">
        <f t="shared" si="24"/>
        <v>#REF!</v>
      </c>
      <c r="H53" s="540"/>
      <c r="I53" s="540"/>
      <c r="J53" s="540"/>
    </row>
    <row r="54" ht="12.75" customHeight="1" spans="2:10">
      <c r="B54" s="524" t="s">
        <v>29</v>
      </c>
      <c r="C54" s="385"/>
      <c r="D54" s="385"/>
      <c r="E54" s="385"/>
      <c r="F54" s="519"/>
      <c r="G54" s="519"/>
      <c r="H54" s="519"/>
      <c r="I54" s="519"/>
      <c r="J54" s="519"/>
    </row>
    <row r="55" ht="12.75" customHeight="1" spans="2:10">
      <c r="B55" s="520" t="s">
        <v>34</v>
      </c>
      <c r="C55" s="522"/>
      <c r="D55" s="522"/>
      <c r="E55" s="522"/>
      <c r="F55" s="522"/>
      <c r="G55" s="522"/>
      <c r="H55" s="522"/>
      <c r="I55" s="522"/>
      <c r="J55" s="522"/>
    </row>
    <row r="56" ht="12.75" customHeight="1" spans="2:10">
      <c r="B56" s="524" t="s">
        <v>35</v>
      </c>
      <c r="C56" s="385">
        <f>'Détail Dépenses'!$C$13</f>
        <v>250000</v>
      </c>
      <c r="D56" s="385">
        <f>'Détail Dépenses'!$C$47</f>
        <v>50000</v>
      </c>
      <c r="E56" s="385">
        <f>'Détail Dépenses'!$C$81</f>
        <v>0</v>
      </c>
      <c r="F56" s="385">
        <f>'Détail Dépenses'!$C$116</f>
        <v>100000</v>
      </c>
      <c r="G56" s="385" t="e">
        <f>'Détail Dépenses'!#REF!</f>
        <v>#REF!</v>
      </c>
      <c r="H56" s="519"/>
      <c r="I56" s="519"/>
      <c r="J56" s="519"/>
    </row>
    <row r="57" ht="12.75" customHeight="1" spans="2:9">
      <c r="B57" s="523" t="s">
        <v>12</v>
      </c>
      <c r="C57" s="382" t="str">
        <f t="shared" ref="C57:G57" si="25">IFERROR((C56-B56)/ABS(B56),"")</f>
        <v/>
      </c>
      <c r="D57" s="382">
        <f t="shared" si="25"/>
        <v>-0.8</v>
      </c>
      <c r="E57" s="382">
        <f t="shared" si="25"/>
        <v>-1</v>
      </c>
      <c r="F57" s="382" t="str">
        <f t="shared" si="25"/>
        <v/>
      </c>
      <c r="G57" s="382" t="str">
        <f t="shared" si="25"/>
        <v/>
      </c>
      <c r="I57" s="382"/>
    </row>
    <row r="58" ht="12.75" customHeight="1" spans="2:10">
      <c r="B58" s="541" t="s">
        <v>36</v>
      </c>
      <c r="C58" s="542">
        <f t="shared" ref="C58:G58" si="26">C56</f>
        <v>250000</v>
      </c>
      <c r="D58" s="542">
        <f t="shared" si="26"/>
        <v>50000</v>
      </c>
      <c r="E58" s="542">
        <f t="shared" si="26"/>
        <v>0</v>
      </c>
      <c r="F58" s="542">
        <f t="shared" si="26"/>
        <v>100000</v>
      </c>
      <c r="G58" s="542" t="e">
        <f t="shared" si="26"/>
        <v>#REF!</v>
      </c>
      <c r="H58" s="542"/>
      <c r="I58" s="542"/>
      <c r="J58" s="542"/>
    </row>
    <row r="59" ht="12.75" customHeight="1" spans="2:9">
      <c r="B59" s="523" t="s">
        <v>12</v>
      </c>
      <c r="C59" s="382" t="str">
        <f t="shared" ref="C59:G59" si="27">IFERROR((C58-B58)/ABS(B58),"")</f>
        <v/>
      </c>
      <c r="D59" s="382">
        <f t="shared" si="27"/>
        <v>-0.8</v>
      </c>
      <c r="E59" s="382">
        <f t="shared" si="27"/>
        <v>-1</v>
      </c>
      <c r="F59" s="382" t="str">
        <f t="shared" si="27"/>
        <v/>
      </c>
      <c r="G59" s="382" t="str">
        <f t="shared" si="27"/>
        <v/>
      </c>
      <c r="I59" s="382"/>
    </row>
    <row r="60" ht="12.75" customHeight="1"/>
    <row r="61" ht="12.75" customHeight="1" spans="2:11">
      <c r="B61" s="543" t="s">
        <v>37</v>
      </c>
      <c r="C61" s="544"/>
      <c r="D61" s="545"/>
      <c r="E61" s="544"/>
      <c r="F61" s="544"/>
      <c r="G61" s="544"/>
      <c r="H61" s="544"/>
      <c r="I61" s="544"/>
      <c r="J61" s="544"/>
      <c r="K61" s="544"/>
    </row>
    <row r="62" ht="12.75" customHeight="1" spans="9:11">
      <c r="I62" s="396"/>
      <c r="J62" s="396"/>
      <c r="K62" s="396"/>
    </row>
    <row r="63" ht="12.75" customHeight="1" spans="2:11">
      <c r="B63" s="546" t="str">
        <f t="shared" ref="B63:G63" si="28">B8</f>
        <v>Chiffre d'affaires</v>
      </c>
      <c r="C63" s="546">
        <f t="shared" si="28"/>
        <v>3527300</v>
      </c>
      <c r="D63" s="546">
        <f t="shared" si="28"/>
        <v>12225050</v>
      </c>
      <c r="E63" s="546">
        <f t="shared" si="28"/>
        <v>20471000</v>
      </c>
      <c r="F63" s="546">
        <f t="shared" si="28"/>
        <v>28821750</v>
      </c>
      <c r="G63" s="546">
        <f t="shared" si="28"/>
        <v>7057250</v>
      </c>
      <c r="I63" s="396" t="s">
        <v>38</v>
      </c>
      <c r="J63" s="549" t="s">
        <v>39</v>
      </c>
      <c r="K63" s="549" t="s">
        <v>40</v>
      </c>
    </row>
    <row r="64" ht="12.75" customHeight="1" spans="2:11">
      <c r="B64" s="546" t="str">
        <f>B12</f>
        <v>Marge brute</v>
      </c>
      <c r="C64" s="547">
        <f t="shared" ref="C64:G64" si="29">C12/C8</f>
        <v>0.157018115839311</v>
      </c>
      <c r="D64" s="547">
        <f t="shared" si="29"/>
        <v>0.494558304465012</v>
      </c>
      <c r="E64" s="547">
        <f t="shared" si="29"/>
        <v>0.591102046797909</v>
      </c>
      <c r="F64" s="547">
        <f t="shared" si="29"/>
        <v>0.463230893335762</v>
      </c>
      <c r="G64" s="547" t="e">
        <f t="shared" si="29"/>
        <v>#REF!</v>
      </c>
      <c r="I64" s="360" t="s">
        <v>41</v>
      </c>
      <c r="J64" s="359">
        <f>SUM('Analyse Catégorielle'!D6:G6)</f>
        <v>46043118.54767</v>
      </c>
      <c r="K64" s="450">
        <f t="shared" ref="K64:K66" si="30">J64/$J$67</f>
        <v>0.707864520888892</v>
      </c>
    </row>
    <row r="65" ht="12.75" customHeight="1" spans="9:11">
      <c r="I65" s="360" t="s">
        <v>42</v>
      </c>
      <c r="J65" s="359">
        <f>SUM('Analyse Catégorielle'!D34:G34)</f>
        <v>11638302.5981859</v>
      </c>
      <c r="K65" s="450">
        <f t="shared" si="30"/>
        <v>0.17892666162687</v>
      </c>
    </row>
    <row r="66" ht="12.75" customHeight="1" spans="2:11">
      <c r="B66" s="524" t="s">
        <v>28</v>
      </c>
      <c r="C66" s="519">
        <v>-292750</v>
      </c>
      <c r="D66" s="519">
        <v>2827027.74</v>
      </c>
      <c r="E66" s="519">
        <v>8525150</v>
      </c>
      <c r="F66" s="519">
        <v>9556300</v>
      </c>
      <c r="G66" s="519">
        <v>4957950</v>
      </c>
      <c r="I66" s="447" t="s">
        <v>43</v>
      </c>
      <c r="J66" s="445">
        <f>SUM('Analyse Catégorielle'!D63:G63)</f>
        <v>7363678.85414404</v>
      </c>
      <c r="K66" s="450">
        <f t="shared" si="30"/>
        <v>0.113208817484238</v>
      </c>
    </row>
    <row r="67" ht="12.75" customHeight="1" spans="2:11">
      <c r="B67" s="524" t="s">
        <v>32</v>
      </c>
      <c r="C67" s="519">
        <v>-114000</v>
      </c>
      <c r="D67" s="519">
        <v>-3087027.39623</v>
      </c>
      <c r="E67" s="519">
        <v>-1972000</v>
      </c>
      <c r="F67" s="519">
        <v>-1159300</v>
      </c>
      <c r="G67" s="519">
        <v>-6000</v>
      </c>
      <c r="I67" s="550" t="s">
        <v>44</v>
      </c>
      <c r="J67" s="551">
        <f t="shared" ref="J67:K67" si="31">SUM(J64:J66)</f>
        <v>65045100</v>
      </c>
      <c r="K67" s="552">
        <f t="shared" si="31"/>
        <v>1</v>
      </c>
    </row>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C2:G2"/>
    <mergeCell ref="B2:B3"/>
  </mergeCells>
  <pageMargins left="0.7" right="0.7" top="0.75" bottom="0.75" header="0" footer="0"/>
  <pageSetup paperSize="9" orientation="portrait"/>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998"/>
  <sheetViews>
    <sheetView showGridLines="0" topLeftCell="H44" workbookViewId="0">
      <selection activeCell="A1" sqref="A1:T67"/>
    </sheetView>
  </sheetViews>
  <sheetFormatPr defaultColWidth="12.5714285714286" defaultRowHeight="15" customHeight="1"/>
  <cols>
    <col min="1" max="1" width="41" customWidth="1"/>
    <col min="2" max="25" width="14.4285714285714" customWidth="1"/>
  </cols>
  <sheetData>
    <row r="1" ht="13.5" customHeight="1" spans="1:25">
      <c r="A1" s="1" t="s">
        <v>222</v>
      </c>
      <c r="B1" s="1" t="s">
        <v>137</v>
      </c>
      <c r="C1" s="1" t="s">
        <v>40</v>
      </c>
      <c r="D1" s="1" t="s">
        <v>147</v>
      </c>
      <c r="E1" s="1" t="s">
        <v>40</v>
      </c>
      <c r="F1" s="1" t="s">
        <v>149</v>
      </c>
      <c r="G1" s="1" t="s">
        <v>40</v>
      </c>
      <c r="H1" s="1" t="s">
        <v>151</v>
      </c>
      <c r="I1" s="1" t="s">
        <v>40</v>
      </c>
      <c r="J1" s="1" t="s">
        <v>223</v>
      </c>
      <c r="K1" s="1" t="s">
        <v>40</v>
      </c>
      <c r="L1" s="1" t="s">
        <v>224</v>
      </c>
      <c r="M1" s="1" t="s">
        <v>40</v>
      </c>
      <c r="N1" s="1" t="s">
        <v>225</v>
      </c>
      <c r="O1" s="1" t="s">
        <v>40</v>
      </c>
      <c r="P1" s="1" t="s">
        <v>226</v>
      </c>
      <c r="Q1" s="1" t="s">
        <v>40</v>
      </c>
      <c r="R1" s="1" t="s">
        <v>227</v>
      </c>
      <c r="S1" s="1" t="s">
        <v>40</v>
      </c>
      <c r="T1" s="1" t="s">
        <v>228</v>
      </c>
      <c r="U1" s="25"/>
      <c r="V1" s="25"/>
      <c r="W1" s="25"/>
      <c r="X1" s="25"/>
      <c r="Y1" s="25"/>
    </row>
    <row r="2" ht="13.5" customHeight="1" spans="1:25">
      <c r="A2" s="2"/>
      <c r="B2" s="2"/>
      <c r="C2" s="2"/>
      <c r="D2" s="2"/>
      <c r="E2" s="2"/>
      <c r="F2" s="2"/>
      <c r="G2" s="2"/>
      <c r="H2" s="2"/>
      <c r="I2" s="2"/>
      <c r="J2" s="2"/>
      <c r="K2" s="2"/>
      <c r="L2" s="2"/>
      <c r="M2" s="2"/>
      <c r="N2" s="2"/>
      <c r="O2" s="2"/>
      <c r="P2" s="2"/>
      <c r="Q2" s="2"/>
      <c r="R2" s="2"/>
      <c r="S2" s="2"/>
      <c r="T2" s="2"/>
      <c r="U2" s="25"/>
      <c r="V2" s="25"/>
      <c r="W2" s="25"/>
      <c r="X2" s="25"/>
      <c r="Y2" s="25"/>
    </row>
    <row r="3" ht="13.5" customHeight="1" spans="1:25">
      <c r="A3" s="3" t="s">
        <v>229</v>
      </c>
      <c r="B3" s="6">
        <f>SUM(B4:B11)</f>
        <v>150000</v>
      </c>
      <c r="C3" s="8">
        <f>B3/$B$58</f>
        <v>0.272975432211101</v>
      </c>
      <c r="D3" s="6">
        <f>SUM(D4:D11)</f>
        <v>240000</v>
      </c>
      <c r="E3" s="8">
        <f>D3/$D$58</f>
        <v>0.171551107934239</v>
      </c>
      <c r="F3" s="6">
        <f>SUM(F4:F11)</f>
        <v>327000</v>
      </c>
      <c r="G3" s="8">
        <f>F3/$F$58</f>
        <v>0.188364055299539</v>
      </c>
      <c r="H3" s="6">
        <f>SUM(H4:H11)</f>
        <v>293500</v>
      </c>
      <c r="I3" s="8">
        <f>H3/$F$58</f>
        <v>0.169066820276498</v>
      </c>
      <c r="J3" s="11"/>
      <c r="K3" s="11"/>
      <c r="L3" s="11"/>
      <c r="M3" s="11"/>
      <c r="N3" s="11"/>
      <c r="O3" s="11"/>
      <c r="P3" s="11"/>
      <c r="Q3" s="11"/>
      <c r="R3" s="11"/>
      <c r="S3" s="11"/>
      <c r="T3" s="11"/>
      <c r="U3" s="25"/>
      <c r="V3" s="25"/>
      <c r="W3" s="25"/>
      <c r="X3" s="25"/>
      <c r="Y3" s="25"/>
    </row>
    <row r="4" ht="13.5" customHeight="1" spans="1:25">
      <c r="A4" s="4" t="s">
        <v>230</v>
      </c>
      <c r="B4" s="7">
        <f t="shared" ref="B4:B6" si="0">20000+10000</f>
        <v>30000</v>
      </c>
      <c r="C4" s="7"/>
      <c r="D4" s="7">
        <v>60000</v>
      </c>
      <c r="E4" s="2"/>
      <c r="F4" s="7">
        <f>60000+10000</f>
        <v>70000</v>
      </c>
      <c r="G4" s="2"/>
      <c r="H4" s="7">
        <f>60000+10000</f>
        <v>70000</v>
      </c>
      <c r="I4" s="2"/>
      <c r="J4" s="2"/>
      <c r="K4" s="2"/>
      <c r="L4" s="2"/>
      <c r="M4" s="2"/>
      <c r="N4" s="2"/>
      <c r="O4" s="2"/>
      <c r="P4" s="2"/>
      <c r="Q4" s="2"/>
      <c r="R4" s="2"/>
      <c r="S4" s="2"/>
      <c r="T4" s="2"/>
      <c r="U4" s="25"/>
      <c r="V4" s="25"/>
      <c r="W4" s="25"/>
      <c r="X4" s="25"/>
      <c r="Y4" s="25"/>
    </row>
    <row r="5" ht="13.5" customHeight="1" spans="1:25">
      <c r="A5" s="4" t="s">
        <v>231</v>
      </c>
      <c r="B5" s="7">
        <f t="shared" si="0"/>
        <v>30000</v>
      </c>
      <c r="C5" s="9"/>
      <c r="D5" s="10" t="s">
        <v>232</v>
      </c>
      <c r="E5" s="2"/>
      <c r="F5" s="10" t="s">
        <v>232</v>
      </c>
      <c r="G5" s="2"/>
      <c r="H5" s="10" t="s">
        <v>232</v>
      </c>
      <c r="I5" s="2"/>
      <c r="J5" s="2"/>
      <c r="K5" s="2"/>
      <c r="L5" s="2"/>
      <c r="M5" s="2"/>
      <c r="N5" s="2"/>
      <c r="O5" s="2"/>
      <c r="P5" s="2"/>
      <c r="Q5" s="2"/>
      <c r="R5" s="2"/>
      <c r="S5" s="2"/>
      <c r="T5" s="2"/>
      <c r="U5" s="25"/>
      <c r="V5" s="25"/>
      <c r="W5" s="25"/>
      <c r="X5" s="25"/>
      <c r="Y5" s="25"/>
    </row>
    <row r="6" ht="13.5" customHeight="1" spans="1:25">
      <c r="A6" s="4" t="s">
        <v>233</v>
      </c>
      <c r="B6" s="7">
        <f t="shared" si="0"/>
        <v>30000</v>
      </c>
      <c r="C6" s="7"/>
      <c r="D6" s="7">
        <v>60000</v>
      </c>
      <c r="E6" s="2"/>
      <c r="F6" s="7">
        <f>60000+10000</f>
        <v>70000</v>
      </c>
      <c r="G6" s="2"/>
      <c r="H6" s="7">
        <v>60000</v>
      </c>
      <c r="I6" s="2"/>
      <c r="J6" s="2"/>
      <c r="K6" s="2"/>
      <c r="L6" s="2"/>
      <c r="M6" s="2"/>
      <c r="N6" s="2"/>
      <c r="O6" s="2"/>
      <c r="P6" s="2"/>
      <c r="Q6" s="2"/>
      <c r="R6" s="2"/>
      <c r="S6" s="2"/>
      <c r="T6" s="2"/>
      <c r="U6" s="25"/>
      <c r="V6" s="25"/>
      <c r="W6" s="25"/>
      <c r="X6" s="25"/>
      <c r="Y6" s="25"/>
    </row>
    <row r="7" ht="13.5" customHeight="1" spans="1:25">
      <c r="A7" s="4" t="s">
        <v>234</v>
      </c>
      <c r="B7" s="7"/>
      <c r="C7" s="7"/>
      <c r="D7" s="7"/>
      <c r="E7" s="2"/>
      <c r="F7" s="7">
        <f>40000+7000</f>
        <v>47000</v>
      </c>
      <c r="G7" s="2"/>
      <c r="H7" s="10" t="s">
        <v>232</v>
      </c>
      <c r="I7" s="2"/>
      <c r="J7" s="2"/>
      <c r="K7" s="2"/>
      <c r="L7" s="2"/>
      <c r="M7" s="2"/>
      <c r="N7" s="2"/>
      <c r="O7" s="2"/>
      <c r="P7" s="2"/>
      <c r="Q7" s="2"/>
      <c r="R7" s="2"/>
      <c r="S7" s="2"/>
      <c r="T7" s="2"/>
      <c r="U7" s="25"/>
      <c r="V7" s="25"/>
      <c r="W7" s="25"/>
      <c r="X7" s="25"/>
      <c r="Y7" s="25"/>
    </row>
    <row r="8" ht="13.5" customHeight="1" spans="1:25">
      <c r="A8" s="4" t="s">
        <v>235</v>
      </c>
      <c r="B8" s="7"/>
      <c r="C8" s="7"/>
      <c r="D8" s="7"/>
      <c r="E8" s="2"/>
      <c r="F8" s="7"/>
      <c r="G8" s="2"/>
      <c r="H8" s="7">
        <f>23500</f>
        <v>23500</v>
      </c>
      <c r="I8" s="2"/>
      <c r="J8" s="2"/>
      <c r="K8" s="2"/>
      <c r="L8" s="2"/>
      <c r="M8" s="2"/>
      <c r="N8" s="2"/>
      <c r="O8" s="2"/>
      <c r="P8" s="2"/>
      <c r="Q8" s="2"/>
      <c r="R8" s="2"/>
      <c r="S8" s="2"/>
      <c r="T8" s="2"/>
      <c r="U8" s="25"/>
      <c r="V8" s="25"/>
      <c r="W8" s="25"/>
      <c r="X8" s="25"/>
      <c r="Y8" s="25"/>
    </row>
    <row r="9" ht="13.5" customHeight="1" spans="1:25">
      <c r="A9" s="2"/>
      <c r="B9" s="7"/>
      <c r="C9" s="7"/>
      <c r="D9" s="7"/>
      <c r="E9" s="2"/>
      <c r="F9" s="7"/>
      <c r="G9" s="2"/>
      <c r="H9" s="2"/>
      <c r="I9" s="2"/>
      <c r="J9" s="2"/>
      <c r="K9" s="2"/>
      <c r="L9" s="2"/>
      <c r="M9" s="2"/>
      <c r="N9" s="2"/>
      <c r="O9" s="2"/>
      <c r="P9" s="2"/>
      <c r="Q9" s="2"/>
      <c r="R9" s="2"/>
      <c r="S9" s="2"/>
      <c r="T9" s="2"/>
      <c r="U9" s="25"/>
      <c r="V9" s="25"/>
      <c r="W9" s="25"/>
      <c r="X9" s="25"/>
      <c r="Y9" s="25"/>
    </row>
    <row r="10" ht="13.5" customHeight="1" spans="1:25">
      <c r="A10" s="12" t="s">
        <v>236</v>
      </c>
      <c r="B10" s="7">
        <f t="shared" ref="B10:B11" si="1">20000+10000</f>
        <v>30000</v>
      </c>
      <c r="C10" s="7"/>
      <c r="D10" s="7">
        <v>60000</v>
      </c>
      <c r="E10" s="2"/>
      <c r="F10" s="7">
        <f t="shared" ref="F10:F11" si="2">60000+10000</f>
        <v>70000</v>
      </c>
      <c r="G10" s="2"/>
      <c r="H10" s="7">
        <f t="shared" ref="H10:H11" si="3">F10</f>
        <v>70000</v>
      </c>
      <c r="I10" s="2"/>
      <c r="J10" s="2"/>
      <c r="K10" s="2"/>
      <c r="L10" s="2"/>
      <c r="M10" s="2"/>
      <c r="N10" s="2"/>
      <c r="O10" s="2"/>
      <c r="P10" s="2"/>
      <c r="Q10" s="2"/>
      <c r="R10" s="2"/>
      <c r="S10" s="2"/>
      <c r="T10" s="2"/>
      <c r="U10" s="25"/>
      <c r="V10" s="25"/>
      <c r="W10" s="25"/>
      <c r="X10" s="25"/>
      <c r="Y10" s="25"/>
    </row>
    <row r="11" ht="13.5" customHeight="1" spans="1:25">
      <c r="A11" s="12" t="s">
        <v>237</v>
      </c>
      <c r="B11" s="7">
        <f t="shared" si="1"/>
        <v>30000</v>
      </c>
      <c r="C11" s="7"/>
      <c r="D11" s="7">
        <v>60000</v>
      </c>
      <c r="E11" s="2"/>
      <c r="F11" s="7">
        <f t="shared" si="2"/>
        <v>70000</v>
      </c>
      <c r="G11" s="2"/>
      <c r="H11" s="7">
        <f t="shared" si="3"/>
        <v>70000</v>
      </c>
      <c r="I11" s="2"/>
      <c r="J11" s="2"/>
      <c r="K11" s="2"/>
      <c r="L11" s="2"/>
      <c r="M11" s="2"/>
      <c r="N11" s="2"/>
      <c r="O11" s="2"/>
      <c r="P11" s="2"/>
      <c r="Q11" s="2"/>
      <c r="R11" s="2"/>
      <c r="S11" s="2"/>
      <c r="T11" s="2"/>
      <c r="U11" s="25"/>
      <c r="V11" s="25"/>
      <c r="W11" s="25"/>
      <c r="X11" s="25"/>
      <c r="Y11" s="25"/>
    </row>
    <row r="12" ht="13.5" customHeight="1" spans="1:25">
      <c r="A12" s="2"/>
      <c r="B12" s="7"/>
      <c r="C12" s="7"/>
      <c r="D12" s="7"/>
      <c r="E12" s="2"/>
      <c r="F12" s="2"/>
      <c r="G12" s="2"/>
      <c r="H12" s="2"/>
      <c r="I12" s="2"/>
      <c r="J12" s="2"/>
      <c r="K12" s="2"/>
      <c r="L12" s="2"/>
      <c r="M12" s="2"/>
      <c r="N12" s="2"/>
      <c r="O12" s="2"/>
      <c r="P12" s="2"/>
      <c r="Q12" s="2"/>
      <c r="R12" s="2"/>
      <c r="S12" s="2"/>
      <c r="T12" s="2"/>
      <c r="U12" s="25"/>
      <c r="V12" s="25"/>
      <c r="W12" s="25"/>
      <c r="X12" s="25"/>
      <c r="Y12" s="25"/>
    </row>
    <row r="13" ht="13.5" customHeight="1" spans="1:25">
      <c r="A13" s="3" t="s">
        <v>238</v>
      </c>
      <c r="B13" s="6">
        <f>SUM(B14:B18)</f>
        <v>7000</v>
      </c>
      <c r="C13" s="8">
        <f>B13/$B$58</f>
        <v>0.0127388535031847</v>
      </c>
      <c r="D13" s="6">
        <f>SUM(D14:D18)</f>
        <v>36000</v>
      </c>
      <c r="E13" s="8">
        <f>D13/$D$58</f>
        <v>0.0257326661901358</v>
      </c>
      <c r="F13" s="6">
        <f>SUM(F14:F18)</f>
        <v>86000</v>
      </c>
      <c r="G13" s="8">
        <f>F13/$F$58</f>
        <v>0.0495391705069124</v>
      </c>
      <c r="H13" s="6">
        <f>SUM(H14:H18)</f>
        <v>121000</v>
      </c>
      <c r="I13" s="8">
        <f>H13/$F$58</f>
        <v>0.0697004608294931</v>
      </c>
      <c r="J13" s="11"/>
      <c r="K13" s="11"/>
      <c r="L13" s="11"/>
      <c r="M13" s="11"/>
      <c r="N13" s="11"/>
      <c r="O13" s="11"/>
      <c r="P13" s="11"/>
      <c r="Q13" s="11"/>
      <c r="R13" s="11"/>
      <c r="S13" s="11"/>
      <c r="T13" s="11"/>
      <c r="U13" s="25"/>
      <c r="V13" s="25"/>
      <c r="W13" s="25"/>
      <c r="X13" s="25"/>
      <c r="Y13" s="25"/>
    </row>
    <row r="14" ht="13.5" customHeight="1" spans="1:25">
      <c r="A14" s="12" t="s">
        <v>239</v>
      </c>
      <c r="B14" s="7">
        <v>3500</v>
      </c>
      <c r="C14" s="7"/>
      <c r="D14" s="7">
        <v>10000</v>
      </c>
      <c r="E14" s="2"/>
      <c r="F14" s="7">
        <f t="shared" ref="F14:F15" si="4">10000+2500</f>
        <v>12500</v>
      </c>
      <c r="G14" s="2"/>
      <c r="H14" s="7">
        <v>10000</v>
      </c>
      <c r="I14" s="2"/>
      <c r="J14" s="2"/>
      <c r="K14" s="2"/>
      <c r="L14" s="2"/>
      <c r="M14" s="2"/>
      <c r="N14" s="2"/>
      <c r="O14" s="2"/>
      <c r="P14" s="2"/>
      <c r="Q14" s="2"/>
      <c r="R14" s="2"/>
      <c r="S14" s="2"/>
      <c r="T14" s="2"/>
      <c r="U14" s="25"/>
      <c r="V14" s="25"/>
      <c r="W14" s="25"/>
      <c r="X14" s="25"/>
      <c r="Y14" s="25"/>
    </row>
    <row r="15" ht="13.5" customHeight="1" spans="1:25">
      <c r="A15" s="12" t="s">
        <v>240</v>
      </c>
      <c r="B15" s="7">
        <v>3500</v>
      </c>
      <c r="C15" s="7"/>
      <c r="D15" s="7">
        <v>10000</v>
      </c>
      <c r="E15" s="2"/>
      <c r="F15" s="7">
        <f t="shared" si="4"/>
        <v>12500</v>
      </c>
      <c r="G15" s="2"/>
      <c r="H15" s="7">
        <v>10000</v>
      </c>
      <c r="I15" s="2"/>
      <c r="J15" s="2"/>
      <c r="K15" s="2"/>
      <c r="L15" s="2"/>
      <c r="M15" s="2"/>
      <c r="N15" s="2"/>
      <c r="O15" s="2"/>
      <c r="P15" s="2"/>
      <c r="Q15" s="2"/>
      <c r="R15" s="2"/>
      <c r="S15" s="2"/>
      <c r="T15" s="2"/>
      <c r="U15" s="25"/>
      <c r="V15" s="25"/>
      <c r="W15" s="25"/>
      <c r="X15" s="25"/>
      <c r="Y15" s="25"/>
    </row>
    <row r="16" ht="13.5" customHeight="1" spans="1:25">
      <c r="A16" s="12" t="s">
        <v>241</v>
      </c>
      <c r="B16" s="7"/>
      <c r="C16" s="7"/>
      <c r="D16" s="7"/>
      <c r="E16" s="2"/>
      <c r="F16" s="7">
        <f>70000*50%+5000</f>
        <v>40000</v>
      </c>
      <c r="G16" s="2"/>
      <c r="H16" s="7">
        <f>70000+10000</f>
        <v>80000</v>
      </c>
      <c r="I16" s="2"/>
      <c r="J16" s="2"/>
      <c r="K16" s="2"/>
      <c r="L16" s="2"/>
      <c r="M16" s="2"/>
      <c r="N16" s="2"/>
      <c r="O16" s="2"/>
      <c r="P16" s="2"/>
      <c r="Q16" s="2"/>
      <c r="R16" s="2"/>
      <c r="S16" s="2"/>
      <c r="T16" s="2"/>
      <c r="U16" s="25"/>
      <c r="V16" s="25"/>
      <c r="W16" s="25"/>
      <c r="X16" s="25"/>
      <c r="Y16" s="25"/>
    </row>
    <row r="17" ht="13.5" customHeight="1" spans="1:25">
      <c r="A17" s="12" t="s">
        <v>242</v>
      </c>
      <c r="B17" s="7"/>
      <c r="C17" s="7"/>
      <c r="D17" s="7">
        <v>16000</v>
      </c>
      <c r="E17" s="2"/>
      <c r="F17" s="7">
        <v>21000</v>
      </c>
      <c r="G17" s="2"/>
      <c r="H17" s="7">
        <f>F17</f>
        <v>21000</v>
      </c>
      <c r="I17" s="2"/>
      <c r="J17" s="2"/>
      <c r="K17" s="2"/>
      <c r="L17" s="2"/>
      <c r="M17" s="2"/>
      <c r="N17" s="2"/>
      <c r="O17" s="2"/>
      <c r="P17" s="2"/>
      <c r="Q17" s="2"/>
      <c r="R17" s="2"/>
      <c r="S17" s="2"/>
      <c r="T17" s="2"/>
      <c r="U17" s="25"/>
      <c r="V17" s="25"/>
      <c r="W17" s="25"/>
      <c r="X17" s="25"/>
      <c r="Y17" s="25"/>
    </row>
    <row r="18" ht="13.5" customHeight="1" spans="1:25">
      <c r="A18" s="13"/>
      <c r="B18" s="7"/>
      <c r="C18" s="7"/>
      <c r="D18" s="7"/>
      <c r="E18" s="2"/>
      <c r="F18" s="2"/>
      <c r="G18" s="2"/>
      <c r="H18" s="2"/>
      <c r="I18" s="2"/>
      <c r="J18" s="2"/>
      <c r="K18" s="2"/>
      <c r="L18" s="2"/>
      <c r="M18" s="2"/>
      <c r="N18" s="2"/>
      <c r="O18" s="2"/>
      <c r="P18" s="2"/>
      <c r="Q18" s="2"/>
      <c r="R18" s="2"/>
      <c r="S18" s="2"/>
      <c r="T18" s="2"/>
      <c r="U18" s="25"/>
      <c r="V18" s="25"/>
      <c r="W18" s="25"/>
      <c r="X18" s="25"/>
      <c r="Y18" s="25"/>
    </row>
    <row r="19" ht="13.5" customHeight="1" spans="1:25">
      <c r="A19" s="3" t="s">
        <v>243</v>
      </c>
      <c r="B19" s="6">
        <f>SUM(B20:B22)</f>
        <v>24000</v>
      </c>
      <c r="C19" s="8">
        <f>B19/$B$58</f>
        <v>0.0436760691537762</v>
      </c>
      <c r="D19" s="6">
        <f>SUM(D20:D22)</f>
        <v>84000</v>
      </c>
      <c r="E19" s="8">
        <f>D19/$D$58</f>
        <v>0.0600428877769836</v>
      </c>
      <c r="F19" s="6">
        <f>SUM(F20:F22)</f>
        <v>98000</v>
      </c>
      <c r="G19" s="8">
        <f>F19/$F$58</f>
        <v>0.0564516129032258</v>
      </c>
      <c r="H19" s="6">
        <f>SUM(H20:H22)</f>
        <v>98000</v>
      </c>
      <c r="I19" s="8">
        <f>H19/$F$58</f>
        <v>0.0564516129032258</v>
      </c>
      <c r="J19" s="11"/>
      <c r="K19" s="11"/>
      <c r="L19" s="11"/>
      <c r="M19" s="11"/>
      <c r="N19" s="11"/>
      <c r="O19" s="11"/>
      <c r="P19" s="11"/>
      <c r="Q19" s="11"/>
      <c r="R19" s="11"/>
      <c r="S19" s="11"/>
      <c r="T19" s="11"/>
      <c r="U19" s="25"/>
      <c r="V19" s="25"/>
      <c r="W19" s="25"/>
      <c r="X19" s="25"/>
      <c r="Y19" s="25"/>
    </row>
    <row r="20" ht="13.5" customHeight="1" spans="1:25">
      <c r="A20" s="12" t="s">
        <v>244</v>
      </c>
      <c r="B20" s="7">
        <v>20000</v>
      </c>
      <c r="C20" s="7"/>
      <c r="D20" s="7">
        <v>60000</v>
      </c>
      <c r="E20" s="2"/>
      <c r="F20" s="7">
        <f>60000+10000</f>
        <v>70000</v>
      </c>
      <c r="G20" s="2"/>
      <c r="H20" s="7">
        <f t="shared" ref="H20:H21" si="5">F20</f>
        <v>70000</v>
      </c>
      <c r="I20" s="2"/>
      <c r="J20" s="2"/>
      <c r="K20" s="2"/>
      <c r="L20" s="2"/>
      <c r="M20" s="2"/>
      <c r="N20" s="2"/>
      <c r="O20" s="2"/>
      <c r="P20" s="2"/>
      <c r="Q20" s="2"/>
      <c r="R20" s="2"/>
      <c r="S20" s="2"/>
      <c r="T20" s="2"/>
      <c r="U20" s="25"/>
      <c r="V20" s="25"/>
      <c r="W20" s="25"/>
      <c r="X20" s="25"/>
      <c r="Y20" s="25"/>
    </row>
    <row r="21" ht="13.5" customHeight="1" spans="1:25">
      <c r="A21" s="12" t="s">
        <v>245</v>
      </c>
      <c r="B21" s="7">
        <v>4000</v>
      </c>
      <c r="C21" s="7"/>
      <c r="D21" s="7">
        <f>12000*2</f>
        <v>24000</v>
      </c>
      <c r="E21" s="2"/>
      <c r="F21" s="7">
        <f>12000*2+4000</f>
        <v>28000</v>
      </c>
      <c r="G21" s="2"/>
      <c r="H21" s="7">
        <f t="shared" si="5"/>
        <v>28000</v>
      </c>
      <c r="I21" s="2"/>
      <c r="J21" s="2"/>
      <c r="K21" s="2"/>
      <c r="L21" s="2"/>
      <c r="M21" s="2"/>
      <c r="N21" s="2"/>
      <c r="O21" s="2"/>
      <c r="P21" s="2"/>
      <c r="Q21" s="2"/>
      <c r="R21" s="2"/>
      <c r="S21" s="2"/>
      <c r="T21" s="2"/>
      <c r="U21" s="25"/>
      <c r="V21" s="25"/>
      <c r="W21" s="25"/>
      <c r="X21" s="25"/>
      <c r="Y21" s="25"/>
    </row>
    <row r="22" ht="13.5" customHeight="1" spans="1:25">
      <c r="A22" s="2"/>
      <c r="B22" s="7"/>
      <c r="C22" s="7"/>
      <c r="D22" s="7"/>
      <c r="E22" s="2"/>
      <c r="F22" s="2"/>
      <c r="G22" s="2"/>
      <c r="H22" s="2"/>
      <c r="I22" s="2"/>
      <c r="J22" s="2"/>
      <c r="K22" s="2"/>
      <c r="L22" s="2"/>
      <c r="M22" s="2"/>
      <c r="N22" s="2"/>
      <c r="O22" s="2"/>
      <c r="P22" s="2"/>
      <c r="Q22" s="2"/>
      <c r="R22" s="2"/>
      <c r="S22" s="2"/>
      <c r="T22" s="2"/>
      <c r="U22" s="25"/>
      <c r="V22" s="25"/>
      <c r="W22" s="25"/>
      <c r="X22" s="25"/>
      <c r="Y22" s="25"/>
    </row>
    <row r="23" ht="13.5" customHeight="1" spans="1:25">
      <c r="A23" s="3" t="s">
        <v>246</v>
      </c>
      <c r="B23" s="6">
        <f>SUM(B24:B26)</f>
        <v>70500</v>
      </c>
      <c r="C23" s="8">
        <f>B23/$B$58</f>
        <v>0.128298453139217</v>
      </c>
      <c r="D23" s="6">
        <f>SUM(D24:D26)</f>
        <v>150000</v>
      </c>
      <c r="E23" s="8">
        <f>D23/$D$58</f>
        <v>0.107219442458899</v>
      </c>
      <c r="F23" s="6">
        <f>SUM(F24:F26)</f>
        <v>170000</v>
      </c>
      <c r="G23" s="8">
        <f>F23/$F$58</f>
        <v>0.097926267281106</v>
      </c>
      <c r="H23" s="6">
        <f>SUM(H24:H26)</f>
        <v>170000</v>
      </c>
      <c r="I23" s="11"/>
      <c r="J23" s="11"/>
      <c r="K23" s="11"/>
      <c r="L23" s="11"/>
      <c r="M23" s="11"/>
      <c r="N23" s="11"/>
      <c r="O23" s="11"/>
      <c r="P23" s="11"/>
      <c r="Q23" s="11"/>
      <c r="R23" s="11"/>
      <c r="S23" s="11"/>
      <c r="T23" s="11"/>
      <c r="U23" s="25"/>
      <c r="V23" s="25"/>
      <c r="W23" s="25"/>
      <c r="X23" s="25"/>
      <c r="Y23" s="25"/>
    </row>
    <row r="24" ht="13.5" customHeight="1" spans="1:25">
      <c r="A24" s="12" t="s">
        <v>247</v>
      </c>
      <c r="B24" s="7">
        <v>37000</v>
      </c>
      <c r="C24" s="7"/>
      <c r="D24" s="7">
        <v>80000</v>
      </c>
      <c r="E24" s="2"/>
      <c r="F24" s="7">
        <f>80000+10000</f>
        <v>90000</v>
      </c>
      <c r="G24" s="2"/>
      <c r="H24" s="7">
        <f t="shared" ref="H24:H25" si="6">F24</f>
        <v>90000</v>
      </c>
      <c r="I24" s="2"/>
      <c r="J24" s="2"/>
      <c r="K24" s="2"/>
      <c r="L24" s="2"/>
      <c r="M24" s="2"/>
      <c r="N24" s="2"/>
      <c r="O24" s="2"/>
      <c r="P24" s="2"/>
      <c r="Q24" s="2"/>
      <c r="R24" s="2"/>
      <c r="S24" s="2"/>
      <c r="T24" s="2"/>
      <c r="U24" s="25"/>
      <c r="V24" s="25"/>
      <c r="W24" s="25"/>
      <c r="X24" s="25"/>
      <c r="Y24" s="25"/>
    </row>
    <row r="25" ht="13.5" customHeight="1" spans="1:25">
      <c r="A25" s="12" t="s">
        <v>248</v>
      </c>
      <c r="B25" s="7">
        <v>33500</v>
      </c>
      <c r="C25" s="7"/>
      <c r="D25" s="7">
        <v>70000</v>
      </c>
      <c r="E25" s="2"/>
      <c r="F25" s="7">
        <f>70000+10000</f>
        <v>80000</v>
      </c>
      <c r="G25" s="2"/>
      <c r="H25" s="7">
        <f t="shared" si="6"/>
        <v>80000</v>
      </c>
      <c r="I25" s="2"/>
      <c r="J25" s="2"/>
      <c r="K25" s="2"/>
      <c r="L25" s="2"/>
      <c r="M25" s="2"/>
      <c r="N25" s="2"/>
      <c r="O25" s="2"/>
      <c r="P25" s="2"/>
      <c r="Q25" s="2"/>
      <c r="R25" s="2"/>
      <c r="S25" s="2"/>
      <c r="T25" s="2"/>
      <c r="U25" s="25"/>
      <c r="V25" s="25"/>
      <c r="W25" s="25"/>
      <c r="X25" s="25"/>
      <c r="Y25" s="25"/>
    </row>
    <row r="26" ht="13.5" customHeight="1" spans="1:25">
      <c r="A26" s="2"/>
      <c r="B26" s="7"/>
      <c r="C26" s="7"/>
      <c r="D26" s="7"/>
      <c r="E26" s="2"/>
      <c r="F26" s="2"/>
      <c r="G26" s="2"/>
      <c r="H26" s="2"/>
      <c r="I26" s="2"/>
      <c r="J26" s="2"/>
      <c r="K26" s="2"/>
      <c r="L26" s="2"/>
      <c r="M26" s="2"/>
      <c r="N26" s="2"/>
      <c r="O26" s="2"/>
      <c r="P26" s="2"/>
      <c r="Q26" s="2"/>
      <c r="R26" s="2"/>
      <c r="S26" s="2"/>
      <c r="T26" s="2"/>
      <c r="U26" s="25"/>
      <c r="V26" s="25"/>
      <c r="W26" s="25"/>
      <c r="X26" s="25"/>
      <c r="Y26" s="25"/>
    </row>
    <row r="27" ht="13.5" customHeight="1" spans="1:25">
      <c r="A27" s="3" t="s">
        <v>249</v>
      </c>
      <c r="B27" s="6">
        <f>SUM(B28:B33)</f>
        <v>133500</v>
      </c>
      <c r="C27" s="8">
        <f>B27/$B$58</f>
        <v>0.24294813466788</v>
      </c>
      <c r="D27" s="6">
        <f>SUM(D28:D33)</f>
        <v>280000</v>
      </c>
      <c r="E27" s="8">
        <f>D27/$D$58</f>
        <v>0.200142959256612</v>
      </c>
      <c r="F27" s="6">
        <f>SUM(F28:F33)</f>
        <v>315000</v>
      </c>
      <c r="G27" s="8">
        <f>F27/$F$58</f>
        <v>0.181451612903226</v>
      </c>
      <c r="H27" s="6">
        <f>SUM(H28:H33)</f>
        <v>300000</v>
      </c>
      <c r="I27" s="8">
        <f>H27/$F$58</f>
        <v>0.172811059907834</v>
      </c>
      <c r="J27" s="11"/>
      <c r="K27" s="11"/>
      <c r="L27" s="11"/>
      <c r="M27" s="11"/>
      <c r="N27" s="11"/>
      <c r="O27" s="11"/>
      <c r="P27" s="11"/>
      <c r="Q27" s="11"/>
      <c r="R27" s="11"/>
      <c r="S27" s="11"/>
      <c r="T27" s="11"/>
      <c r="U27" s="25"/>
      <c r="V27" s="25"/>
      <c r="W27" s="25"/>
      <c r="X27" s="25"/>
      <c r="Y27" s="25"/>
    </row>
    <row r="28" ht="13.5" customHeight="1" spans="1:25">
      <c r="A28" s="12" t="s">
        <v>250</v>
      </c>
      <c r="B28" s="7">
        <v>28500</v>
      </c>
      <c r="C28" s="7"/>
      <c r="D28" s="7">
        <v>55000</v>
      </c>
      <c r="E28" s="2"/>
      <c r="F28" s="7">
        <f>55000</f>
        <v>55000</v>
      </c>
      <c r="G28" s="2"/>
      <c r="H28" s="10" t="s">
        <v>251</v>
      </c>
      <c r="I28" s="2"/>
      <c r="J28" s="2"/>
      <c r="K28" s="2"/>
      <c r="L28" s="2"/>
      <c r="M28" s="2"/>
      <c r="N28" s="2"/>
      <c r="O28" s="2"/>
      <c r="P28" s="2"/>
      <c r="Q28" s="2"/>
      <c r="R28" s="2"/>
      <c r="S28" s="2"/>
      <c r="T28" s="2"/>
      <c r="U28" s="25"/>
      <c r="V28" s="25"/>
      <c r="W28" s="25"/>
      <c r="X28" s="25"/>
      <c r="Y28" s="25"/>
    </row>
    <row r="29" ht="13.5" customHeight="1" spans="1:25">
      <c r="A29" s="12" t="s">
        <v>252</v>
      </c>
      <c r="B29" s="7">
        <v>30000</v>
      </c>
      <c r="C29" s="7"/>
      <c r="D29" s="7">
        <v>60000</v>
      </c>
      <c r="E29" s="2"/>
      <c r="F29" s="7">
        <f>60000+10000</f>
        <v>70000</v>
      </c>
      <c r="G29" s="2"/>
      <c r="H29" s="7">
        <f t="shared" ref="H29:H30" si="7">F29</f>
        <v>70000</v>
      </c>
      <c r="I29" s="2"/>
      <c r="J29" s="2"/>
      <c r="K29" s="2"/>
      <c r="L29" s="2"/>
      <c r="M29" s="2"/>
      <c r="N29" s="2"/>
      <c r="O29" s="2"/>
      <c r="P29" s="2"/>
      <c r="Q29" s="2"/>
      <c r="R29" s="2"/>
      <c r="S29" s="2"/>
      <c r="T29" s="2"/>
      <c r="U29" s="25"/>
      <c r="V29" s="25"/>
      <c r="W29" s="25"/>
      <c r="X29" s="25"/>
      <c r="Y29" s="25"/>
    </row>
    <row r="30" ht="13.5" customHeight="1" spans="1:25">
      <c r="A30" s="12" t="s">
        <v>253</v>
      </c>
      <c r="B30" s="7">
        <v>35000</v>
      </c>
      <c r="C30" s="7"/>
      <c r="D30" s="7">
        <v>75000</v>
      </c>
      <c r="E30" s="2"/>
      <c r="F30" s="7">
        <f>75000+10000</f>
        <v>85000</v>
      </c>
      <c r="G30" s="2"/>
      <c r="H30" s="7">
        <f t="shared" si="7"/>
        <v>85000</v>
      </c>
      <c r="I30" s="2"/>
      <c r="J30" s="2"/>
      <c r="K30" s="2"/>
      <c r="L30" s="2"/>
      <c r="M30" s="2"/>
      <c r="N30" s="2"/>
      <c r="O30" s="2"/>
      <c r="P30" s="2"/>
      <c r="Q30" s="2"/>
      <c r="R30" s="2"/>
      <c r="S30" s="2"/>
      <c r="T30" s="2"/>
      <c r="U30" s="25"/>
      <c r="V30" s="25"/>
      <c r="W30" s="25"/>
      <c r="X30" s="25"/>
      <c r="Y30" s="25"/>
    </row>
    <row r="31" ht="13.5" customHeight="1" spans="1:25">
      <c r="A31" s="12" t="s">
        <v>254</v>
      </c>
      <c r="B31" s="7">
        <v>40000</v>
      </c>
      <c r="C31" s="7"/>
      <c r="D31" s="7">
        <v>90000</v>
      </c>
      <c r="E31" s="2"/>
      <c r="F31" s="7">
        <f>90000+15000</f>
        <v>105000</v>
      </c>
      <c r="G31" s="2"/>
      <c r="H31" s="7">
        <v>100000</v>
      </c>
      <c r="I31" s="2"/>
      <c r="J31" s="2"/>
      <c r="K31" s="2"/>
      <c r="L31" s="2"/>
      <c r="M31" s="2"/>
      <c r="N31" s="2"/>
      <c r="O31" s="2"/>
      <c r="P31" s="2"/>
      <c r="Q31" s="2"/>
      <c r="R31" s="2"/>
      <c r="S31" s="2"/>
      <c r="T31" s="2"/>
      <c r="U31" s="25"/>
      <c r="V31" s="25"/>
      <c r="W31" s="25"/>
      <c r="X31" s="25"/>
      <c r="Y31" s="25"/>
    </row>
    <row r="32" ht="13.5" customHeight="1" spans="1:25">
      <c r="A32" s="4" t="s">
        <v>255</v>
      </c>
      <c r="B32" s="7"/>
      <c r="C32" s="7"/>
      <c r="D32" s="7"/>
      <c r="E32" s="2"/>
      <c r="F32" s="2"/>
      <c r="G32" s="2"/>
      <c r="H32" s="7">
        <v>45000</v>
      </c>
      <c r="I32" s="2"/>
      <c r="J32" s="2"/>
      <c r="K32" s="2"/>
      <c r="L32" s="2"/>
      <c r="M32" s="2"/>
      <c r="N32" s="2"/>
      <c r="O32" s="2"/>
      <c r="P32" s="2"/>
      <c r="Q32" s="2"/>
      <c r="R32" s="2"/>
      <c r="S32" s="2"/>
      <c r="T32" s="2"/>
      <c r="U32" s="25"/>
      <c r="V32" s="25"/>
      <c r="W32" s="25"/>
      <c r="X32" s="25"/>
      <c r="Y32" s="25"/>
    </row>
    <row r="33" ht="13.5" customHeight="1" spans="1:25">
      <c r="A33" s="13"/>
      <c r="B33" s="7"/>
      <c r="C33" s="7"/>
      <c r="D33" s="7"/>
      <c r="E33" s="2"/>
      <c r="F33" s="2"/>
      <c r="G33" s="2"/>
      <c r="H33" s="7"/>
      <c r="I33" s="2"/>
      <c r="J33" s="2"/>
      <c r="K33" s="2"/>
      <c r="L33" s="2"/>
      <c r="M33" s="2"/>
      <c r="N33" s="2"/>
      <c r="O33" s="2"/>
      <c r="P33" s="2"/>
      <c r="Q33" s="2"/>
      <c r="R33" s="2"/>
      <c r="S33" s="2"/>
      <c r="T33" s="2"/>
      <c r="U33" s="25"/>
      <c r="V33" s="25"/>
      <c r="W33" s="25"/>
      <c r="X33" s="25"/>
      <c r="Y33" s="25"/>
    </row>
    <row r="34" ht="13.5" customHeight="1" spans="1:25">
      <c r="A34" s="3" t="s">
        <v>256</v>
      </c>
      <c r="B34" s="6">
        <f>SUM(B35:B37)</f>
        <v>45000</v>
      </c>
      <c r="C34" s="8">
        <f>B34/$B$58</f>
        <v>0.0818926296633303</v>
      </c>
      <c r="D34" s="6">
        <f>SUM(D35:D37)</f>
        <v>104000</v>
      </c>
      <c r="E34" s="8">
        <f>D34/$D$58</f>
        <v>0.0743388134381701</v>
      </c>
      <c r="F34" s="6">
        <f>SUM(F35:F37)</f>
        <v>125000</v>
      </c>
      <c r="G34" s="8">
        <f>F34/$F$58</f>
        <v>0.0720046082949309</v>
      </c>
      <c r="H34" s="6">
        <f>SUM(H35:H37)</f>
        <v>125000</v>
      </c>
      <c r="I34" s="8">
        <f>H34/$F$58</f>
        <v>0.0720046082949309</v>
      </c>
      <c r="J34" s="11"/>
      <c r="K34" s="11"/>
      <c r="L34" s="11"/>
      <c r="M34" s="11"/>
      <c r="N34" s="11"/>
      <c r="O34" s="11"/>
      <c r="P34" s="11"/>
      <c r="Q34" s="11"/>
      <c r="R34" s="11"/>
      <c r="S34" s="11"/>
      <c r="T34" s="11"/>
      <c r="U34" s="25"/>
      <c r="V34" s="25"/>
      <c r="W34" s="25"/>
      <c r="X34" s="25"/>
      <c r="Y34" s="25"/>
    </row>
    <row r="35" ht="13.5" customHeight="1" spans="1:25">
      <c r="A35" s="12" t="s">
        <v>257</v>
      </c>
      <c r="B35" s="7">
        <v>37000</v>
      </c>
      <c r="C35" s="7"/>
      <c r="D35" s="7">
        <v>80000</v>
      </c>
      <c r="E35" s="2"/>
      <c r="F35" s="7">
        <f>80000+15000</f>
        <v>95000</v>
      </c>
      <c r="G35" s="2"/>
      <c r="H35" s="7">
        <f t="shared" ref="H35:H36" si="8">F35</f>
        <v>95000</v>
      </c>
      <c r="I35" s="2"/>
      <c r="J35" s="2"/>
      <c r="K35" s="2"/>
      <c r="L35" s="2"/>
      <c r="M35" s="2"/>
      <c r="N35" s="2"/>
      <c r="O35" s="2"/>
      <c r="P35" s="2"/>
      <c r="Q35" s="2"/>
      <c r="R35" s="2"/>
      <c r="S35" s="2"/>
      <c r="T35" s="2"/>
      <c r="U35" s="25"/>
      <c r="V35" s="25"/>
      <c r="W35" s="25"/>
      <c r="X35" s="25"/>
      <c r="Y35" s="25"/>
    </row>
    <row r="36" ht="13.5" customHeight="1" spans="1:25">
      <c r="A36" s="12" t="s">
        <v>258</v>
      </c>
      <c r="B36" s="7">
        <v>8000</v>
      </c>
      <c r="C36" s="7"/>
      <c r="D36" s="7">
        <v>24000</v>
      </c>
      <c r="E36" s="2"/>
      <c r="F36" s="7">
        <f>24000+6000</f>
        <v>30000</v>
      </c>
      <c r="G36" s="2"/>
      <c r="H36" s="7">
        <f t="shared" si="8"/>
        <v>30000</v>
      </c>
      <c r="I36" s="2"/>
      <c r="J36" s="2"/>
      <c r="K36" s="2"/>
      <c r="L36" s="2"/>
      <c r="M36" s="2"/>
      <c r="N36" s="2"/>
      <c r="O36" s="2"/>
      <c r="P36" s="2"/>
      <c r="Q36" s="2"/>
      <c r="R36" s="2"/>
      <c r="S36" s="2"/>
      <c r="T36" s="2"/>
      <c r="U36" s="25"/>
      <c r="V36" s="25"/>
      <c r="W36" s="25"/>
      <c r="X36" s="25"/>
      <c r="Y36" s="25"/>
    </row>
    <row r="37" ht="13.5" customHeight="1" spans="1:25">
      <c r="A37" s="2"/>
      <c r="B37" s="7"/>
      <c r="C37" s="7"/>
      <c r="D37" s="7"/>
      <c r="E37" s="2"/>
      <c r="F37" s="2"/>
      <c r="G37" s="2"/>
      <c r="H37" s="14"/>
      <c r="I37" s="2"/>
      <c r="J37" s="2"/>
      <c r="K37" s="2"/>
      <c r="L37" s="2"/>
      <c r="M37" s="2"/>
      <c r="N37" s="2"/>
      <c r="O37" s="2"/>
      <c r="P37" s="2"/>
      <c r="Q37" s="2"/>
      <c r="R37" s="2"/>
      <c r="S37" s="2"/>
      <c r="T37" s="2"/>
      <c r="U37" s="25"/>
      <c r="V37" s="25"/>
      <c r="W37" s="25"/>
      <c r="X37" s="25"/>
      <c r="Y37" s="25"/>
    </row>
    <row r="38" ht="13.5" customHeight="1" spans="1:25">
      <c r="A38" s="3" t="s">
        <v>259</v>
      </c>
      <c r="B38" s="6">
        <f>SUM(B39:B42)</f>
        <v>40000</v>
      </c>
      <c r="C38" s="8">
        <f>B38/$B$58</f>
        <v>0.0727934485896269</v>
      </c>
      <c r="D38" s="6">
        <f>SUM(D39:D42)</f>
        <v>120000</v>
      </c>
      <c r="E38" s="8">
        <f>D38/$D$58</f>
        <v>0.0857755539671194</v>
      </c>
      <c r="F38" s="6">
        <f>SUM(F39:F42)</f>
        <v>140000</v>
      </c>
      <c r="G38" s="8">
        <f>F38/$F$58</f>
        <v>0.0806451612903226</v>
      </c>
      <c r="H38" s="6">
        <f>SUM(H39:H41)</f>
        <v>140000</v>
      </c>
      <c r="I38" s="8">
        <f>H38/$F$58</f>
        <v>0.0806451612903226</v>
      </c>
      <c r="J38" s="11"/>
      <c r="K38" s="11"/>
      <c r="L38" s="11"/>
      <c r="M38" s="11"/>
      <c r="N38" s="11"/>
      <c r="O38" s="11"/>
      <c r="P38" s="11"/>
      <c r="Q38" s="11"/>
      <c r="R38" s="11"/>
      <c r="S38" s="11"/>
      <c r="T38" s="11"/>
      <c r="U38" s="25"/>
      <c r="V38" s="25"/>
      <c r="W38" s="25"/>
      <c r="X38" s="25"/>
      <c r="Y38" s="25"/>
    </row>
    <row r="39" ht="13.5" customHeight="1" spans="1:25">
      <c r="A39" s="12" t="s">
        <v>260</v>
      </c>
      <c r="B39" s="7">
        <v>30000</v>
      </c>
      <c r="C39" s="7"/>
      <c r="D39" s="7">
        <v>90000</v>
      </c>
      <c r="E39" s="2"/>
      <c r="F39" s="7">
        <f>90000+10000</f>
        <v>100000</v>
      </c>
      <c r="G39" s="2"/>
      <c r="H39" s="7">
        <v>75000</v>
      </c>
      <c r="I39" s="2"/>
      <c r="J39" s="2"/>
      <c r="K39" s="2"/>
      <c r="L39" s="2"/>
      <c r="M39" s="2"/>
      <c r="N39" s="2"/>
      <c r="O39" s="2"/>
      <c r="P39" s="2"/>
      <c r="Q39" s="2"/>
      <c r="R39" s="2"/>
      <c r="S39" s="2"/>
      <c r="T39" s="2"/>
      <c r="U39" s="25"/>
      <c r="V39" s="25"/>
      <c r="W39" s="25"/>
      <c r="X39" s="25"/>
      <c r="Y39" s="25"/>
    </row>
    <row r="40" ht="13.5" customHeight="1" spans="1:25">
      <c r="A40" s="12" t="s">
        <v>201</v>
      </c>
      <c r="B40" s="7">
        <v>10000</v>
      </c>
      <c r="C40" s="7"/>
      <c r="D40" s="7">
        <v>30000</v>
      </c>
      <c r="E40" s="2"/>
      <c r="F40" s="7">
        <f>30000+10000</f>
        <v>40000</v>
      </c>
      <c r="G40" s="2"/>
      <c r="H40" s="7">
        <f>F40</f>
        <v>40000</v>
      </c>
      <c r="I40" s="2"/>
      <c r="J40" s="2"/>
      <c r="K40" s="2"/>
      <c r="L40" s="2"/>
      <c r="M40" s="2"/>
      <c r="N40" s="2"/>
      <c r="O40" s="2"/>
      <c r="P40" s="2"/>
      <c r="Q40" s="2"/>
      <c r="R40" s="2"/>
      <c r="S40" s="2"/>
      <c r="T40" s="2"/>
      <c r="U40" s="25"/>
      <c r="V40" s="25"/>
      <c r="W40" s="25"/>
      <c r="X40" s="25"/>
      <c r="Y40" s="25"/>
    </row>
    <row r="41" ht="13.5" customHeight="1" spans="1:25">
      <c r="A41" s="12" t="s">
        <v>209</v>
      </c>
      <c r="B41" s="7"/>
      <c r="C41" s="7"/>
      <c r="D41" s="7"/>
      <c r="E41" s="2"/>
      <c r="F41" s="2"/>
      <c r="G41" s="2"/>
      <c r="H41" s="7">
        <v>25000</v>
      </c>
      <c r="I41" s="2"/>
      <c r="J41" s="2"/>
      <c r="K41" s="2"/>
      <c r="L41" s="2"/>
      <c r="M41" s="2"/>
      <c r="N41" s="2"/>
      <c r="O41" s="2"/>
      <c r="P41" s="2"/>
      <c r="Q41" s="2"/>
      <c r="R41" s="2"/>
      <c r="S41" s="2"/>
      <c r="T41" s="2"/>
      <c r="U41" s="25"/>
      <c r="V41" s="25"/>
      <c r="W41" s="25"/>
      <c r="X41" s="25"/>
      <c r="Y41" s="25"/>
    </row>
    <row r="42" ht="13.5" customHeight="1" spans="1:25">
      <c r="A42" s="2"/>
      <c r="B42" s="7"/>
      <c r="C42" s="7"/>
      <c r="D42" s="7"/>
      <c r="E42" s="2"/>
      <c r="F42" s="2"/>
      <c r="G42" s="2"/>
      <c r="H42" s="2"/>
      <c r="I42" s="2"/>
      <c r="J42" s="2"/>
      <c r="K42" s="2"/>
      <c r="L42" s="2"/>
      <c r="M42" s="2"/>
      <c r="N42" s="2"/>
      <c r="O42" s="2"/>
      <c r="P42" s="2"/>
      <c r="Q42" s="2"/>
      <c r="R42" s="2"/>
      <c r="S42" s="2"/>
      <c r="T42" s="2"/>
      <c r="U42" s="25"/>
      <c r="V42" s="25"/>
      <c r="W42" s="25"/>
      <c r="X42" s="25"/>
      <c r="Y42" s="25"/>
    </row>
    <row r="43" ht="13.5" customHeight="1" spans="1:25">
      <c r="A43" s="3" t="s">
        <v>261</v>
      </c>
      <c r="B43" s="6">
        <f>SUM(B44:B46)</f>
        <v>60000</v>
      </c>
      <c r="C43" s="8">
        <f>B43/$B$58</f>
        <v>0.10919017288444</v>
      </c>
      <c r="D43" s="6">
        <f>SUM(D44:D46)</f>
        <v>250000</v>
      </c>
      <c r="E43" s="8">
        <f>D43/$D$58</f>
        <v>0.178699070764832</v>
      </c>
      <c r="F43" s="6">
        <f>SUM(F44:F46)</f>
        <v>255000</v>
      </c>
      <c r="G43" s="8">
        <f>F43/$F$58</f>
        <v>0.146889400921659</v>
      </c>
      <c r="H43" s="6">
        <f>SUM(H44:H46)</f>
        <v>310000</v>
      </c>
      <c r="I43" s="8">
        <f>H43/$F$58</f>
        <v>0.178571428571429</v>
      </c>
      <c r="J43" s="11"/>
      <c r="K43" s="11"/>
      <c r="L43" s="11"/>
      <c r="M43" s="11"/>
      <c r="N43" s="11"/>
      <c r="O43" s="11"/>
      <c r="P43" s="11"/>
      <c r="Q43" s="11"/>
      <c r="R43" s="11"/>
      <c r="S43" s="11"/>
      <c r="T43" s="11"/>
      <c r="U43" s="25"/>
      <c r="V43" s="25"/>
      <c r="W43" s="25"/>
      <c r="X43" s="25"/>
      <c r="Y43" s="25"/>
    </row>
    <row r="44" ht="13.5" customHeight="1" spans="1:25">
      <c r="A44" s="12" t="s">
        <v>262</v>
      </c>
      <c r="B44" s="7">
        <v>60000</v>
      </c>
      <c r="C44" s="7"/>
      <c r="D44" s="7">
        <f>150000+50000</f>
        <v>200000</v>
      </c>
      <c r="E44" s="2"/>
      <c r="F44" s="7">
        <f>150000+50000+30000</f>
        <v>230000</v>
      </c>
      <c r="G44" s="2"/>
      <c r="H44" s="7">
        <f>F44+10000</f>
        <v>240000</v>
      </c>
      <c r="I44" s="2"/>
      <c r="J44" s="2"/>
      <c r="K44" s="2"/>
      <c r="L44" s="2"/>
      <c r="M44" s="2"/>
      <c r="N44" s="2"/>
      <c r="O44" s="2"/>
      <c r="P44" s="2"/>
      <c r="Q44" s="2"/>
      <c r="R44" s="2"/>
      <c r="S44" s="2"/>
      <c r="T44" s="2"/>
      <c r="U44" s="25"/>
      <c r="V44" s="25"/>
      <c r="W44" s="25"/>
      <c r="X44" s="25"/>
      <c r="Y44" s="25"/>
    </row>
    <row r="45" ht="13.5" customHeight="1" spans="1:25">
      <c r="A45" s="4" t="s">
        <v>263</v>
      </c>
      <c r="B45" s="7"/>
      <c r="C45" s="7"/>
      <c r="D45" s="7">
        <v>50000</v>
      </c>
      <c r="E45" s="2"/>
      <c r="F45" s="7">
        <v>25000</v>
      </c>
      <c r="G45" s="2"/>
      <c r="H45" s="7">
        <f>50000+20000</f>
        <v>70000</v>
      </c>
      <c r="I45" s="2"/>
      <c r="J45" s="2"/>
      <c r="K45" s="2"/>
      <c r="L45" s="2"/>
      <c r="M45" s="2"/>
      <c r="N45" s="2"/>
      <c r="O45" s="2"/>
      <c r="P45" s="2"/>
      <c r="Q45" s="2"/>
      <c r="R45" s="2"/>
      <c r="S45" s="2"/>
      <c r="T45" s="2"/>
      <c r="U45" s="25"/>
      <c r="V45" s="25"/>
      <c r="W45" s="25"/>
      <c r="X45" s="25"/>
      <c r="Y45" s="25"/>
    </row>
    <row r="46" ht="13.5" customHeight="1" spans="1:25">
      <c r="A46" s="2"/>
      <c r="B46" s="7"/>
      <c r="C46" s="7"/>
      <c r="D46" s="7"/>
      <c r="E46" s="2"/>
      <c r="F46" s="2"/>
      <c r="G46" s="2"/>
      <c r="H46" s="2"/>
      <c r="I46" s="2"/>
      <c r="J46" s="2"/>
      <c r="K46" s="2"/>
      <c r="L46" s="2"/>
      <c r="M46" s="2"/>
      <c r="N46" s="2"/>
      <c r="O46" s="2"/>
      <c r="P46" s="2"/>
      <c r="Q46" s="2"/>
      <c r="R46" s="2"/>
      <c r="S46" s="2"/>
      <c r="T46" s="2"/>
      <c r="U46" s="25"/>
      <c r="V46" s="25"/>
      <c r="W46" s="25"/>
      <c r="X46" s="25"/>
      <c r="Y46" s="25"/>
    </row>
    <row r="47" ht="13.5" customHeight="1" spans="1:25">
      <c r="A47" s="3" t="s">
        <v>131</v>
      </c>
      <c r="B47" s="6"/>
      <c r="C47" s="8"/>
      <c r="D47" s="6">
        <f>SUM(D48:D50)</f>
        <v>50000</v>
      </c>
      <c r="E47" s="8"/>
      <c r="F47" s="6">
        <f>SUM(F48:F50)</f>
        <v>100000</v>
      </c>
      <c r="G47" s="8">
        <f>F47/$F$58</f>
        <v>0.0576036866359447</v>
      </c>
      <c r="H47" s="6">
        <f>SUM(H48:H50)</f>
        <v>124000</v>
      </c>
      <c r="I47" s="8">
        <f>H47/$F$58</f>
        <v>0.0714285714285714</v>
      </c>
      <c r="J47" s="11"/>
      <c r="K47" s="11"/>
      <c r="L47" s="11"/>
      <c r="M47" s="11"/>
      <c r="N47" s="11"/>
      <c r="O47" s="11"/>
      <c r="P47" s="11"/>
      <c r="Q47" s="11"/>
      <c r="R47" s="11"/>
      <c r="S47" s="11"/>
      <c r="T47" s="11"/>
      <c r="U47" s="25"/>
      <c r="V47" s="25"/>
      <c r="W47" s="25"/>
      <c r="X47" s="25"/>
      <c r="Y47" s="25"/>
    </row>
    <row r="48" ht="13.5" customHeight="1" spans="1:25">
      <c r="A48" s="12" t="s">
        <v>264</v>
      </c>
      <c r="B48" s="7"/>
      <c r="C48" s="7"/>
      <c r="D48" s="7">
        <v>50000</v>
      </c>
      <c r="E48" s="2"/>
      <c r="F48" s="7">
        <v>100000</v>
      </c>
      <c r="G48" s="2"/>
      <c r="H48" s="7">
        <f>F48</f>
        <v>100000</v>
      </c>
      <c r="I48" s="2"/>
      <c r="J48" s="2"/>
      <c r="K48" s="2"/>
      <c r="L48" s="2"/>
      <c r="M48" s="2"/>
      <c r="N48" s="2"/>
      <c r="O48" s="2"/>
      <c r="P48" s="2"/>
      <c r="Q48" s="2"/>
      <c r="R48" s="2"/>
      <c r="S48" s="2"/>
      <c r="T48" s="2"/>
      <c r="U48" s="25"/>
      <c r="V48" s="25"/>
      <c r="W48" s="25"/>
      <c r="X48" s="25"/>
      <c r="Y48" s="25"/>
    </row>
    <row r="49" ht="13.5" customHeight="1" spans="1:25">
      <c r="A49" s="12" t="s">
        <v>265</v>
      </c>
      <c r="B49" s="7"/>
      <c r="C49" s="7"/>
      <c r="D49" s="7"/>
      <c r="E49" s="2"/>
      <c r="F49" s="2"/>
      <c r="G49" s="2"/>
      <c r="H49" s="7">
        <v>24000</v>
      </c>
      <c r="I49" s="2"/>
      <c r="J49" s="2"/>
      <c r="K49" s="2"/>
      <c r="L49" s="2"/>
      <c r="M49" s="2"/>
      <c r="N49" s="2"/>
      <c r="O49" s="2"/>
      <c r="P49" s="2"/>
      <c r="Q49" s="2"/>
      <c r="R49" s="2"/>
      <c r="S49" s="2"/>
      <c r="T49" s="2"/>
      <c r="U49" s="25"/>
      <c r="V49" s="25"/>
      <c r="W49" s="25"/>
      <c r="X49" s="25"/>
      <c r="Y49" s="25"/>
    </row>
    <row r="50" ht="13.5" customHeight="1" spans="1:25">
      <c r="A50" s="2"/>
      <c r="B50" s="7"/>
      <c r="C50" s="7"/>
      <c r="D50" s="7"/>
      <c r="E50" s="2"/>
      <c r="F50" s="2"/>
      <c r="G50" s="2"/>
      <c r="H50" s="7"/>
      <c r="I50" s="2"/>
      <c r="J50" s="2"/>
      <c r="K50" s="2"/>
      <c r="L50" s="2"/>
      <c r="M50" s="2"/>
      <c r="N50" s="2"/>
      <c r="O50" s="2"/>
      <c r="P50" s="2"/>
      <c r="Q50" s="2"/>
      <c r="R50" s="2"/>
      <c r="S50" s="2"/>
      <c r="T50" s="2"/>
      <c r="U50" s="25"/>
      <c r="V50" s="25"/>
      <c r="W50" s="25"/>
      <c r="X50" s="25"/>
      <c r="Y50" s="25"/>
    </row>
    <row r="51" ht="13.5" customHeight="1" spans="1:25">
      <c r="A51" s="2"/>
      <c r="B51" s="7"/>
      <c r="C51" s="7"/>
      <c r="D51" s="7"/>
      <c r="E51" s="2"/>
      <c r="F51" s="2"/>
      <c r="G51" s="2"/>
      <c r="H51" s="7"/>
      <c r="I51" s="2"/>
      <c r="J51" s="2"/>
      <c r="K51" s="2"/>
      <c r="L51" s="2"/>
      <c r="M51" s="2"/>
      <c r="N51" s="2"/>
      <c r="O51" s="2"/>
      <c r="P51" s="2"/>
      <c r="Q51" s="2"/>
      <c r="R51" s="2"/>
      <c r="S51" s="2"/>
      <c r="T51" s="2"/>
      <c r="U51" s="25"/>
      <c r="V51" s="25"/>
      <c r="W51" s="25"/>
      <c r="X51" s="25"/>
      <c r="Y51" s="25"/>
    </row>
    <row r="52" ht="13.5" customHeight="1" spans="1:25">
      <c r="A52" s="3" t="s">
        <v>266</v>
      </c>
      <c r="B52" s="6">
        <f>SUM(B53:B57)</f>
        <v>19500</v>
      </c>
      <c r="C52" s="8">
        <f>B52/$B$58</f>
        <v>0.0354868061874431</v>
      </c>
      <c r="D52" s="6">
        <f>SUM(D53:D57)</f>
        <v>85000</v>
      </c>
      <c r="E52" s="8">
        <f>D52/$D$58</f>
        <v>0.0607576840600429</v>
      </c>
      <c r="F52" s="6">
        <f>SUM(F53:F57)</f>
        <v>120000</v>
      </c>
      <c r="G52" s="8">
        <f>F52/$F$58</f>
        <v>0.0691244239631336</v>
      </c>
      <c r="H52" s="6">
        <f>SUM(H53:H57)</f>
        <v>128000</v>
      </c>
      <c r="I52" s="8">
        <f>H52/$F$58</f>
        <v>0.0737327188940092</v>
      </c>
      <c r="J52" s="11"/>
      <c r="K52" s="11"/>
      <c r="L52" s="11"/>
      <c r="M52" s="11"/>
      <c r="N52" s="11"/>
      <c r="O52" s="11"/>
      <c r="P52" s="11"/>
      <c r="Q52" s="11"/>
      <c r="R52" s="11"/>
      <c r="S52" s="11"/>
      <c r="T52" s="11"/>
      <c r="U52" s="25"/>
      <c r="V52" s="25"/>
      <c r="W52" s="25"/>
      <c r="X52" s="25"/>
      <c r="Y52" s="25"/>
    </row>
    <row r="53" ht="13.5" customHeight="1" spans="1:25">
      <c r="A53" s="12" t="s">
        <v>267</v>
      </c>
      <c r="B53" s="7">
        <v>10000</v>
      </c>
      <c r="C53" s="9"/>
      <c r="D53" s="10" t="s">
        <v>268</v>
      </c>
      <c r="E53" s="2"/>
      <c r="F53" s="9"/>
      <c r="G53" s="2"/>
      <c r="H53" s="2"/>
      <c r="I53" s="2"/>
      <c r="J53" s="2"/>
      <c r="K53" s="2"/>
      <c r="L53" s="2"/>
      <c r="M53" s="2"/>
      <c r="N53" s="2"/>
      <c r="O53" s="2"/>
      <c r="P53" s="2"/>
      <c r="Q53" s="2"/>
      <c r="R53" s="2"/>
      <c r="S53" s="2"/>
      <c r="T53" s="2"/>
      <c r="U53" s="25"/>
      <c r="V53" s="25"/>
      <c r="W53" s="25"/>
      <c r="X53" s="25"/>
      <c r="Y53" s="25"/>
    </row>
    <row r="54" ht="13.5" customHeight="1" spans="1:25">
      <c r="A54" s="12" t="s">
        <v>269</v>
      </c>
      <c r="B54" s="7"/>
      <c r="C54" s="7"/>
      <c r="D54" s="7"/>
      <c r="E54" s="2"/>
      <c r="F54" s="7">
        <f>60000-8000</f>
        <v>52000</v>
      </c>
      <c r="G54" s="2"/>
      <c r="H54" s="7">
        <v>60000</v>
      </c>
      <c r="I54" s="2"/>
      <c r="J54" s="2"/>
      <c r="K54" s="2"/>
      <c r="L54" s="2"/>
      <c r="M54" s="2"/>
      <c r="N54" s="2"/>
      <c r="O54" s="2"/>
      <c r="P54" s="2"/>
      <c r="Q54" s="2"/>
      <c r="R54" s="2"/>
      <c r="S54" s="2"/>
      <c r="T54" s="2"/>
      <c r="U54" s="25"/>
      <c r="V54" s="25"/>
      <c r="W54" s="25"/>
      <c r="X54" s="25"/>
      <c r="Y54" s="25"/>
    </row>
    <row r="55" ht="13.5" customHeight="1" spans="1:25">
      <c r="A55" s="12" t="s">
        <v>270</v>
      </c>
      <c r="B55" s="7">
        <v>9500</v>
      </c>
      <c r="C55" s="7"/>
      <c r="D55" s="7">
        <v>30000</v>
      </c>
      <c r="E55" s="2"/>
      <c r="F55" s="7">
        <v>28000</v>
      </c>
      <c r="G55" s="2"/>
      <c r="H55" s="7">
        <f>F55</f>
        <v>28000</v>
      </c>
      <c r="I55" s="2"/>
      <c r="J55" s="2"/>
      <c r="K55" s="2"/>
      <c r="L55" s="2"/>
      <c r="M55" s="2"/>
      <c r="N55" s="2"/>
      <c r="O55" s="2"/>
      <c r="P55" s="2"/>
      <c r="Q55" s="2"/>
      <c r="R55" s="2"/>
      <c r="S55" s="2"/>
      <c r="T55" s="2"/>
      <c r="U55" s="25"/>
      <c r="V55" s="25"/>
      <c r="W55" s="25"/>
      <c r="X55" s="25"/>
      <c r="Y55" s="25"/>
    </row>
    <row r="56" ht="13.5" customHeight="1" spans="1:25">
      <c r="A56" s="12" t="s">
        <v>271</v>
      </c>
      <c r="B56" s="2"/>
      <c r="C56" s="7"/>
      <c r="D56" s="7">
        <f>40000+15000</f>
        <v>55000</v>
      </c>
      <c r="E56" s="2"/>
      <c r="F56" s="7">
        <v>40000</v>
      </c>
      <c r="G56" s="2"/>
      <c r="H56" s="7">
        <v>40000</v>
      </c>
      <c r="I56" s="2"/>
      <c r="J56" s="2"/>
      <c r="K56" s="2"/>
      <c r="L56" s="2"/>
      <c r="M56" s="2"/>
      <c r="N56" s="2"/>
      <c r="O56" s="2"/>
      <c r="P56" s="2"/>
      <c r="Q56" s="2"/>
      <c r="R56" s="2"/>
      <c r="S56" s="2"/>
      <c r="T56" s="2"/>
      <c r="U56" s="25"/>
      <c r="V56" s="25"/>
      <c r="W56" s="25"/>
      <c r="X56" s="25"/>
      <c r="Y56" s="25"/>
    </row>
    <row r="57" ht="13.5" customHeight="1" spans="1:25">
      <c r="A57" s="2"/>
      <c r="B57" s="2"/>
      <c r="C57" s="2"/>
      <c r="D57" s="2"/>
      <c r="E57" s="2"/>
      <c r="F57" s="2"/>
      <c r="G57" s="2"/>
      <c r="H57" s="2"/>
      <c r="I57" s="2"/>
      <c r="J57" s="2"/>
      <c r="K57" s="2"/>
      <c r="L57" s="2"/>
      <c r="M57" s="2"/>
      <c r="N57" s="2"/>
      <c r="O57" s="2"/>
      <c r="P57" s="2"/>
      <c r="Q57" s="2"/>
      <c r="R57" s="2"/>
      <c r="S57" s="2"/>
      <c r="T57" s="2"/>
      <c r="U57" s="25"/>
      <c r="V57" s="25"/>
      <c r="W57" s="25"/>
      <c r="X57" s="25"/>
      <c r="Y57" s="25"/>
    </row>
    <row r="58" customHeight="1" spans="1:25">
      <c r="A58" s="15" t="s">
        <v>272</v>
      </c>
      <c r="B58" s="19">
        <f>B3+B13+B19+B23+B27+B34+B38+B43+B52+B47</f>
        <v>549500</v>
      </c>
      <c r="C58" s="19"/>
      <c r="D58" s="19">
        <f>D3+D13+D19+D23+D27+D34+D38+D43+D52+D47</f>
        <v>1399000</v>
      </c>
      <c r="E58" s="21"/>
      <c r="F58" s="19">
        <f>F3+F13+F19+F23+F27+F34+F38+F43+F52+F47</f>
        <v>1736000</v>
      </c>
      <c r="G58" s="21"/>
      <c r="H58" s="19">
        <f>H3+H13+H19+H23+H27+H34+H38+H43+H52+H47</f>
        <v>1809500</v>
      </c>
      <c r="I58" s="21"/>
      <c r="J58" s="19">
        <f>J3+J13+J19+J23+J27+J34+J38+J43+J52+J47</f>
        <v>0</v>
      </c>
      <c r="K58" s="21"/>
      <c r="L58" s="19">
        <f>L3+L13+L19+L23+L27+L34+L38+L43+L52+L47</f>
        <v>0</v>
      </c>
      <c r="M58" s="21"/>
      <c r="N58" s="19">
        <f>N3+N13+N19+N23+N27+N34+N38+N43+N52+N47</f>
        <v>0</v>
      </c>
      <c r="O58" s="21"/>
      <c r="P58" s="19">
        <f>P3+P13+P19+P23+P27+P34+P38+P43+P52+P47</f>
        <v>0</v>
      </c>
      <c r="Q58" s="21"/>
      <c r="R58" s="19">
        <f>R3+R13+R19+R23+R27+R34+R38+R43+R52+R47</f>
        <v>0</v>
      </c>
      <c r="S58" s="21"/>
      <c r="T58" s="19">
        <f>T3+T13+T19+T23+T27+T34+T38+T43+T52+T47</f>
        <v>0</v>
      </c>
      <c r="U58" s="25"/>
      <c r="V58" s="25"/>
      <c r="W58" s="25"/>
      <c r="X58" s="25"/>
      <c r="Y58" s="25"/>
    </row>
    <row r="59" customHeight="1" spans="1:25">
      <c r="A59" s="16" t="s">
        <v>273</v>
      </c>
      <c r="B59" s="20"/>
      <c r="C59" s="20"/>
      <c r="D59" s="20">
        <f>D58/B58-1</f>
        <v>1.5459508644222</v>
      </c>
      <c r="E59" s="2"/>
      <c r="F59" s="20">
        <f>F58/D58-1</f>
        <v>0.240886347390993</v>
      </c>
      <c r="G59" s="2"/>
      <c r="H59" s="20">
        <f>H58/F58-1</f>
        <v>0.0423387096774193</v>
      </c>
      <c r="I59" s="2"/>
      <c r="J59" s="2"/>
      <c r="K59" s="2"/>
      <c r="L59" s="2"/>
      <c r="M59" s="2"/>
      <c r="N59" s="2"/>
      <c r="O59" s="2"/>
      <c r="P59" s="2"/>
      <c r="Q59" s="2"/>
      <c r="R59" s="2"/>
      <c r="S59" s="2"/>
      <c r="T59" s="2"/>
      <c r="U59" s="25"/>
      <c r="V59" s="25"/>
      <c r="W59" s="25"/>
      <c r="X59" s="25"/>
      <c r="Y59" s="25"/>
    </row>
    <row r="60" customHeight="1" spans="1:25">
      <c r="A60" s="16" t="s">
        <v>274</v>
      </c>
      <c r="B60" s="20">
        <f>B58/'AVRIL 23'!G13</f>
        <v>0.155784877951975</v>
      </c>
      <c r="C60" s="20"/>
      <c r="D60" s="20">
        <f>D58/'MAI 23'!G34</f>
        <v>0.114437159766218</v>
      </c>
      <c r="E60" s="2"/>
      <c r="F60" s="20">
        <f>F58/'JUIN 23'!C33</f>
        <v>0.0848028918958527</v>
      </c>
      <c r="G60" s="2"/>
      <c r="H60" s="20">
        <f>H58/'JUILLET 23'!C34</f>
        <v>0.0627824472837354</v>
      </c>
      <c r="I60" s="2"/>
      <c r="J60" s="2"/>
      <c r="K60" s="2"/>
      <c r="L60" s="2"/>
      <c r="M60" s="2"/>
      <c r="N60" s="2"/>
      <c r="O60" s="2"/>
      <c r="P60" s="2"/>
      <c r="Q60" s="2"/>
      <c r="R60" s="2"/>
      <c r="S60" s="2"/>
      <c r="T60" s="2"/>
      <c r="U60" s="25"/>
      <c r="V60" s="25"/>
      <c r="W60" s="25"/>
      <c r="X60" s="25"/>
      <c r="Y60" s="25"/>
    </row>
    <row r="61" customHeight="1" spans="1:25">
      <c r="A61" s="17" t="s">
        <v>275</v>
      </c>
      <c r="B61" s="7">
        <f>(B58-B23-B27-B19)</f>
        <v>321500</v>
      </c>
      <c r="C61" s="2"/>
      <c r="D61" s="7">
        <f>(D58-D23-D27-D19)</f>
        <v>885000</v>
      </c>
      <c r="E61" s="2"/>
      <c r="F61" s="7">
        <f>(F58-F23-F27-F19)</f>
        <v>1153000</v>
      </c>
      <c r="G61" s="2"/>
      <c r="H61" s="7">
        <f>(H58-H23-H27-H19)</f>
        <v>1241500</v>
      </c>
      <c r="I61" s="2"/>
      <c r="J61" s="2"/>
      <c r="K61" s="2"/>
      <c r="L61" s="2"/>
      <c r="M61" s="2"/>
      <c r="N61" s="2"/>
      <c r="O61" s="2"/>
      <c r="P61" s="2"/>
      <c r="Q61" s="2"/>
      <c r="R61" s="2"/>
      <c r="S61" s="2"/>
      <c r="T61" s="2"/>
      <c r="U61" s="25"/>
      <c r="V61" s="25"/>
      <c r="W61" s="25"/>
      <c r="X61" s="25"/>
      <c r="Y61" s="25"/>
    </row>
    <row r="62" customHeight="1" spans="1:25">
      <c r="A62" s="18">
        <v>0.4</v>
      </c>
      <c r="B62" s="7">
        <f>B61*$A$62</f>
        <v>128600</v>
      </c>
      <c r="C62" s="2"/>
      <c r="D62" s="7">
        <f>D61*$A$62</f>
        <v>354000</v>
      </c>
      <c r="E62" s="2"/>
      <c r="F62" s="7">
        <f>F61*$A$62</f>
        <v>461200</v>
      </c>
      <c r="G62" s="2"/>
      <c r="H62" s="7">
        <f>H61*$A$62</f>
        <v>496600</v>
      </c>
      <c r="I62" s="2"/>
      <c r="J62" s="2"/>
      <c r="K62" s="2"/>
      <c r="L62" s="2"/>
      <c r="M62" s="2"/>
      <c r="N62" s="2"/>
      <c r="O62" s="2"/>
      <c r="P62" s="2"/>
      <c r="Q62" s="2"/>
      <c r="R62" s="2"/>
      <c r="S62" s="2"/>
      <c r="T62" s="2"/>
      <c r="U62" s="25"/>
      <c r="V62" s="25"/>
      <c r="W62" s="25"/>
      <c r="X62" s="25"/>
      <c r="Y62" s="25"/>
    </row>
    <row r="63" customHeight="1" spans="1:25">
      <c r="A63" s="18">
        <v>0.2</v>
      </c>
      <c r="B63" s="7">
        <f>B61*$A$63</f>
        <v>64300</v>
      </c>
      <c r="C63" s="2"/>
      <c r="D63" s="7">
        <f>D61*$A$63</f>
        <v>177000</v>
      </c>
      <c r="E63" s="2"/>
      <c r="F63" s="7">
        <f>F61*$A$63</f>
        <v>230600</v>
      </c>
      <c r="G63" s="2"/>
      <c r="H63" s="7">
        <f>H61*$A$63</f>
        <v>248300</v>
      </c>
      <c r="I63" s="2"/>
      <c r="J63" s="2"/>
      <c r="K63" s="2"/>
      <c r="L63" s="2"/>
      <c r="M63" s="2"/>
      <c r="N63" s="2"/>
      <c r="O63" s="2"/>
      <c r="P63" s="2"/>
      <c r="Q63" s="2"/>
      <c r="R63" s="2"/>
      <c r="S63" s="2"/>
      <c r="T63" s="2"/>
      <c r="U63" s="25"/>
      <c r="V63" s="25"/>
      <c r="W63" s="25"/>
      <c r="X63" s="25"/>
      <c r="Y63" s="25"/>
    </row>
    <row r="64" customHeight="1" spans="1:25">
      <c r="A64" s="16" t="s">
        <v>276</v>
      </c>
      <c r="B64" s="2"/>
      <c r="C64" s="2"/>
      <c r="D64" s="2"/>
      <c r="E64" s="2"/>
      <c r="F64" s="2"/>
      <c r="G64" s="2"/>
      <c r="H64" s="2"/>
      <c r="I64" s="2"/>
      <c r="J64" s="2"/>
      <c r="K64" s="2"/>
      <c r="L64" s="2"/>
      <c r="M64" s="2"/>
      <c r="N64" s="2"/>
      <c r="O64" s="2"/>
      <c r="P64" s="2"/>
      <c r="Q64" s="2"/>
      <c r="R64" s="2"/>
      <c r="S64" s="2"/>
      <c r="T64" s="2"/>
      <c r="U64" s="25"/>
      <c r="V64" s="25"/>
      <c r="W64" s="25"/>
      <c r="X64" s="25"/>
      <c r="Y64" s="25"/>
    </row>
    <row r="65" ht="13.5" customHeight="1" spans="1:25">
      <c r="A65" s="22" t="s">
        <v>277</v>
      </c>
      <c r="B65" s="7">
        <f>B62+B23</f>
        <v>199100</v>
      </c>
      <c r="C65" s="23">
        <f>B65/B58</f>
        <v>0.362329390354868</v>
      </c>
      <c r="D65" s="7">
        <f>D62+D23</f>
        <v>504000</v>
      </c>
      <c r="E65" s="23">
        <f>D65/D58</f>
        <v>0.360257326661901</v>
      </c>
      <c r="F65" s="7">
        <f>F62+F23</f>
        <v>631200</v>
      </c>
      <c r="G65" s="23">
        <f>F65/F58</f>
        <v>0.363594470046083</v>
      </c>
      <c r="H65" s="7">
        <f t="shared" ref="H65:T65" si="9">H61+H3</f>
        <v>1535000</v>
      </c>
      <c r="I65" s="24">
        <f t="shared" si="9"/>
        <v>0.169066820276498</v>
      </c>
      <c r="J65" s="2">
        <f t="shared" si="9"/>
        <v>0</v>
      </c>
      <c r="K65" s="2">
        <f t="shared" si="9"/>
        <v>0</v>
      </c>
      <c r="L65" s="2">
        <f t="shared" si="9"/>
        <v>0</v>
      </c>
      <c r="M65" s="2">
        <f t="shared" si="9"/>
        <v>0</v>
      </c>
      <c r="N65" s="2">
        <f t="shared" si="9"/>
        <v>0</v>
      </c>
      <c r="O65" s="2">
        <f t="shared" si="9"/>
        <v>0</v>
      </c>
      <c r="P65" s="2">
        <f t="shared" si="9"/>
        <v>0</v>
      </c>
      <c r="Q65" s="2">
        <f t="shared" si="9"/>
        <v>0</v>
      </c>
      <c r="R65" s="2">
        <f t="shared" si="9"/>
        <v>0</v>
      </c>
      <c r="S65" s="2">
        <f t="shared" si="9"/>
        <v>0</v>
      </c>
      <c r="T65" s="2">
        <f t="shared" si="9"/>
        <v>0</v>
      </c>
      <c r="U65" s="25"/>
      <c r="V65" s="25"/>
      <c r="W65" s="25"/>
      <c r="X65" s="25"/>
      <c r="Y65" s="25"/>
    </row>
    <row r="66" ht="13.5" customHeight="1" spans="1:25">
      <c r="A66" s="22" t="s">
        <v>42</v>
      </c>
      <c r="B66" s="7">
        <f>B62+B27</f>
        <v>262100</v>
      </c>
      <c r="C66" s="23">
        <f t="shared" ref="C66:C67" si="10">B66/$B$58</f>
        <v>0.476979071883531</v>
      </c>
      <c r="D66" s="7">
        <f>D62+D27</f>
        <v>634000</v>
      </c>
      <c r="E66" s="23">
        <f t="shared" ref="E66:E67" si="11">D66/$D$58</f>
        <v>0.453180843459614</v>
      </c>
      <c r="F66" s="7">
        <f>F62+F27</f>
        <v>776200</v>
      </c>
      <c r="G66" s="23">
        <f t="shared" ref="G66:G67" si="12">F66/$F$58</f>
        <v>0.447119815668203</v>
      </c>
      <c r="H66" s="7">
        <f>H62+H27</f>
        <v>796600</v>
      </c>
      <c r="I66" s="23">
        <f t="shared" ref="I66:I67" si="13">H66/$H$58</f>
        <v>0.440232108317215</v>
      </c>
      <c r="J66" s="2"/>
      <c r="K66" s="2"/>
      <c r="L66" s="2"/>
      <c r="M66" s="2"/>
      <c r="N66" s="2"/>
      <c r="O66" s="2"/>
      <c r="P66" s="2"/>
      <c r="Q66" s="2"/>
      <c r="R66" s="2"/>
      <c r="S66" s="2"/>
      <c r="T66" s="2"/>
      <c r="U66" s="25"/>
      <c r="V66" s="25"/>
      <c r="W66" s="25"/>
      <c r="X66" s="25"/>
      <c r="Y66" s="25"/>
    </row>
    <row r="67" ht="13.5" customHeight="1" spans="1:25">
      <c r="A67" s="22" t="s">
        <v>43</v>
      </c>
      <c r="B67" s="7">
        <f>B63+B19</f>
        <v>88300</v>
      </c>
      <c r="C67" s="23">
        <f t="shared" si="10"/>
        <v>0.160691537761601</v>
      </c>
      <c r="D67" s="7">
        <f>D63+D19</f>
        <v>261000</v>
      </c>
      <c r="E67" s="23">
        <f t="shared" si="11"/>
        <v>0.186561829878485</v>
      </c>
      <c r="F67" s="7">
        <f>F63+F19</f>
        <v>328600</v>
      </c>
      <c r="G67" s="23">
        <f t="shared" si="12"/>
        <v>0.189285714285714</v>
      </c>
      <c r="H67" s="7">
        <f>H63+H19</f>
        <v>346300</v>
      </c>
      <c r="I67" s="23">
        <f t="shared" si="13"/>
        <v>0.191378833932025</v>
      </c>
      <c r="J67" s="2"/>
      <c r="K67" s="2"/>
      <c r="L67" s="2"/>
      <c r="M67" s="2"/>
      <c r="N67" s="2"/>
      <c r="O67" s="2"/>
      <c r="P67" s="2"/>
      <c r="Q67" s="2"/>
      <c r="R67" s="2"/>
      <c r="S67" s="2"/>
      <c r="T67" s="2"/>
      <c r="U67" s="25"/>
      <c r="V67" s="25"/>
      <c r="W67" s="25"/>
      <c r="X67" s="25"/>
      <c r="Y67" s="25"/>
    </row>
    <row r="68" ht="15.75" customHeight="1" spans="1:25">
      <c r="A68" s="25"/>
      <c r="B68" s="25"/>
      <c r="C68" s="25"/>
      <c r="D68" s="25"/>
      <c r="E68" s="25"/>
      <c r="F68" s="25"/>
      <c r="G68" s="25"/>
      <c r="H68" s="25"/>
      <c r="I68" s="25"/>
      <c r="J68" s="25"/>
      <c r="K68" s="25"/>
      <c r="L68" s="25"/>
      <c r="M68" s="25"/>
      <c r="N68" s="25"/>
      <c r="O68" s="25"/>
      <c r="P68" s="25"/>
      <c r="Q68" s="25"/>
      <c r="R68" s="25"/>
      <c r="S68" s="25"/>
      <c r="T68" s="25"/>
      <c r="U68" s="25"/>
      <c r="V68" s="25"/>
      <c r="W68" s="25"/>
      <c r="X68" s="25"/>
      <c r="Y68" s="25"/>
    </row>
    <row r="69" ht="15.75" customHeight="1" spans="1:25">
      <c r="A69" s="25"/>
      <c r="B69" s="25"/>
      <c r="C69" s="25"/>
      <c r="D69" s="25"/>
      <c r="E69" s="25"/>
      <c r="F69" s="25"/>
      <c r="G69" s="25"/>
      <c r="H69" s="25"/>
      <c r="I69" s="25"/>
      <c r="J69" s="25"/>
      <c r="K69" s="25"/>
      <c r="L69" s="25"/>
      <c r="M69" s="25"/>
      <c r="N69" s="25"/>
      <c r="O69" s="25"/>
      <c r="P69" s="25"/>
      <c r="Q69" s="25"/>
      <c r="R69" s="25"/>
      <c r="S69" s="25"/>
      <c r="T69" s="25"/>
      <c r="U69" s="25"/>
      <c r="V69" s="25"/>
      <c r="W69" s="25"/>
      <c r="X69" s="25"/>
      <c r="Y69" s="25"/>
    </row>
    <row r="70" ht="15.75" customHeight="1" spans="1:25">
      <c r="A70" s="25"/>
      <c r="B70" s="25"/>
      <c r="C70" s="25"/>
      <c r="D70" s="25"/>
      <c r="E70" s="25"/>
      <c r="F70" s="25"/>
      <c r="G70" s="25"/>
      <c r="H70" s="25"/>
      <c r="I70" s="25"/>
      <c r="J70" s="25"/>
      <c r="K70" s="25"/>
      <c r="L70" s="25"/>
      <c r="M70" s="25"/>
      <c r="N70" s="25"/>
      <c r="O70" s="25"/>
      <c r="P70" s="25"/>
      <c r="Q70" s="25"/>
      <c r="R70" s="25"/>
      <c r="S70" s="25"/>
      <c r="T70" s="25"/>
      <c r="U70" s="25"/>
      <c r="V70" s="25"/>
      <c r="W70" s="25"/>
      <c r="X70" s="25"/>
      <c r="Y70" s="25"/>
    </row>
    <row r="71" ht="15.75" customHeight="1" spans="1:25">
      <c r="A71" s="25"/>
      <c r="B71" s="25"/>
      <c r="C71" s="25"/>
      <c r="D71" s="25"/>
      <c r="E71" s="25"/>
      <c r="F71" s="25"/>
      <c r="G71" s="25"/>
      <c r="H71" s="25"/>
      <c r="I71" s="25"/>
      <c r="J71" s="25"/>
      <c r="K71" s="25"/>
      <c r="L71" s="25"/>
      <c r="M71" s="25"/>
      <c r="N71" s="25"/>
      <c r="O71" s="25"/>
      <c r="P71" s="25"/>
      <c r="Q71" s="25"/>
      <c r="R71" s="25"/>
      <c r="S71" s="25"/>
      <c r="T71" s="25"/>
      <c r="U71" s="25"/>
      <c r="V71" s="25"/>
      <c r="W71" s="25"/>
      <c r="X71" s="25"/>
      <c r="Y71" s="25"/>
    </row>
    <row r="72" ht="15.75" customHeight="1" spans="1:25">
      <c r="A72" s="25"/>
      <c r="B72" s="25"/>
      <c r="C72" s="25"/>
      <c r="D72" s="25"/>
      <c r="E72" s="25"/>
      <c r="F72" s="25"/>
      <c r="G72" s="25"/>
      <c r="H72" s="25"/>
      <c r="I72" s="25"/>
      <c r="J72" s="25"/>
      <c r="K72" s="25"/>
      <c r="L72" s="25"/>
      <c r="M72" s="25"/>
      <c r="N72" s="25"/>
      <c r="O72" s="25"/>
      <c r="P72" s="25"/>
      <c r="Q72" s="25"/>
      <c r="R72" s="25"/>
      <c r="S72" s="25"/>
      <c r="T72" s="25"/>
      <c r="U72" s="25"/>
      <c r="V72" s="25"/>
      <c r="W72" s="25"/>
      <c r="X72" s="25"/>
      <c r="Y72" s="25"/>
    </row>
    <row r="73" ht="15.75" customHeight="1" spans="1:25">
      <c r="A73" s="25"/>
      <c r="B73" s="25"/>
      <c r="C73" s="25"/>
      <c r="D73" s="25"/>
      <c r="E73" s="25"/>
      <c r="F73" s="25"/>
      <c r="G73" s="25"/>
      <c r="H73" s="25"/>
      <c r="I73" s="25"/>
      <c r="J73" s="25"/>
      <c r="K73" s="25"/>
      <c r="L73" s="25"/>
      <c r="M73" s="25"/>
      <c r="N73" s="25"/>
      <c r="O73" s="25"/>
      <c r="P73" s="25"/>
      <c r="Q73" s="25"/>
      <c r="R73" s="25"/>
      <c r="S73" s="25"/>
      <c r="T73" s="25"/>
      <c r="U73" s="25"/>
      <c r="V73" s="25"/>
      <c r="W73" s="25"/>
      <c r="X73" s="25"/>
      <c r="Y73" s="25"/>
    </row>
    <row r="74" ht="15.75" customHeight="1" spans="1:25">
      <c r="A74" s="25"/>
      <c r="B74" s="25"/>
      <c r="C74" s="25"/>
      <c r="D74" s="25"/>
      <c r="E74" s="25"/>
      <c r="F74" s="25"/>
      <c r="G74" s="25"/>
      <c r="H74" s="25"/>
      <c r="I74" s="25"/>
      <c r="J74" s="25"/>
      <c r="K74" s="25"/>
      <c r="L74" s="25"/>
      <c r="M74" s="25"/>
      <c r="N74" s="25"/>
      <c r="O74" s="25"/>
      <c r="P74" s="25"/>
      <c r="Q74" s="25"/>
      <c r="R74" s="25"/>
      <c r="S74" s="25"/>
      <c r="T74" s="25"/>
      <c r="U74" s="25"/>
      <c r="V74" s="25"/>
      <c r="W74" s="25"/>
      <c r="X74" s="25"/>
      <c r="Y74" s="25"/>
    </row>
    <row r="75" ht="15.75" customHeight="1" spans="1:25">
      <c r="A75" s="25"/>
      <c r="B75" s="25"/>
      <c r="C75" s="25"/>
      <c r="D75" s="25"/>
      <c r="E75" s="25"/>
      <c r="F75" s="25"/>
      <c r="G75" s="25"/>
      <c r="H75" s="25"/>
      <c r="I75" s="25"/>
      <c r="J75" s="25"/>
      <c r="K75" s="25"/>
      <c r="L75" s="25"/>
      <c r="M75" s="25"/>
      <c r="N75" s="25"/>
      <c r="O75" s="25"/>
      <c r="P75" s="25"/>
      <c r="Q75" s="25"/>
      <c r="R75" s="25"/>
      <c r="S75" s="25"/>
      <c r="T75" s="25"/>
      <c r="U75" s="25"/>
      <c r="V75" s="25"/>
      <c r="W75" s="25"/>
      <c r="X75" s="25"/>
      <c r="Y75" s="25"/>
    </row>
    <row r="76" ht="15.75" customHeight="1" spans="1:25">
      <c r="A76" s="25"/>
      <c r="B76" s="25"/>
      <c r="C76" s="25"/>
      <c r="D76" s="25"/>
      <c r="E76" s="25"/>
      <c r="F76" s="25"/>
      <c r="G76" s="25"/>
      <c r="H76" s="25"/>
      <c r="I76" s="25"/>
      <c r="J76" s="25"/>
      <c r="K76" s="25"/>
      <c r="L76" s="25"/>
      <c r="M76" s="25"/>
      <c r="N76" s="25"/>
      <c r="O76" s="25"/>
      <c r="P76" s="25"/>
      <c r="Q76" s="25"/>
      <c r="R76" s="25"/>
      <c r="S76" s="25"/>
      <c r="T76" s="25"/>
      <c r="U76" s="25"/>
      <c r="V76" s="25"/>
      <c r="W76" s="25"/>
      <c r="X76" s="25"/>
      <c r="Y76" s="25"/>
    </row>
    <row r="77" ht="15.75" customHeight="1" spans="1:25">
      <c r="A77" s="25"/>
      <c r="B77" s="25"/>
      <c r="C77" s="25"/>
      <c r="D77" s="25"/>
      <c r="E77" s="25"/>
      <c r="F77" s="25"/>
      <c r="G77" s="25"/>
      <c r="H77" s="25"/>
      <c r="I77" s="25"/>
      <c r="J77" s="25"/>
      <c r="K77" s="25"/>
      <c r="L77" s="25"/>
      <c r="M77" s="25"/>
      <c r="N77" s="25"/>
      <c r="O77" s="25"/>
      <c r="P77" s="25"/>
      <c r="Q77" s="25"/>
      <c r="R77" s="25"/>
      <c r="S77" s="25"/>
      <c r="T77" s="25"/>
      <c r="U77" s="25"/>
      <c r="V77" s="25"/>
      <c r="W77" s="25"/>
      <c r="X77" s="25"/>
      <c r="Y77" s="25"/>
    </row>
    <row r="78" ht="15.75" customHeight="1" spans="1:25">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ht="15.75" customHeight="1" spans="1:25">
      <c r="A79" s="25"/>
      <c r="B79" s="25"/>
      <c r="C79" s="25"/>
      <c r="D79" s="25"/>
      <c r="E79" s="25"/>
      <c r="F79" s="25"/>
      <c r="G79" s="25"/>
      <c r="H79" s="25"/>
      <c r="I79" s="25"/>
      <c r="J79" s="25"/>
      <c r="K79" s="25"/>
      <c r="L79" s="25"/>
      <c r="M79" s="25"/>
      <c r="N79" s="25"/>
      <c r="O79" s="25"/>
      <c r="P79" s="25"/>
      <c r="Q79" s="25"/>
      <c r="R79" s="25"/>
      <c r="S79" s="25"/>
      <c r="T79" s="25"/>
      <c r="U79" s="25"/>
      <c r="V79" s="25"/>
      <c r="W79" s="25"/>
      <c r="X79" s="25"/>
      <c r="Y79" s="25"/>
    </row>
    <row r="80" ht="15.75" customHeight="1" spans="1:25">
      <c r="A80" s="25"/>
      <c r="B80" s="25"/>
      <c r="C80" s="25"/>
      <c r="D80" s="25"/>
      <c r="E80" s="25"/>
      <c r="F80" s="25"/>
      <c r="G80" s="25"/>
      <c r="H80" s="25"/>
      <c r="I80" s="25"/>
      <c r="J80" s="25"/>
      <c r="K80" s="25"/>
      <c r="L80" s="25"/>
      <c r="M80" s="25"/>
      <c r="N80" s="25"/>
      <c r="O80" s="25"/>
      <c r="P80" s="25"/>
      <c r="Q80" s="25"/>
      <c r="R80" s="25"/>
      <c r="S80" s="25"/>
      <c r="T80" s="25"/>
      <c r="U80" s="25"/>
      <c r="V80" s="25"/>
      <c r="W80" s="25"/>
      <c r="X80" s="25"/>
      <c r="Y80" s="25"/>
    </row>
    <row r="81" ht="15.75" customHeight="1" spans="1:25">
      <c r="A81" s="25"/>
      <c r="B81" s="25"/>
      <c r="C81" s="25"/>
      <c r="D81" s="25"/>
      <c r="E81" s="25"/>
      <c r="F81" s="25"/>
      <c r="G81" s="25"/>
      <c r="H81" s="25"/>
      <c r="I81" s="25"/>
      <c r="J81" s="25"/>
      <c r="K81" s="25"/>
      <c r="L81" s="25"/>
      <c r="M81" s="25"/>
      <c r="N81" s="25"/>
      <c r="O81" s="25"/>
      <c r="P81" s="25"/>
      <c r="Q81" s="25"/>
      <c r="R81" s="25"/>
      <c r="S81" s="25"/>
      <c r="T81" s="25"/>
      <c r="U81" s="25"/>
      <c r="V81" s="25"/>
      <c r="W81" s="25"/>
      <c r="X81" s="25"/>
      <c r="Y81" s="25"/>
    </row>
    <row r="82" ht="15.75" customHeight="1" spans="1:25">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ht="15.75" customHeight="1" spans="1:25">
      <c r="A83" s="25"/>
      <c r="B83" s="25"/>
      <c r="C83" s="25"/>
      <c r="D83" s="25"/>
      <c r="E83" s="25"/>
      <c r="F83" s="25"/>
      <c r="G83" s="25"/>
      <c r="H83" s="25"/>
      <c r="I83" s="25"/>
      <c r="J83" s="25"/>
      <c r="K83" s="25"/>
      <c r="L83" s="25"/>
      <c r="M83" s="25"/>
      <c r="N83" s="25"/>
      <c r="O83" s="25"/>
      <c r="P83" s="25"/>
      <c r="Q83" s="25"/>
      <c r="R83" s="25"/>
      <c r="S83" s="25"/>
      <c r="T83" s="25"/>
      <c r="U83" s="25"/>
      <c r="V83" s="25"/>
      <c r="W83" s="25"/>
      <c r="X83" s="25"/>
      <c r="Y83" s="25"/>
    </row>
    <row r="84" ht="15.75" customHeight="1" spans="1:25">
      <c r="A84" s="25"/>
      <c r="B84" s="25"/>
      <c r="C84" s="25"/>
      <c r="D84" s="25"/>
      <c r="E84" s="25"/>
      <c r="F84" s="25"/>
      <c r="G84" s="25"/>
      <c r="H84" s="25"/>
      <c r="I84" s="25"/>
      <c r="J84" s="25"/>
      <c r="K84" s="25"/>
      <c r="L84" s="25"/>
      <c r="M84" s="25"/>
      <c r="N84" s="25"/>
      <c r="O84" s="25"/>
      <c r="P84" s="25"/>
      <c r="Q84" s="25"/>
      <c r="R84" s="25"/>
      <c r="S84" s="25"/>
      <c r="T84" s="25"/>
      <c r="U84" s="25"/>
      <c r="V84" s="25"/>
      <c r="W84" s="25"/>
      <c r="X84" s="25"/>
      <c r="Y84" s="25"/>
    </row>
    <row r="85" ht="15.75" customHeight="1" spans="1:25">
      <c r="A85" s="25"/>
      <c r="B85" s="25"/>
      <c r="C85" s="25"/>
      <c r="D85" s="25"/>
      <c r="E85" s="25"/>
      <c r="F85" s="25"/>
      <c r="G85" s="25"/>
      <c r="H85" s="25"/>
      <c r="I85" s="25"/>
      <c r="J85" s="25"/>
      <c r="K85" s="25"/>
      <c r="L85" s="25"/>
      <c r="M85" s="25"/>
      <c r="N85" s="25"/>
      <c r="O85" s="25"/>
      <c r="P85" s="25"/>
      <c r="Q85" s="25"/>
      <c r="R85" s="25"/>
      <c r="S85" s="25"/>
      <c r="T85" s="25"/>
      <c r="U85" s="25"/>
      <c r="V85" s="25"/>
      <c r="W85" s="25"/>
      <c r="X85" s="25"/>
      <c r="Y85" s="25"/>
    </row>
    <row r="86" ht="15.75" customHeight="1" spans="1:25">
      <c r="A86" s="25"/>
      <c r="B86" s="25"/>
      <c r="C86" s="25"/>
      <c r="D86" s="25"/>
      <c r="E86" s="25"/>
      <c r="F86" s="25"/>
      <c r="G86" s="25"/>
      <c r="H86" s="25"/>
      <c r="I86" s="25"/>
      <c r="J86" s="25"/>
      <c r="K86" s="25"/>
      <c r="L86" s="25"/>
      <c r="M86" s="25"/>
      <c r="N86" s="25"/>
      <c r="O86" s="25"/>
      <c r="P86" s="25"/>
      <c r="Q86" s="25"/>
      <c r="R86" s="25"/>
      <c r="S86" s="25"/>
      <c r="T86" s="25"/>
      <c r="U86" s="25"/>
      <c r="V86" s="25"/>
      <c r="W86" s="25"/>
      <c r="X86" s="25"/>
      <c r="Y86" s="25"/>
    </row>
    <row r="87" ht="15.75" customHeight="1" spans="1:25">
      <c r="A87" s="25"/>
      <c r="B87" s="25"/>
      <c r="C87" s="25"/>
      <c r="D87" s="25"/>
      <c r="E87" s="25"/>
      <c r="F87" s="25"/>
      <c r="G87" s="25"/>
      <c r="H87" s="25"/>
      <c r="I87" s="25"/>
      <c r="J87" s="25"/>
      <c r="K87" s="25"/>
      <c r="L87" s="25"/>
      <c r="M87" s="25"/>
      <c r="N87" s="25"/>
      <c r="O87" s="25"/>
      <c r="P87" s="25"/>
      <c r="Q87" s="25"/>
      <c r="R87" s="25"/>
      <c r="S87" s="25"/>
      <c r="T87" s="25"/>
      <c r="U87" s="25"/>
      <c r="V87" s="25"/>
      <c r="W87" s="25"/>
      <c r="X87" s="25"/>
      <c r="Y87" s="25"/>
    </row>
    <row r="88" ht="15.75" customHeight="1" spans="1:25">
      <c r="A88" s="25"/>
      <c r="B88" s="25"/>
      <c r="C88" s="25"/>
      <c r="D88" s="25"/>
      <c r="E88" s="25"/>
      <c r="F88" s="25"/>
      <c r="G88" s="25"/>
      <c r="H88" s="25"/>
      <c r="I88" s="25"/>
      <c r="J88" s="25"/>
      <c r="K88" s="25"/>
      <c r="L88" s="25"/>
      <c r="M88" s="25"/>
      <c r="N88" s="25"/>
      <c r="O88" s="25"/>
      <c r="P88" s="25"/>
      <c r="Q88" s="25"/>
      <c r="R88" s="25"/>
      <c r="S88" s="25"/>
      <c r="T88" s="25"/>
      <c r="U88" s="25"/>
      <c r="V88" s="25"/>
      <c r="W88" s="25"/>
      <c r="X88" s="25"/>
      <c r="Y88" s="25"/>
    </row>
    <row r="89" ht="15.75" customHeight="1" spans="1:25">
      <c r="A89" s="25"/>
      <c r="B89" s="25"/>
      <c r="C89" s="25"/>
      <c r="D89" s="25"/>
      <c r="E89" s="25"/>
      <c r="F89" s="25"/>
      <c r="G89" s="25"/>
      <c r="H89" s="25"/>
      <c r="I89" s="25"/>
      <c r="J89" s="25"/>
      <c r="K89" s="25"/>
      <c r="L89" s="25"/>
      <c r="M89" s="25"/>
      <c r="N89" s="25"/>
      <c r="O89" s="25"/>
      <c r="P89" s="25"/>
      <c r="Q89" s="25"/>
      <c r="R89" s="25"/>
      <c r="S89" s="25"/>
      <c r="T89" s="25"/>
      <c r="U89" s="25"/>
      <c r="V89" s="25"/>
      <c r="W89" s="25"/>
      <c r="X89" s="25"/>
      <c r="Y89" s="25"/>
    </row>
    <row r="90" ht="15.75" customHeight="1" spans="1:25">
      <c r="A90" s="25"/>
      <c r="B90" s="25"/>
      <c r="C90" s="25"/>
      <c r="D90" s="25"/>
      <c r="E90" s="25"/>
      <c r="F90" s="25"/>
      <c r="G90" s="25"/>
      <c r="H90" s="25"/>
      <c r="I90" s="25"/>
      <c r="J90" s="25"/>
      <c r="K90" s="25"/>
      <c r="L90" s="25"/>
      <c r="M90" s="25"/>
      <c r="N90" s="25"/>
      <c r="O90" s="25"/>
      <c r="P90" s="25"/>
      <c r="Q90" s="25"/>
      <c r="R90" s="25"/>
      <c r="S90" s="25"/>
      <c r="T90" s="25"/>
      <c r="U90" s="25"/>
      <c r="V90" s="25"/>
      <c r="W90" s="25"/>
      <c r="X90" s="25"/>
      <c r="Y90" s="25"/>
    </row>
    <row r="91" ht="15.75" customHeight="1" spans="1:25">
      <c r="A91" s="25"/>
      <c r="B91" s="25"/>
      <c r="C91" s="25"/>
      <c r="D91" s="25"/>
      <c r="E91" s="25"/>
      <c r="F91" s="25"/>
      <c r="G91" s="25"/>
      <c r="H91" s="25"/>
      <c r="I91" s="25"/>
      <c r="J91" s="25"/>
      <c r="K91" s="25"/>
      <c r="L91" s="25"/>
      <c r="M91" s="25"/>
      <c r="N91" s="25"/>
      <c r="O91" s="25"/>
      <c r="P91" s="25"/>
      <c r="Q91" s="25"/>
      <c r="R91" s="25"/>
      <c r="S91" s="25"/>
      <c r="T91" s="25"/>
      <c r="U91" s="25"/>
      <c r="V91" s="25"/>
      <c r="W91" s="25"/>
      <c r="X91" s="25"/>
      <c r="Y91" s="25"/>
    </row>
    <row r="92" ht="15.75" customHeight="1" spans="1:25">
      <c r="A92" s="25"/>
      <c r="B92" s="25"/>
      <c r="C92" s="25"/>
      <c r="D92" s="25"/>
      <c r="E92" s="25"/>
      <c r="F92" s="25"/>
      <c r="G92" s="25"/>
      <c r="H92" s="25"/>
      <c r="I92" s="25"/>
      <c r="J92" s="25"/>
      <c r="K92" s="25"/>
      <c r="L92" s="25"/>
      <c r="M92" s="25"/>
      <c r="N92" s="25"/>
      <c r="O92" s="25"/>
      <c r="P92" s="25"/>
      <c r="Q92" s="25"/>
      <c r="R92" s="25"/>
      <c r="S92" s="25"/>
      <c r="T92" s="25"/>
      <c r="U92" s="25"/>
      <c r="V92" s="25"/>
      <c r="W92" s="25"/>
      <c r="X92" s="25"/>
      <c r="Y92" s="25"/>
    </row>
    <row r="93" ht="15.75" customHeight="1" spans="1:25">
      <c r="A93" s="25"/>
      <c r="B93" s="25"/>
      <c r="C93" s="25"/>
      <c r="D93" s="25"/>
      <c r="E93" s="25"/>
      <c r="F93" s="25"/>
      <c r="G93" s="25"/>
      <c r="H93" s="25"/>
      <c r="I93" s="25"/>
      <c r="J93" s="25"/>
      <c r="K93" s="25"/>
      <c r="L93" s="25"/>
      <c r="M93" s="25"/>
      <c r="N93" s="25"/>
      <c r="O93" s="25"/>
      <c r="P93" s="25"/>
      <c r="Q93" s="25"/>
      <c r="R93" s="25"/>
      <c r="S93" s="25"/>
      <c r="T93" s="25"/>
      <c r="U93" s="25"/>
      <c r="V93" s="25"/>
      <c r="W93" s="25"/>
      <c r="X93" s="25"/>
      <c r="Y93" s="25"/>
    </row>
    <row r="94" ht="15.75" customHeight="1" spans="1:25">
      <c r="A94" s="25"/>
      <c r="B94" s="25"/>
      <c r="C94" s="25"/>
      <c r="D94" s="25"/>
      <c r="E94" s="25"/>
      <c r="F94" s="25"/>
      <c r="G94" s="25"/>
      <c r="H94" s="25"/>
      <c r="I94" s="25"/>
      <c r="J94" s="25"/>
      <c r="K94" s="25"/>
      <c r="L94" s="25"/>
      <c r="M94" s="25"/>
      <c r="N94" s="25"/>
      <c r="O94" s="25"/>
      <c r="P94" s="25"/>
      <c r="Q94" s="25"/>
      <c r="R94" s="25"/>
      <c r="S94" s="25"/>
      <c r="T94" s="25"/>
      <c r="U94" s="25"/>
      <c r="V94" s="25"/>
      <c r="W94" s="25"/>
      <c r="X94" s="25"/>
      <c r="Y94" s="25"/>
    </row>
    <row r="95" ht="15.75" customHeight="1" spans="1:25">
      <c r="A95" s="25"/>
      <c r="B95" s="25"/>
      <c r="C95" s="25"/>
      <c r="D95" s="25"/>
      <c r="E95" s="25"/>
      <c r="F95" s="25"/>
      <c r="G95" s="25"/>
      <c r="H95" s="25"/>
      <c r="I95" s="25"/>
      <c r="J95" s="25"/>
      <c r="K95" s="25"/>
      <c r="L95" s="25"/>
      <c r="M95" s="25"/>
      <c r="N95" s="25"/>
      <c r="O95" s="25"/>
      <c r="P95" s="25"/>
      <c r="Q95" s="25"/>
      <c r="R95" s="25"/>
      <c r="S95" s="25"/>
      <c r="T95" s="25"/>
      <c r="U95" s="25"/>
      <c r="V95" s="25"/>
      <c r="W95" s="25"/>
      <c r="X95" s="25"/>
      <c r="Y95" s="25"/>
    </row>
    <row r="96" ht="15.75" customHeight="1" spans="1:25">
      <c r="A96" s="25"/>
      <c r="B96" s="25"/>
      <c r="C96" s="25"/>
      <c r="D96" s="25"/>
      <c r="E96" s="25"/>
      <c r="F96" s="25"/>
      <c r="G96" s="25"/>
      <c r="H96" s="25"/>
      <c r="I96" s="25"/>
      <c r="J96" s="25"/>
      <c r="K96" s="25"/>
      <c r="L96" s="25"/>
      <c r="M96" s="25"/>
      <c r="N96" s="25"/>
      <c r="O96" s="25"/>
      <c r="P96" s="25"/>
      <c r="Q96" s="25"/>
      <c r="R96" s="25"/>
      <c r="S96" s="25"/>
      <c r="T96" s="25"/>
      <c r="U96" s="25"/>
      <c r="V96" s="25"/>
      <c r="W96" s="25"/>
      <c r="X96" s="25"/>
      <c r="Y96" s="25"/>
    </row>
    <row r="97" ht="15.75" customHeight="1" spans="1:25">
      <c r="A97" s="25"/>
      <c r="B97" s="25"/>
      <c r="C97" s="25"/>
      <c r="D97" s="25"/>
      <c r="E97" s="25"/>
      <c r="F97" s="25"/>
      <c r="G97" s="25"/>
      <c r="H97" s="25"/>
      <c r="I97" s="25"/>
      <c r="J97" s="25"/>
      <c r="K97" s="25"/>
      <c r="L97" s="25"/>
      <c r="M97" s="25"/>
      <c r="N97" s="25"/>
      <c r="O97" s="25"/>
      <c r="P97" s="25"/>
      <c r="Q97" s="25"/>
      <c r="R97" s="25"/>
      <c r="S97" s="25"/>
      <c r="T97" s="25"/>
      <c r="U97" s="25"/>
      <c r="V97" s="25"/>
      <c r="W97" s="25"/>
      <c r="X97" s="25"/>
      <c r="Y97" s="25"/>
    </row>
    <row r="98" ht="15.75" customHeight="1" spans="1:25">
      <c r="A98" s="25"/>
      <c r="B98" s="25"/>
      <c r="C98" s="25"/>
      <c r="D98" s="25"/>
      <c r="E98" s="25"/>
      <c r="F98" s="25"/>
      <c r="G98" s="25"/>
      <c r="H98" s="25"/>
      <c r="I98" s="25"/>
      <c r="J98" s="25"/>
      <c r="K98" s="25"/>
      <c r="L98" s="25"/>
      <c r="M98" s="25"/>
      <c r="N98" s="25"/>
      <c r="O98" s="25"/>
      <c r="P98" s="25"/>
      <c r="Q98" s="25"/>
      <c r="R98" s="25"/>
      <c r="S98" s="25"/>
      <c r="T98" s="25"/>
      <c r="U98" s="25"/>
      <c r="V98" s="25"/>
      <c r="W98" s="25"/>
      <c r="X98" s="25"/>
      <c r="Y98" s="25"/>
    </row>
    <row r="99" ht="15.75" customHeight="1" spans="1:25">
      <c r="A99" s="25"/>
      <c r="B99" s="25"/>
      <c r="C99" s="25"/>
      <c r="D99" s="25"/>
      <c r="E99" s="25"/>
      <c r="F99" s="25"/>
      <c r="G99" s="25"/>
      <c r="H99" s="25"/>
      <c r="I99" s="25"/>
      <c r="J99" s="25"/>
      <c r="K99" s="25"/>
      <c r="L99" s="25"/>
      <c r="M99" s="25"/>
      <c r="N99" s="25"/>
      <c r="O99" s="25"/>
      <c r="P99" s="25"/>
      <c r="Q99" s="25"/>
      <c r="R99" s="25"/>
      <c r="S99" s="25"/>
      <c r="T99" s="25"/>
      <c r="U99" s="25"/>
      <c r="V99" s="25"/>
      <c r="W99" s="25"/>
      <c r="X99" s="25"/>
      <c r="Y99" s="25"/>
    </row>
    <row r="100" ht="15.75" customHeight="1" spans="1: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ht="15.75" customHeight="1" spans="1: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ht="15.75" customHeight="1" spans="1: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ht="15.75" customHeight="1" spans="1: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ht="15.75" customHeight="1" spans="1: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ht="15.75" customHeight="1" spans="1: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ht="15.75" customHeight="1" spans="1: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ht="15.75" customHeight="1" spans="1: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ht="15.75" customHeight="1" spans="1: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ht="15.75" customHeight="1" spans="1: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ht="15.75" customHeight="1" spans="1: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ht="15.75" customHeight="1" spans="1: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ht="15.75" customHeight="1" spans="1: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ht="15.75" customHeight="1" spans="1: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ht="15.75" customHeight="1" spans="1: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ht="15.75" customHeight="1" spans="1: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ht="15.75" customHeight="1" spans="1: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ht="15.75" customHeight="1" spans="1: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ht="15.75" customHeight="1" spans="1: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ht="15.75" customHeight="1" spans="1: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ht="15.75" customHeight="1" spans="1: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ht="15.75" customHeight="1" spans="1: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ht="15.75" customHeight="1" spans="1: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ht="15.75" customHeight="1" spans="1: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ht="15.75" customHeight="1" spans="1: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ht="15.75" customHeight="1" spans="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ht="15.75" customHeight="1" spans="1: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ht="15.75" customHeight="1" spans="1: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ht="15.75" customHeight="1" spans="1: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ht="15.75" customHeight="1" spans="1: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ht="15.75" customHeight="1" spans="1: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ht="15.75" customHeight="1" spans="1: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ht="15.75" customHeight="1" spans="1: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ht="15.75" customHeight="1" spans="1: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ht="15.75" customHeight="1" spans="1: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ht="15.75" customHeight="1" spans="1: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ht="15.75" customHeight="1" spans="1: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ht="15.75" customHeight="1" spans="1: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ht="15.75" customHeight="1" spans="1: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ht="15.75" customHeight="1" spans="1: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ht="15.75" customHeight="1" spans="1: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ht="15.75" customHeight="1" spans="1: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ht="15.75" customHeight="1" spans="1: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ht="15.75" customHeight="1" spans="1: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ht="15.75" customHeight="1" spans="1: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ht="15.75" customHeight="1" spans="1: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ht="15.75" customHeight="1" spans="1: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ht="15.75" customHeight="1" spans="1: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ht="15.75" customHeight="1" spans="1: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ht="15.75" customHeight="1" spans="1: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ht="15.75" customHeight="1" spans="1: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ht="15.75" customHeight="1" spans="1: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ht="15.75" customHeight="1" spans="1: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ht="15.75" customHeight="1" spans="1: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ht="15.75" customHeight="1" spans="1: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ht="15.75" customHeight="1" spans="1: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ht="15.75" customHeight="1" spans="1: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ht="15.75" customHeight="1" spans="1: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ht="15.75" customHeight="1" spans="1: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ht="15.75" customHeight="1" spans="1: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ht="15.75" customHeight="1" spans="1: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ht="15.75" customHeight="1" spans="1: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ht="15.75" customHeight="1" spans="1: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ht="15.75" customHeight="1" spans="1: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ht="15.75" customHeight="1" spans="1: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ht="15.75" customHeight="1" spans="1: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ht="15.75" customHeight="1" spans="1: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ht="15.75" customHeight="1" spans="1: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ht="15.75" customHeight="1" spans="1: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ht="15.75" customHeight="1" spans="1: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ht="15.75" customHeight="1" spans="1: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ht="15.75" customHeight="1" spans="1: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ht="15.75" customHeight="1" spans="1: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ht="15.75" customHeight="1" spans="1: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ht="15.75" customHeight="1" spans="1: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ht="15.75" customHeight="1" spans="1: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ht="15.75" customHeight="1" spans="1: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ht="15.75" customHeight="1" spans="1: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ht="15.75" customHeight="1" spans="1: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ht="15.75" customHeight="1" spans="1: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ht="15.75" customHeight="1" spans="1: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ht="15.75" customHeight="1" spans="1: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ht="15.75" customHeight="1" spans="1: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ht="15.75" customHeight="1" spans="1: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ht="15.75" customHeight="1" spans="1: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ht="15.75" customHeight="1" spans="1: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ht="15.75" customHeight="1" spans="1: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ht="15.75" customHeight="1" spans="1: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ht="15.75" customHeight="1" spans="1: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ht="15.75" customHeight="1" spans="1: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ht="15.75" customHeight="1" spans="1: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ht="15.75" customHeight="1" spans="1: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ht="15.75" customHeight="1" spans="1: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ht="15.75" customHeight="1" spans="1: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ht="15.75" customHeight="1" spans="1: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ht="15.75" customHeight="1" spans="1: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ht="15.75" customHeight="1" spans="1: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ht="15.75" customHeight="1" spans="1: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ht="15.75" customHeight="1" spans="1: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ht="15.75" customHeight="1" spans="1: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ht="15.75" customHeight="1" spans="1: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ht="15.75" customHeight="1" spans="1: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ht="15.75" customHeight="1" spans="1: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ht="15.75" customHeight="1" spans="1: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ht="15.75" customHeight="1" spans="1: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ht="15.75" customHeight="1" spans="1: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ht="15.75" customHeight="1" spans="1: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ht="15.75" customHeight="1" spans="1: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ht="15.75" customHeight="1" spans="1: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ht="15.75" customHeight="1" spans="1: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ht="15.75" customHeight="1" spans="1: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ht="15.75" customHeight="1" spans="1: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ht="15.75" customHeight="1" spans="1: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ht="15.75" customHeight="1" spans="1: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ht="15.75" customHeight="1" spans="1: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ht="15.75" customHeight="1" spans="1: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ht="15.75" customHeight="1" spans="1: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ht="15.75" customHeight="1" spans="1: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ht="15.75" customHeight="1" spans="1: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ht="15.75" customHeight="1" spans="1: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ht="15.75" customHeight="1" spans="1: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ht="15.75" customHeight="1" spans="1: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ht="15.75" customHeight="1" spans="1: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ht="15.75" customHeight="1" spans="1: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ht="15.75" customHeight="1" spans="1: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ht="15.75" customHeight="1" spans="1: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ht="15.75" customHeight="1" spans="1: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ht="15.75" customHeight="1" spans="1: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ht="15.75" customHeight="1" spans="1: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ht="15.75" customHeight="1" spans="1: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ht="15.75" customHeight="1" spans="1: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ht="15.75" customHeight="1" spans="1: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ht="15.75" customHeight="1" spans="1: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ht="15.75" customHeight="1" spans="1: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ht="15.75" customHeight="1" spans="1: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ht="15.75" customHeight="1" spans="1: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ht="15.75" customHeight="1" spans="1: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ht="15.75" customHeight="1" spans="1: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ht="15.75" customHeight="1" spans="1: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ht="15.75" customHeight="1" spans="1: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ht="15.75" customHeight="1" spans="1: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ht="15.75" customHeight="1" spans="1: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ht="15.75" customHeight="1" spans="1: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ht="15.75" customHeight="1" spans="1: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ht="15.75" customHeight="1" spans="1: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ht="15.75" customHeight="1" spans="1: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ht="15.75" customHeight="1" spans="1: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ht="15.75" customHeight="1" spans="1: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ht="15.75" customHeight="1" spans="1: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ht="15.75" customHeight="1" spans="1: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ht="15.75" customHeight="1" spans="1: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ht="15.75" customHeight="1" spans="1: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ht="15.75" customHeight="1" spans="1: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ht="15.75" customHeight="1" spans="1: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ht="15.75" customHeight="1" spans="1: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ht="15.75" customHeight="1" spans="1: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ht="15.75" customHeight="1" spans="1: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ht="15.75" customHeight="1" spans="1: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ht="15.75" customHeight="1" spans="1: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ht="15.75" customHeight="1" spans="1: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ht="15.75" customHeight="1" spans="1: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ht="15.75" customHeight="1" spans="1: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ht="15.75" customHeight="1" spans="1: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ht="15.75" customHeight="1" spans="1: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ht="15.75" customHeight="1" spans="1: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ht="15.75" customHeight="1" spans="1: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ht="15.75" customHeight="1" spans="1: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ht="15.75" customHeight="1" spans="1: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ht="15.75" customHeight="1" spans="1: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ht="15.75" customHeight="1" spans="1: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ht="15.75" customHeight="1" spans="1: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ht="15.75" customHeight="1" spans="1: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ht="15.75" customHeight="1" spans="1: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ht="15.75" customHeight="1" spans="1: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ht="15.75" customHeight="1" spans="1: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ht="15.75" customHeight="1" spans="1: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ht="15.75" customHeight="1" spans="1: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ht="15.75" customHeight="1" spans="1: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ht="15.75" customHeight="1" spans="1: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ht="15.75" customHeight="1" spans="1: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ht="15.75" customHeight="1" spans="1: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ht="15.75" customHeight="1" spans="1: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ht="15.75" customHeight="1" spans="1: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ht="15.75" customHeight="1" spans="1: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ht="15.75" customHeight="1" spans="1: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ht="15.75" customHeight="1" spans="1: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ht="15.75" customHeight="1" spans="1: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ht="15.75" customHeight="1" spans="1: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ht="15.75" customHeight="1" spans="1: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ht="15.75" customHeight="1" spans="1: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ht="15.75" customHeight="1" spans="1: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ht="15.75" customHeight="1" spans="1: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ht="15.75" customHeight="1" spans="1: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ht="15.75" customHeight="1" spans="1: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ht="15.75" customHeight="1" spans="1: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ht="15.75" customHeight="1" spans="1: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ht="15.75" customHeight="1" spans="1: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ht="15.75" customHeight="1" spans="1: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ht="15.75" customHeight="1" spans="1: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ht="15.75" customHeight="1" spans="1: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ht="15.75" customHeight="1" spans="1: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ht="15.75" customHeight="1" spans="1: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ht="15.75" customHeight="1" spans="1: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ht="15.75" customHeight="1" spans="1: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ht="15.75" customHeight="1" spans="1: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ht="15.75" customHeight="1" spans="1: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ht="15.75" customHeight="1" spans="1: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ht="15.75" customHeight="1" spans="1: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ht="15.75" customHeight="1" spans="1: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ht="15.75" customHeight="1" spans="1: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ht="15.75" customHeight="1" spans="1: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ht="15.75" customHeight="1" spans="1: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ht="15.75" customHeight="1" spans="1: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ht="15.75" customHeight="1" spans="1: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ht="15.75" customHeight="1" spans="1: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ht="15.75" customHeight="1" spans="1: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ht="15.75" customHeight="1" spans="1: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ht="15.75" customHeight="1" spans="1: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ht="15.75" customHeight="1" spans="1: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ht="15.75" customHeight="1" spans="1: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ht="15.75" customHeight="1" spans="1: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ht="15.75" customHeight="1" spans="1: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ht="15.75" customHeight="1" spans="1: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ht="15.75" customHeight="1" spans="1: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ht="15.75" customHeight="1" spans="1: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ht="15.75" customHeight="1" spans="1: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ht="15.75" customHeight="1" spans="1: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ht="15.75" customHeight="1" spans="1: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ht="15.75" customHeight="1" spans="1: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ht="15.75" customHeight="1" spans="1: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ht="15.75" customHeight="1" spans="1: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ht="15.75" customHeight="1" spans="1: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ht="15.75" customHeight="1" spans="1: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ht="15.75" customHeight="1" spans="1: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ht="15.75" customHeight="1" spans="1: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ht="15.75" customHeight="1" spans="1: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ht="15.75" customHeight="1" spans="1: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ht="15.75" customHeight="1" spans="1: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ht="15.75" customHeight="1" spans="1: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ht="15.75" customHeight="1" spans="1: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ht="15.75" customHeight="1" spans="1: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ht="15.75" customHeight="1" spans="1: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ht="15.75" customHeight="1" spans="1: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ht="15.75" customHeight="1" spans="1: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ht="15.75" customHeight="1" spans="1: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ht="15.75" customHeight="1" spans="1: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ht="15.75" customHeight="1" spans="1: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ht="15.75" customHeight="1" spans="1: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ht="15.75" customHeight="1" spans="1: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ht="15.75" customHeight="1" spans="1: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ht="15.75" customHeight="1" spans="1: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ht="15.75" customHeight="1" spans="1: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ht="15.75" customHeight="1" spans="1: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ht="15.75" customHeight="1" spans="1: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ht="15.75" customHeight="1" spans="1: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ht="15.75" customHeight="1" spans="1: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ht="15.75" customHeight="1" spans="1: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ht="15.75" customHeight="1" spans="1: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ht="15.75" customHeight="1" spans="1: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ht="15.75" customHeight="1" spans="1: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ht="15.75" customHeight="1" spans="1: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ht="15.75" customHeight="1" spans="1: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ht="15.75" customHeight="1" spans="1: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ht="15.75" customHeight="1" spans="1: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ht="15.75" customHeight="1" spans="1: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ht="15.75" customHeight="1" spans="1: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ht="15.75" customHeight="1" spans="1: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ht="15.75" customHeight="1" spans="1: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ht="15.75" customHeight="1" spans="1: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ht="15.75" customHeight="1" spans="1: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ht="15.75" customHeight="1" spans="1: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ht="15.75" customHeight="1" spans="1: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ht="15.75" customHeight="1" spans="1: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ht="15.75" customHeight="1" spans="1: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ht="15.75" customHeight="1" spans="1: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ht="15.75" customHeight="1" spans="1: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ht="15.75" customHeight="1" spans="1: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ht="15.75" customHeight="1" spans="1: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ht="15.75" customHeight="1" spans="1: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ht="15.75" customHeight="1" spans="1: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ht="15.75" customHeight="1" spans="1: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ht="15.75" customHeight="1" spans="1: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ht="15.75" customHeight="1" spans="1: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ht="15.75" customHeight="1" spans="1: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ht="15.75" customHeight="1" spans="1: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ht="15.75" customHeight="1" spans="1: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ht="15.75" customHeight="1" spans="1: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ht="15.75" customHeight="1" spans="1: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ht="15.75" customHeight="1" spans="1: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ht="15.75" customHeight="1" spans="1: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ht="15.75" customHeight="1" spans="1: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ht="15.75" customHeight="1" spans="1: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ht="15.75" customHeight="1" spans="1: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ht="15.75" customHeight="1" spans="1: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ht="15.75" customHeight="1" spans="1: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ht="15.75" customHeight="1" spans="1: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ht="15.75" customHeight="1" spans="1: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ht="15.75" customHeight="1" spans="1: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ht="15.75" customHeight="1" spans="1: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ht="15.75" customHeight="1" spans="1: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ht="15.75" customHeight="1" spans="1: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ht="15.75" customHeight="1" spans="1: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ht="15.75" customHeight="1" spans="1: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ht="15.75" customHeight="1" spans="1: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ht="15.75" customHeight="1" spans="1: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ht="15.75" customHeight="1" spans="1: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ht="15.75" customHeight="1" spans="1: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ht="15.75" customHeight="1" spans="1: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ht="15.75" customHeight="1" spans="1: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ht="15.75" customHeight="1" spans="1: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ht="15.75" customHeight="1" spans="1: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ht="15.75" customHeight="1" spans="1: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ht="15.75" customHeight="1" spans="1: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ht="15.75" customHeight="1" spans="1: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ht="15.75" customHeight="1" spans="1: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ht="15.75" customHeight="1" spans="1: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ht="15.75" customHeight="1" spans="1: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ht="15.75" customHeight="1" spans="1: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ht="15.75" customHeight="1" spans="1: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ht="15.75" customHeight="1" spans="1: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ht="15.75" customHeight="1" spans="1: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ht="15.75" customHeight="1" spans="1: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ht="15.75" customHeight="1" spans="1: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ht="15.75" customHeight="1" spans="1: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ht="15.75" customHeight="1" spans="1: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ht="15.75" customHeight="1" spans="1: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ht="15.75" customHeight="1" spans="1: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ht="15.75" customHeight="1" spans="1: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ht="15.75" customHeight="1" spans="1: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ht="15.75" customHeight="1" spans="1: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ht="15.75" customHeight="1" spans="1: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ht="15.75" customHeight="1" spans="1: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ht="15.75" customHeight="1" spans="1: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ht="15.75" customHeight="1" spans="1: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ht="15.75" customHeight="1" spans="1: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ht="15.75" customHeight="1" spans="1: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ht="15.75" customHeight="1" spans="1: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ht="15.75" customHeight="1" spans="1: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ht="15.75" customHeight="1" spans="1: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ht="15.75" customHeight="1" spans="1: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ht="15.75" customHeight="1" spans="1: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ht="15.75" customHeight="1" spans="1: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ht="15.75" customHeight="1" spans="1: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ht="15.75" customHeight="1" spans="1: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ht="15.75" customHeight="1" spans="1: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ht="15.75" customHeight="1" spans="1: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ht="15.75" customHeight="1" spans="1: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ht="15.75" customHeight="1" spans="1: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ht="15.75" customHeight="1" spans="1: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ht="15.75" customHeight="1" spans="1: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ht="15.75" customHeight="1" spans="1: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ht="15.75" customHeight="1" spans="1: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ht="15.75" customHeight="1" spans="1: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ht="15.75" customHeight="1" spans="1: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ht="15.75" customHeight="1" spans="1: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ht="15.75" customHeight="1" spans="1: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ht="15.75" customHeight="1" spans="1: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ht="15.75" customHeight="1" spans="1: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ht="15.75" customHeight="1" spans="1: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ht="15.75" customHeight="1" spans="1: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ht="15.75" customHeight="1" spans="1: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ht="15.75" customHeight="1" spans="1: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ht="15.75" customHeight="1" spans="1: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ht="15.75" customHeight="1" spans="1: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ht="15.75" customHeight="1" spans="1: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ht="15.75" customHeight="1" spans="1: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ht="15.75" customHeight="1" spans="1: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ht="15.75" customHeight="1" spans="1: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ht="15.75" customHeight="1" spans="1: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ht="15.75" customHeight="1" spans="1: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ht="15.75" customHeight="1" spans="1: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ht="15.75" customHeight="1" spans="1: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ht="15.75" customHeight="1" spans="1: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ht="15.75" customHeight="1" spans="1: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ht="15.75" customHeight="1" spans="1: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ht="15.75" customHeight="1" spans="1: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ht="15.75" customHeight="1" spans="1: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ht="15.75" customHeight="1" spans="1: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ht="15.75" customHeight="1" spans="1: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ht="15.75" customHeight="1" spans="1: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ht="15.75" customHeight="1" spans="1: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ht="15.75" customHeight="1" spans="1: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ht="15.75" customHeight="1" spans="1: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ht="15.75" customHeight="1" spans="1: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ht="15.75" customHeight="1" spans="1: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ht="15.75" customHeight="1" spans="1: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ht="15.75" customHeight="1" spans="1: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ht="15.75" customHeight="1" spans="1: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ht="15.75" customHeight="1" spans="1: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ht="15.75" customHeight="1" spans="1: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ht="15.75" customHeight="1" spans="1: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ht="15.75" customHeight="1" spans="1: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ht="15.75" customHeight="1" spans="1: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ht="15.75" customHeight="1" spans="1: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ht="15.75" customHeight="1" spans="1: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ht="15.75" customHeight="1" spans="1: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ht="15.75" customHeight="1" spans="1: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ht="15.75" customHeight="1" spans="1: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ht="15.75" customHeight="1" spans="1: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ht="15.75" customHeight="1" spans="1: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ht="15.75" customHeight="1" spans="1: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ht="15.75" customHeight="1" spans="1: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ht="15.75" customHeight="1" spans="1: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ht="15.75" customHeight="1" spans="1: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ht="15.75" customHeight="1" spans="1: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ht="15.75" customHeight="1" spans="1: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ht="15.75" customHeight="1" spans="1: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ht="15.75" customHeight="1" spans="1: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ht="15.75" customHeight="1" spans="1: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ht="15.75" customHeight="1" spans="1: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ht="15.75" customHeight="1" spans="1: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ht="15.75" customHeight="1" spans="1: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ht="15.75" customHeight="1" spans="1: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ht="15.75" customHeight="1" spans="1: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ht="15.75" customHeight="1" spans="1: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ht="15.75" customHeight="1" spans="1: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ht="15.75" customHeight="1" spans="1: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ht="15.75" customHeight="1" spans="1: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ht="15.75" customHeight="1" spans="1: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ht="15.75" customHeight="1" spans="1: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ht="15.75" customHeight="1" spans="1: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ht="15.75" customHeight="1" spans="1: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ht="15.75" customHeight="1" spans="1: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ht="15.75" customHeight="1" spans="1: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ht="15.75" customHeight="1" spans="1: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ht="15.75" customHeight="1" spans="1: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ht="15.75" customHeight="1" spans="1: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ht="15.75" customHeight="1" spans="1: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ht="15.75" customHeight="1" spans="1: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ht="15.75" customHeight="1" spans="1: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ht="15.75" customHeight="1" spans="1: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ht="15.75" customHeight="1" spans="1: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ht="15.75" customHeight="1" spans="1: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ht="15.75" customHeight="1" spans="1: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ht="15.75" customHeight="1" spans="1: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ht="15.75" customHeight="1" spans="1: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ht="15.75" customHeight="1" spans="1: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ht="15.75" customHeight="1" spans="1: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ht="15.75" customHeight="1" spans="1: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ht="15.75" customHeight="1" spans="1: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ht="15.75" customHeight="1" spans="1: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ht="15.75" customHeight="1" spans="1: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ht="15.75" customHeight="1" spans="1: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ht="15.75" customHeight="1" spans="1: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ht="15.75" customHeight="1" spans="1: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ht="15.75" customHeight="1" spans="1: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ht="15.75" customHeight="1" spans="1: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ht="15.75" customHeight="1" spans="1: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ht="15.75" customHeight="1" spans="1: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ht="15.75" customHeight="1" spans="1: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ht="15.75" customHeight="1" spans="1: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ht="15.75" customHeight="1" spans="1: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ht="15.75" customHeight="1" spans="1: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ht="15.75" customHeight="1" spans="1: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ht="15.75" customHeight="1" spans="1: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ht="15.75" customHeight="1" spans="1: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ht="15.75" customHeight="1" spans="1: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ht="15.75" customHeight="1" spans="1: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ht="15.75" customHeight="1" spans="1: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ht="15.75" customHeight="1" spans="1: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ht="15.75" customHeight="1" spans="1: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ht="15.75" customHeight="1" spans="1: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ht="15.75" customHeight="1" spans="1: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ht="15.75" customHeight="1" spans="1: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ht="15.75" customHeight="1" spans="1: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ht="15.75" customHeight="1" spans="1: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ht="15.75" customHeight="1" spans="1: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ht="15.75" customHeight="1" spans="1: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ht="15.75" customHeight="1" spans="1: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ht="15.75" customHeight="1" spans="1: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ht="15.75" customHeight="1" spans="1: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ht="15.75" customHeight="1" spans="1: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ht="15.75" customHeight="1" spans="1: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ht="15.75" customHeight="1" spans="1: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ht="15.75" customHeight="1" spans="1: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ht="15.75" customHeight="1" spans="1: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ht="15.75" customHeight="1" spans="1: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ht="15.75" customHeight="1" spans="1: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ht="15.75" customHeight="1" spans="1: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ht="15.75" customHeight="1" spans="1: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ht="15.75" customHeight="1" spans="1: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ht="15.75" customHeight="1" spans="1: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ht="15.75" customHeight="1" spans="1: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ht="15.75" customHeight="1" spans="1: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ht="15.75" customHeight="1" spans="1: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ht="15.75" customHeight="1" spans="1: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ht="15.75" customHeight="1" spans="1: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ht="15.75" customHeight="1" spans="1: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ht="15.75" customHeight="1" spans="1: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ht="15.75" customHeight="1" spans="1: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ht="15.75" customHeight="1" spans="1: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ht="15.75" customHeight="1" spans="1: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ht="15.75" customHeight="1" spans="1: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ht="15.75" customHeight="1" spans="1: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ht="15.75" customHeight="1" spans="1: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ht="15.75" customHeight="1" spans="1: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ht="15.75" customHeight="1" spans="1: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ht="15.75" customHeight="1" spans="1: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ht="15.75" customHeight="1" spans="1: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ht="15.75" customHeight="1" spans="1: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ht="15.75" customHeight="1" spans="1: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ht="15.75" customHeight="1" spans="1: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ht="15.75" customHeight="1" spans="1: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ht="15.75" customHeight="1" spans="1: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ht="15.75" customHeight="1" spans="1: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ht="15.75" customHeight="1" spans="1: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ht="15.75" customHeight="1" spans="1: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ht="15.75" customHeight="1" spans="1: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ht="15.75" customHeight="1" spans="1: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ht="15.75" customHeight="1" spans="1: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ht="15.75" customHeight="1" spans="1: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ht="15.75" customHeight="1" spans="1: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ht="15.75" customHeight="1" spans="1: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ht="15.75" customHeight="1" spans="1: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ht="15.75" customHeight="1" spans="1: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ht="15.75" customHeight="1" spans="1: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ht="15.75" customHeight="1" spans="1: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ht="15.75" customHeight="1" spans="1: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ht="15.75" customHeight="1" spans="1: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ht="15.75" customHeight="1" spans="1: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ht="15.75" customHeight="1" spans="1: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ht="15.75" customHeight="1" spans="1: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ht="15.75" customHeight="1" spans="1: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ht="15.75" customHeight="1" spans="1: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ht="15.75" customHeight="1" spans="1: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ht="15.75" customHeight="1" spans="1: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ht="15.75" customHeight="1" spans="1: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ht="15.75" customHeight="1" spans="1: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ht="15.75" customHeight="1" spans="1: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ht="15.75" customHeight="1" spans="1: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ht="15.75" customHeight="1" spans="1: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ht="15.75" customHeight="1" spans="1: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ht="15.75" customHeight="1" spans="1: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ht="15.75" customHeight="1" spans="1: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ht="15.75" customHeight="1" spans="1: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ht="15.75" customHeight="1" spans="1: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ht="15.75" customHeight="1" spans="1: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ht="15.75" customHeight="1" spans="1: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ht="15.75" customHeight="1" spans="1: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ht="15.75" customHeight="1" spans="1: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ht="15.75" customHeight="1" spans="1: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ht="15.75" customHeight="1" spans="1: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ht="15.75" customHeight="1" spans="1: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ht="15.75" customHeight="1" spans="1: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ht="15.75" customHeight="1" spans="1: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ht="15.75" customHeight="1" spans="1: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ht="15.75" customHeight="1" spans="1: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ht="15.75" customHeight="1" spans="1: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ht="15.75" customHeight="1" spans="1: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ht="15.75" customHeight="1" spans="1: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ht="15.75" customHeight="1" spans="1: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ht="15.75" customHeight="1" spans="1: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ht="15.75" customHeight="1" spans="1: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ht="15.75" customHeight="1" spans="1: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ht="15.75" customHeight="1" spans="1: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ht="15.75" customHeight="1" spans="1: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ht="15.75" customHeight="1" spans="1: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ht="15.75" customHeight="1" spans="1: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ht="15.75" customHeight="1" spans="1: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ht="15.75" customHeight="1" spans="1: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ht="15.75" customHeight="1" spans="1: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ht="15.75" customHeight="1" spans="1: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ht="15.75" customHeight="1" spans="1: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ht="15.75" customHeight="1" spans="1: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ht="15.75" customHeight="1" spans="1: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ht="15.75" customHeight="1" spans="1: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ht="15.75" customHeight="1" spans="1: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ht="15.75" customHeight="1" spans="1: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ht="15.75" customHeight="1" spans="1: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ht="15.75" customHeight="1" spans="1: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ht="15.75" customHeight="1" spans="1: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ht="15.75" customHeight="1" spans="1: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ht="15.75" customHeight="1" spans="1: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ht="15.75" customHeight="1" spans="1: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ht="15.75" customHeight="1" spans="1: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ht="15.75" customHeight="1" spans="1: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ht="15.75" customHeight="1" spans="1: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ht="15.75" customHeight="1" spans="1: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ht="15.75" customHeight="1" spans="1: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ht="15.75" customHeight="1" spans="1: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ht="15.75" customHeight="1" spans="1: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ht="15.75" customHeight="1" spans="1: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ht="15.75" customHeight="1" spans="1: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ht="15.75" customHeight="1" spans="1: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ht="15.75" customHeight="1" spans="1: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ht="15.75" customHeight="1" spans="1: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ht="15.75" customHeight="1" spans="1: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ht="15.75" customHeight="1" spans="1: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ht="15.75" customHeight="1" spans="1: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ht="15.75" customHeight="1" spans="1: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ht="15.75" customHeight="1" spans="1: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ht="15.75" customHeight="1" spans="1: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ht="15.75" customHeight="1" spans="1: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ht="15.75" customHeight="1" spans="1: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ht="15.75" customHeight="1" spans="1: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ht="15.75" customHeight="1" spans="1: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ht="15.75" customHeight="1" spans="1: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ht="15.75" customHeight="1" spans="1: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ht="15.75" customHeight="1" spans="1: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ht="15.75" customHeight="1" spans="1: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ht="15.75" customHeight="1" spans="1: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ht="15.75" customHeight="1" spans="1: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ht="15.75" customHeight="1" spans="1: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ht="15.75" customHeight="1" spans="1: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ht="15.75" customHeight="1" spans="1: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ht="15.75" customHeight="1" spans="1: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ht="15.75" customHeight="1" spans="1: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ht="15.75" customHeight="1" spans="1: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ht="15.75" customHeight="1" spans="1: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ht="15.75" customHeight="1" spans="1: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ht="15.75" customHeight="1" spans="1: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ht="15.75" customHeight="1" spans="1: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ht="15.75" customHeight="1" spans="1: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ht="15.75" customHeight="1" spans="1: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ht="15.75" customHeight="1" spans="1: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ht="15.75" customHeight="1" spans="1: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ht="15.75" customHeight="1" spans="1: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ht="15.75" customHeight="1" spans="1: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ht="15.75" customHeight="1" spans="1: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ht="15.75" customHeight="1" spans="1: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ht="15.75" customHeight="1" spans="1: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ht="15.75" customHeight="1" spans="1: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ht="15.75" customHeight="1" spans="1: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ht="15.75" customHeight="1" spans="1: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ht="15.75" customHeight="1" spans="1: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ht="15.75" customHeight="1" spans="1: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ht="15.75" customHeight="1" spans="1: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ht="15.75" customHeight="1" spans="1: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ht="15.75" customHeight="1" spans="1: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ht="15.75" customHeight="1" spans="1: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ht="15.75" customHeight="1" spans="1: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ht="15.75" customHeight="1" spans="1: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ht="15.75" customHeight="1" spans="1: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ht="15.75" customHeight="1" spans="1: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ht="15.75" customHeight="1" spans="1: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ht="15.75" customHeight="1" spans="1: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ht="15.75" customHeight="1" spans="1: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ht="15.75" customHeight="1" spans="1: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ht="15.75" customHeight="1" spans="1: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ht="15.75" customHeight="1" spans="1: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ht="15.75" customHeight="1" spans="1: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ht="15.75" customHeight="1" spans="1: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ht="15.75" customHeight="1" spans="1: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ht="15.75" customHeight="1" spans="1: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ht="15.75" customHeight="1" spans="1: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ht="15.75" customHeight="1" spans="1: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ht="15.75" customHeight="1" spans="1: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ht="15.75" customHeight="1" spans="1: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ht="15.75" customHeight="1" spans="1: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ht="15.75" customHeight="1" spans="1: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ht="15.75" customHeight="1" spans="1: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ht="15.75" customHeight="1" spans="1: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ht="15.75" customHeight="1" spans="1: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ht="15.75" customHeight="1" spans="1: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ht="15.75" customHeight="1" spans="1: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ht="15.75" customHeight="1" spans="1: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ht="15.75" customHeight="1" spans="1: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ht="15.75" customHeight="1" spans="1: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ht="15.75" customHeight="1" spans="1: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ht="15.75" customHeight="1" spans="1: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ht="15.75" customHeight="1" spans="1: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ht="15.75" customHeight="1" spans="1: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ht="15.75" customHeight="1" spans="1: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ht="15.75" customHeight="1" spans="1: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ht="15.75" customHeight="1" spans="1: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ht="15.75" customHeight="1" spans="1: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ht="15.75" customHeight="1" spans="1: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ht="15.75" customHeight="1" spans="1: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ht="15.75" customHeight="1" spans="1: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ht="15.75" customHeight="1" spans="1: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ht="15.75" customHeight="1" spans="1: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ht="15.75" customHeight="1" spans="1: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ht="15.75" customHeight="1" spans="1: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ht="15.75" customHeight="1" spans="1: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ht="15.75" customHeight="1" spans="1: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ht="15.75" customHeight="1" spans="1: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ht="15.75" customHeight="1" spans="1: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ht="15.75" customHeight="1" spans="1: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ht="15.75" customHeight="1" spans="1: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ht="15.75" customHeight="1" spans="1: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ht="15.75" customHeight="1" spans="1: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ht="15.75" customHeight="1" spans="1: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ht="15.75" customHeight="1" spans="1: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ht="15.75" customHeight="1" spans="1: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ht="15.75" customHeight="1" spans="1: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ht="15.75" customHeight="1" spans="1: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ht="15.75" customHeight="1" spans="1: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ht="15.75" customHeight="1" spans="1: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ht="15.75" customHeight="1" spans="1: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ht="15.75" customHeight="1" spans="1: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ht="15.75" customHeight="1" spans="1: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ht="15.75" customHeight="1" spans="1: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ht="15.75" customHeight="1" spans="1: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ht="15.75" customHeight="1" spans="1: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ht="15.75" customHeight="1" spans="1: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ht="15.75" customHeight="1" spans="1: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ht="15.75" customHeight="1" spans="1: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ht="15.75" customHeight="1" spans="1: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ht="15.75" customHeight="1" spans="1: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ht="15.75" customHeight="1" spans="1: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ht="15.75" customHeight="1" spans="1: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ht="15.75" customHeight="1" spans="1: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ht="15.75" customHeight="1" spans="1: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ht="15.75" customHeight="1" spans="1: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ht="15.75" customHeight="1" spans="1: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ht="15.75" customHeight="1" spans="1: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ht="15.75" customHeight="1" spans="1: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ht="15.75" customHeight="1" spans="1: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ht="15.75" customHeight="1" spans="1: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ht="15.75" customHeight="1" spans="1: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ht="15.75" customHeight="1" spans="1: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ht="15.75" customHeight="1" spans="1: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ht="15.75" customHeight="1" spans="1: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ht="15.75" customHeight="1" spans="1: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ht="15.75" customHeight="1" spans="1: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ht="15.75" customHeight="1" spans="1: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ht="15.75" customHeight="1" spans="1: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ht="15.75" customHeight="1" spans="1: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ht="15.75" customHeight="1" spans="1: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ht="15.75" customHeight="1" spans="1: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ht="15.75" customHeight="1" spans="1: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ht="15.75" customHeight="1" spans="1: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ht="15.75" customHeight="1" spans="1: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ht="15.75" customHeight="1" spans="1: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ht="15.75" customHeight="1" spans="1: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ht="15.75" customHeight="1" spans="1: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ht="15.75" customHeight="1" spans="1: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ht="15.75" customHeight="1" spans="1: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ht="15.75" customHeight="1" spans="1: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ht="15.75" customHeight="1" spans="1: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ht="15.75" customHeight="1" spans="1: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ht="15.75" customHeight="1" spans="1: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ht="15.75" customHeight="1" spans="1: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ht="15.75" customHeight="1" spans="1: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ht="15.75" customHeight="1" spans="1: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ht="15.75" customHeight="1" spans="1: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ht="15.75" customHeight="1" spans="1: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ht="15.75" customHeight="1" spans="1: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ht="15.75" customHeight="1" spans="1: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ht="15.75" customHeight="1" spans="1: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ht="15.75" customHeight="1" spans="1: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ht="15.75" customHeight="1" spans="1: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ht="15.75" customHeight="1" spans="1: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ht="15.75" customHeight="1" spans="1: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ht="15.75" customHeight="1" spans="1: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ht="15.75" customHeight="1" spans="1: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ht="15.75" customHeight="1" spans="1: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ht="15.75" customHeight="1" spans="1: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ht="15.75" customHeight="1" spans="1: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ht="15.75" customHeight="1" spans="1: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ht="15.75" customHeight="1" spans="1: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ht="15.75" customHeight="1" spans="1: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ht="15.75" customHeight="1" spans="1: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ht="15.75" customHeight="1" spans="1: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ht="15.75" customHeight="1" spans="1: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ht="15.75" customHeight="1" spans="1: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ht="15.75" customHeight="1" spans="1: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ht="15.75" customHeight="1" spans="1: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ht="15.75" customHeight="1" spans="1: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ht="15.75" customHeight="1" spans="1: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ht="15.75" customHeight="1" spans="1: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ht="15.75" customHeight="1" spans="1: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ht="15.75" customHeight="1" spans="1: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ht="15.75" customHeight="1" spans="1: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ht="15.75" customHeight="1" spans="1: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ht="15.75" customHeight="1" spans="1: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ht="15.75" customHeight="1" spans="1: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ht="15.75" customHeight="1" spans="1: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ht="15.75" customHeight="1" spans="1: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ht="15.75" customHeight="1" spans="1: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ht="15.75" customHeight="1" spans="1: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ht="15.75" customHeight="1" spans="1: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ht="15.75" customHeight="1" spans="1: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ht="15.75" customHeight="1" spans="1: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ht="15.75" customHeight="1" spans="1: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ht="15.75" customHeight="1" spans="1: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ht="15.75" customHeight="1" spans="1: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ht="15.75" customHeight="1" spans="1: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ht="15.75" customHeight="1" spans="1: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ht="15.75" customHeight="1" spans="1: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ht="15.75" customHeight="1" spans="1: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ht="15.75" customHeight="1" spans="1: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ht="15.75" customHeight="1" spans="1: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ht="15.75" customHeight="1" spans="1: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ht="15.75" customHeight="1" spans="1: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ht="15.75" customHeight="1" spans="1: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ht="15.75" customHeight="1" spans="1: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ht="15.75" customHeight="1" spans="1: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ht="15.75" customHeight="1" spans="1: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ht="15.75" customHeight="1" spans="1: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ht="15.75" customHeight="1" spans="1: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ht="15.75" customHeight="1" spans="1: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ht="15.75" customHeight="1" spans="1: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ht="15.75" customHeight="1" spans="1: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ht="15.75" customHeight="1" spans="1: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ht="15.75" customHeight="1" spans="1: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ht="15.75" customHeight="1" spans="1: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ht="15.75" customHeight="1" spans="1: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ht="15.75" customHeight="1" spans="1: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ht="15.75" customHeight="1" spans="1: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ht="15.75" customHeight="1" spans="1: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ht="15.75" customHeight="1" spans="1: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ht="15.75" customHeight="1" spans="1: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ht="15.75" customHeight="1" spans="1: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ht="15.75" customHeight="1" spans="1: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ht="15.75" customHeight="1" spans="1: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ht="15.75" customHeight="1" spans="1: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ht="15.75" customHeight="1" spans="1: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ht="15.75" customHeight="1" spans="1: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ht="15.75" customHeight="1" spans="1: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ht="15.75" customHeight="1" spans="1: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ht="15.75" customHeight="1" spans="1: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ht="15.75" customHeight="1" spans="1: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ht="15.75" customHeight="1" spans="1: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ht="15.75" customHeight="1" spans="1: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ht="15.75" customHeight="1" spans="1: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ht="15.75" customHeight="1" spans="1: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ht="15.75" customHeight="1" spans="1: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ht="15.75" customHeight="1" spans="1: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ht="15.75" customHeight="1" spans="1: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ht="15.75" customHeight="1" spans="1: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ht="15.75" customHeight="1" spans="1: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ht="15.75" customHeight="1" spans="1: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ht="15.75" customHeight="1" spans="1: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ht="15.75" customHeight="1" spans="1: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ht="15.75" customHeight="1" spans="1: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ht="15.75" customHeight="1" spans="1: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ht="15.75" customHeight="1" spans="1: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ht="15.75" customHeight="1" spans="1: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ht="15.75" customHeight="1" spans="1: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ht="15.75" customHeight="1" spans="1: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ht="15.75" customHeight="1" spans="1: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ht="15.75" customHeight="1" spans="1: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ht="15.75" customHeight="1" spans="1: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ht="15.75" customHeight="1" spans="1: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ht="15.75" customHeight="1" spans="1: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ht="15.75" customHeight="1" spans="1: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ht="15.75" customHeight="1" spans="1: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ht="15.75" customHeight="1" spans="1: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ht="15.75" customHeight="1" spans="1: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ht="15.75" customHeight="1" spans="1: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ht="15.75" customHeight="1" spans="1: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ht="15.75" customHeight="1" spans="1: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ht="15.75" customHeight="1" spans="1: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ht="15.75" customHeight="1" spans="1: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ht="15.75" customHeight="1" spans="1: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ht="15.75" customHeight="1" spans="1: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ht="15.75" customHeight="1" spans="1: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ht="15.75" customHeight="1" spans="1: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ht="15.75" customHeight="1" spans="1: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ht="15.75" customHeight="1" spans="1: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ht="15.75" customHeight="1" spans="1: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ht="15.75" customHeight="1" spans="1: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ht="15.75" customHeight="1" spans="1: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ht="15.75" customHeight="1" spans="1: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ht="15.75" customHeight="1" spans="1: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ht="15.75" customHeight="1" spans="1: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ht="15.75" customHeight="1" spans="1: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ht="15.75" customHeight="1" spans="1: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ht="15.75" customHeight="1" spans="1: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ht="15.75" customHeight="1" spans="1: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ht="15.75" customHeight="1" spans="1: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ht="15.75" customHeight="1" spans="1: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ht="15.75" customHeight="1" spans="1: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ht="15.75" customHeight="1" spans="1: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ht="15.75" customHeight="1" spans="1: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ht="15.75" customHeight="1" spans="1: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ht="15.75" customHeight="1" spans="1: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ht="15.75" customHeight="1" spans="1: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ht="15.75" customHeight="1" spans="1: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ht="15.75" customHeight="1" spans="1: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ht="15.75" customHeight="1" spans="1: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ht="15.75" customHeight="1" spans="1: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ht="15.75" customHeight="1" spans="1: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ht="15.75" customHeight="1" spans="1: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ht="15.75" customHeight="1" spans="1: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ht="15.75" customHeight="1" spans="1: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ht="15.75" customHeight="1" spans="1: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ht="15.75" customHeight="1" spans="1: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ht="15.75" customHeight="1" spans="1: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ht="15.75" customHeight="1" spans="1: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ht="15.75" customHeight="1" spans="1: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ht="15.75" customHeight="1" spans="1: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ht="15.75" customHeight="1" spans="1: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ht="15.75" customHeight="1" spans="1: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ht="15.75" customHeight="1" spans="1: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ht="15.75" customHeight="1" spans="1: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ht="15.75" customHeight="1" spans="1: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ht="15.75" customHeight="1" spans="1: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ht="15.75" customHeight="1" spans="1: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ht="15.75" customHeight="1" spans="1: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ht="15.75" customHeight="1" spans="1: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ht="15.75" customHeight="1" spans="1: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ht="15.75" customHeight="1" spans="1: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ht="15.75" customHeight="1" spans="1: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ht="15.75" customHeight="1" spans="1: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ht="15.75" customHeight="1" spans="1: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ht="15.75" customHeight="1" spans="1: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ht="15.75" customHeight="1" spans="1: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sheetData>
  <pageMargins left="1" right="1" top="1" bottom="1" header="0" footer="0"/>
  <pageSetup paperSize="1" orientation="portrait"/>
  <headerFooter>
    <oddFooter>&amp;C000000&amp;P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20"/>
  <sheetViews>
    <sheetView tabSelected="1" topLeftCell="AP1" workbookViewId="0">
      <selection activeCell="BF1" sqref="BF1"/>
    </sheetView>
  </sheetViews>
  <sheetFormatPr defaultColWidth="11" defaultRowHeight="12.75"/>
  <cols>
    <col min="2" max="2" width="14.8571428571429" customWidth="1"/>
  </cols>
  <sheetData>
    <row r="1" ht="15.75" spans="1:67">
      <c r="A1" s="1" t="s">
        <v>116</v>
      </c>
      <c r="B1" s="2" t="s">
        <v>278</v>
      </c>
      <c r="C1" s="3" t="s">
        <v>229</v>
      </c>
      <c r="D1" s="4" t="s">
        <v>230</v>
      </c>
      <c r="E1" s="4" t="s">
        <v>231</v>
      </c>
      <c r="F1" s="4" t="s">
        <v>233</v>
      </c>
      <c r="G1" s="4" t="s">
        <v>234</v>
      </c>
      <c r="H1" s="4" t="s">
        <v>235</v>
      </c>
      <c r="I1" s="2"/>
      <c r="J1" s="12" t="s">
        <v>236</v>
      </c>
      <c r="K1" s="12" t="s">
        <v>237</v>
      </c>
      <c r="L1" s="2"/>
      <c r="M1" s="3" t="s">
        <v>238</v>
      </c>
      <c r="N1" s="12" t="s">
        <v>239</v>
      </c>
      <c r="O1" s="12" t="s">
        <v>240</v>
      </c>
      <c r="P1" s="12" t="s">
        <v>241</v>
      </c>
      <c r="Q1" s="12" t="s">
        <v>242</v>
      </c>
      <c r="R1" s="13"/>
      <c r="S1" s="3" t="s">
        <v>243</v>
      </c>
      <c r="T1" s="12" t="s">
        <v>244</v>
      </c>
      <c r="U1" s="12" t="s">
        <v>245</v>
      </c>
      <c r="V1" s="2"/>
      <c r="W1" s="3" t="s">
        <v>246</v>
      </c>
      <c r="X1" s="12" t="s">
        <v>247</v>
      </c>
      <c r="Y1" s="12" t="s">
        <v>248</v>
      </c>
      <c r="Z1" s="2"/>
      <c r="AA1" s="3" t="s">
        <v>249</v>
      </c>
      <c r="AB1" s="12" t="s">
        <v>250</v>
      </c>
      <c r="AC1" s="12" t="s">
        <v>252</v>
      </c>
      <c r="AD1" s="12" t="s">
        <v>253</v>
      </c>
      <c r="AE1" s="12" t="s">
        <v>254</v>
      </c>
      <c r="AF1" s="4" t="s">
        <v>255</v>
      </c>
      <c r="AG1" s="13"/>
      <c r="AH1" s="3" t="s">
        <v>256</v>
      </c>
      <c r="AI1" s="12" t="s">
        <v>257</v>
      </c>
      <c r="AJ1" s="12" t="s">
        <v>258</v>
      </c>
      <c r="AK1" s="2"/>
      <c r="AL1" s="3" t="s">
        <v>259</v>
      </c>
      <c r="AM1" s="12" t="s">
        <v>260</v>
      </c>
      <c r="AN1" s="12" t="s">
        <v>201</v>
      </c>
      <c r="AO1" s="12" t="s">
        <v>209</v>
      </c>
      <c r="AP1" s="2"/>
      <c r="AQ1" s="3" t="s">
        <v>261</v>
      </c>
      <c r="AR1" s="12" t="s">
        <v>262</v>
      </c>
      <c r="AS1" s="4" t="s">
        <v>263</v>
      </c>
      <c r="AT1" s="2"/>
      <c r="AU1" s="3" t="s">
        <v>131</v>
      </c>
      <c r="AV1" s="12" t="s">
        <v>264</v>
      </c>
      <c r="AW1" s="12" t="s">
        <v>265</v>
      </c>
      <c r="AX1" s="2"/>
      <c r="AY1" s="2"/>
      <c r="AZ1" s="3" t="s">
        <v>266</v>
      </c>
      <c r="BA1" s="12" t="s">
        <v>267</v>
      </c>
      <c r="BB1" s="12" t="s">
        <v>269</v>
      </c>
      <c r="BC1" s="12" t="s">
        <v>270</v>
      </c>
      <c r="BD1" s="12" t="s">
        <v>271</v>
      </c>
      <c r="BE1" s="2"/>
      <c r="BF1" s="15" t="s">
        <v>279</v>
      </c>
      <c r="BG1" s="16" t="s">
        <v>273</v>
      </c>
      <c r="BH1" s="16" t="s">
        <v>274</v>
      </c>
      <c r="BI1" s="17" t="s">
        <v>275</v>
      </c>
      <c r="BJ1" s="18">
        <v>0.4</v>
      </c>
      <c r="BK1" s="18">
        <v>0.2</v>
      </c>
      <c r="BL1" s="16" t="s">
        <v>276</v>
      </c>
      <c r="BM1" s="22" t="s">
        <v>277</v>
      </c>
      <c r="BN1" s="22" t="s">
        <v>42</v>
      </c>
      <c r="BO1" s="22" t="s">
        <v>43</v>
      </c>
    </row>
    <row r="2" ht="15.75" spans="1:67">
      <c r="A2" s="5">
        <f>EOMONTH(B2,0)</f>
        <v>45046</v>
      </c>
      <c r="B2" s="5">
        <v>45017</v>
      </c>
      <c r="C2" s="6">
        <f>SUM(D2:K2)</f>
        <v>150000</v>
      </c>
      <c r="D2" s="7">
        <f>20000+10000</f>
        <v>30000</v>
      </c>
      <c r="E2" s="7">
        <f>20000+10000</f>
        <v>30000</v>
      </c>
      <c r="F2" s="7">
        <f>20000+10000</f>
        <v>30000</v>
      </c>
      <c r="G2" s="7"/>
      <c r="H2" s="7"/>
      <c r="I2" s="7"/>
      <c r="J2" s="7">
        <f>20000+10000</f>
        <v>30000</v>
      </c>
      <c r="K2" s="7">
        <f>20000+10000</f>
        <v>30000</v>
      </c>
      <c r="L2" s="7"/>
      <c r="M2" s="6">
        <f>SUM(N2:R2)</f>
        <v>7000</v>
      </c>
      <c r="N2" s="7">
        <v>3500</v>
      </c>
      <c r="O2" s="7">
        <v>3500</v>
      </c>
      <c r="P2" s="7"/>
      <c r="Q2" s="7"/>
      <c r="R2" s="7"/>
      <c r="S2" s="6">
        <f>SUM(T2:V2)</f>
        <v>24000</v>
      </c>
      <c r="T2" s="7">
        <v>20000</v>
      </c>
      <c r="U2" s="7">
        <v>4000</v>
      </c>
      <c r="V2" s="7"/>
      <c r="W2" s="6">
        <f>SUM(X2:Z2)</f>
        <v>70500</v>
      </c>
      <c r="X2" s="7">
        <v>37000</v>
      </c>
      <c r="Y2" s="7">
        <v>33500</v>
      </c>
      <c r="Z2" s="7"/>
      <c r="AA2" s="6">
        <f>SUM(AB2:AG2)</f>
        <v>133500</v>
      </c>
      <c r="AB2" s="7">
        <v>28500</v>
      </c>
      <c r="AC2" s="7">
        <v>30000</v>
      </c>
      <c r="AD2" s="7">
        <v>35000</v>
      </c>
      <c r="AE2" s="7">
        <v>40000</v>
      </c>
      <c r="AF2" s="7"/>
      <c r="AG2" s="7"/>
      <c r="AH2" s="6">
        <f>SUM(AI2:AK2)</f>
        <v>45000</v>
      </c>
      <c r="AI2" s="7">
        <v>37000</v>
      </c>
      <c r="AJ2" s="7">
        <v>8000</v>
      </c>
      <c r="AK2" s="7"/>
      <c r="AL2" s="6">
        <f>SUM(AM2:AP2)</f>
        <v>40000</v>
      </c>
      <c r="AM2" s="7">
        <v>30000</v>
      </c>
      <c r="AN2" s="7">
        <v>10000</v>
      </c>
      <c r="AO2" s="7"/>
      <c r="AP2" s="7"/>
      <c r="AQ2" s="6">
        <f>SUM(AR2:AT2)</f>
        <v>60000</v>
      </c>
      <c r="AR2" s="7">
        <v>60000</v>
      </c>
      <c r="AS2" s="7"/>
      <c r="AT2" s="7"/>
      <c r="AU2" s="6"/>
      <c r="AV2" s="7"/>
      <c r="AW2" s="7"/>
      <c r="AX2" s="7"/>
      <c r="AY2" s="7"/>
      <c r="AZ2" s="6">
        <f>SUM(BA2:BE2)</f>
        <v>19500</v>
      </c>
      <c r="BA2" s="7">
        <v>10000</v>
      </c>
      <c r="BB2" s="7"/>
      <c r="BC2" s="7">
        <v>9500</v>
      </c>
      <c r="BD2" s="2"/>
      <c r="BE2" s="2"/>
      <c r="BF2" s="19">
        <f>C2+M2+S2+W2+AA2+AH2+AL2+AQ2+AZ2+AU2</f>
        <v>549500</v>
      </c>
      <c r="BG2" s="20"/>
      <c r="BH2" s="20" t="e">
        <f>BF2/'AVRIL 23'!M7</f>
        <v>#DIV/0!</v>
      </c>
      <c r="BI2" s="7">
        <f>(BF2-W2-AA2-S2)</f>
        <v>321500</v>
      </c>
      <c r="BJ2" s="7">
        <f>BI2*$BJ$1</f>
        <v>128600</v>
      </c>
      <c r="BK2" s="7">
        <f>BI2*$BK$1</f>
        <v>64300</v>
      </c>
      <c r="BL2" s="2"/>
      <c r="BM2" s="7">
        <f>BJ2+W2</f>
        <v>199100</v>
      </c>
      <c r="BN2" s="7">
        <f>BJ2+AA2</f>
        <v>262100</v>
      </c>
      <c r="BO2" s="7">
        <f>BK2+S2</f>
        <v>88300</v>
      </c>
    </row>
    <row r="3" ht="15.75" spans="1:67">
      <c r="A3" s="1" t="s">
        <v>40</v>
      </c>
      <c r="B3" s="2"/>
      <c r="C3" s="8">
        <f>C2/$BF$2</f>
        <v>0.272975432211101</v>
      </c>
      <c r="D3" s="7"/>
      <c r="E3" s="9"/>
      <c r="F3" s="7"/>
      <c r="G3" s="7"/>
      <c r="H3" s="7"/>
      <c r="I3" s="7"/>
      <c r="J3" s="7"/>
      <c r="K3" s="7"/>
      <c r="L3" s="7"/>
      <c r="M3" s="8">
        <f>M2/$BF$2</f>
        <v>0.0127388535031847</v>
      </c>
      <c r="N3" s="7"/>
      <c r="O3" s="7"/>
      <c r="P3" s="7"/>
      <c r="Q3" s="7"/>
      <c r="R3" s="7"/>
      <c r="S3" s="8">
        <f>S2/$BF$2</f>
        <v>0.0436760691537762</v>
      </c>
      <c r="T3" s="7"/>
      <c r="U3" s="7"/>
      <c r="V3" s="7"/>
      <c r="W3" s="8">
        <f>W2/$BF$2</f>
        <v>0.128298453139217</v>
      </c>
      <c r="X3" s="7"/>
      <c r="Y3" s="7"/>
      <c r="Z3" s="7"/>
      <c r="AA3" s="8">
        <f>AA2/$BF$2</f>
        <v>0.24294813466788</v>
      </c>
      <c r="AB3" s="7"/>
      <c r="AC3" s="7"/>
      <c r="AD3" s="7"/>
      <c r="AE3" s="7"/>
      <c r="AF3" s="7"/>
      <c r="AG3" s="7"/>
      <c r="AH3" s="8">
        <f>AH2/$BF$2</f>
        <v>0.0818926296633303</v>
      </c>
      <c r="AI3" s="7"/>
      <c r="AJ3" s="7"/>
      <c r="AK3" s="7"/>
      <c r="AL3" s="8">
        <f>AL2/$BF$2</f>
        <v>0.0727934485896269</v>
      </c>
      <c r="AM3" s="7"/>
      <c r="AN3" s="7"/>
      <c r="AO3" s="7"/>
      <c r="AP3" s="7"/>
      <c r="AQ3" s="8">
        <f>AQ2/$BF$2</f>
        <v>0.10919017288444</v>
      </c>
      <c r="AR3" s="7"/>
      <c r="AS3" s="7"/>
      <c r="AT3" s="7"/>
      <c r="AU3" s="8"/>
      <c r="AV3" s="7"/>
      <c r="AW3" s="7"/>
      <c r="AX3" s="7"/>
      <c r="AY3" s="7"/>
      <c r="AZ3" s="8">
        <f>AZ2/$BF$2</f>
        <v>0.0354868061874431</v>
      </c>
      <c r="BA3" s="9"/>
      <c r="BB3" s="7"/>
      <c r="BC3" s="7"/>
      <c r="BD3" s="7"/>
      <c r="BE3" s="2"/>
      <c r="BF3" s="19"/>
      <c r="BG3" s="20"/>
      <c r="BH3" s="20"/>
      <c r="BI3" s="2"/>
      <c r="BJ3" s="2"/>
      <c r="BK3" s="2"/>
      <c r="BL3" s="2"/>
      <c r="BM3" s="23">
        <f>BM2/BF2</f>
        <v>0.362329390354868</v>
      </c>
      <c r="BN3" s="23">
        <f>BN2/$BF$2</f>
        <v>0.476979071883531</v>
      </c>
      <c r="BO3" s="23">
        <f>BO2/$BF$2</f>
        <v>0.160691537761601</v>
      </c>
    </row>
    <row r="4" ht="15.75" spans="1:67">
      <c r="A4" s="5">
        <f>EOMONTH(B4,0)</f>
        <v>45077</v>
      </c>
      <c r="B4" s="5">
        <v>45047</v>
      </c>
      <c r="C4" s="6">
        <f>SUM(D4:K4)</f>
        <v>240000</v>
      </c>
      <c r="D4" s="7">
        <v>60000</v>
      </c>
      <c r="E4" s="10" t="s">
        <v>232</v>
      </c>
      <c r="F4" s="7">
        <v>60000</v>
      </c>
      <c r="G4" s="7"/>
      <c r="H4" s="7"/>
      <c r="I4" s="7"/>
      <c r="J4" s="7">
        <v>60000</v>
      </c>
      <c r="K4" s="7">
        <v>60000</v>
      </c>
      <c r="L4" s="7"/>
      <c r="M4" s="6">
        <f>SUM(N4:R4)</f>
        <v>36000</v>
      </c>
      <c r="N4" s="7">
        <v>10000</v>
      </c>
      <c r="O4" s="7">
        <v>10000</v>
      </c>
      <c r="P4" s="7"/>
      <c r="Q4" s="7">
        <v>16000</v>
      </c>
      <c r="R4" s="7"/>
      <c r="S4" s="6">
        <f>SUM(T4:V4)</f>
        <v>84000</v>
      </c>
      <c r="T4" s="7">
        <v>60000</v>
      </c>
      <c r="U4" s="7">
        <f>12000*2</f>
        <v>24000</v>
      </c>
      <c r="V4" s="7"/>
      <c r="W4" s="6">
        <f>SUM(X4:Z4)</f>
        <v>150000</v>
      </c>
      <c r="X4" s="7">
        <v>80000</v>
      </c>
      <c r="Y4" s="7">
        <v>70000</v>
      </c>
      <c r="Z4" s="7"/>
      <c r="AA4" s="6">
        <f>SUM(AB4:AG4)</f>
        <v>280000</v>
      </c>
      <c r="AB4" s="7">
        <v>55000</v>
      </c>
      <c r="AC4" s="7">
        <v>60000</v>
      </c>
      <c r="AD4" s="7">
        <v>75000</v>
      </c>
      <c r="AE4" s="7">
        <v>90000</v>
      </c>
      <c r="AF4" s="7"/>
      <c r="AG4" s="7"/>
      <c r="AH4" s="6">
        <f>SUM(AI4:AK4)</f>
        <v>104000</v>
      </c>
      <c r="AI4" s="7">
        <v>80000</v>
      </c>
      <c r="AJ4" s="7">
        <v>24000</v>
      </c>
      <c r="AK4" s="7"/>
      <c r="AL4" s="6">
        <f>SUM(AM4:AP4)</f>
        <v>120000</v>
      </c>
      <c r="AM4" s="7">
        <v>90000</v>
      </c>
      <c r="AN4" s="7">
        <v>30000</v>
      </c>
      <c r="AO4" s="7"/>
      <c r="AP4" s="7"/>
      <c r="AQ4" s="6">
        <f>SUM(AR4:AT4)</f>
        <v>250000</v>
      </c>
      <c r="AR4" s="7">
        <f>150000+50000</f>
        <v>200000</v>
      </c>
      <c r="AS4" s="7">
        <v>50000</v>
      </c>
      <c r="AT4" s="7"/>
      <c r="AU4" s="6">
        <f>SUM(AV4:AX4)</f>
        <v>50000</v>
      </c>
      <c r="AV4" s="7">
        <v>50000</v>
      </c>
      <c r="AW4" s="7"/>
      <c r="AX4" s="7"/>
      <c r="AY4" s="7"/>
      <c r="AZ4" s="6">
        <f>SUM(BA4:BE4)</f>
        <v>85000</v>
      </c>
      <c r="BA4" s="10" t="s">
        <v>268</v>
      </c>
      <c r="BB4" s="7"/>
      <c r="BC4" s="7">
        <v>30000</v>
      </c>
      <c r="BD4" s="7">
        <f>40000+15000</f>
        <v>55000</v>
      </c>
      <c r="BE4" s="2"/>
      <c r="BF4" s="19">
        <f>C4+M4+S4+W4+AA4+AH4+AL4+AQ4+AZ4+AU4</f>
        <v>1399000</v>
      </c>
      <c r="BG4" s="20">
        <f>BF4/BF2-1</f>
        <v>1.5459508644222</v>
      </c>
      <c r="BH4" s="20" t="e">
        <f>BF4/'MAI 23'!AH7</f>
        <v>#DIV/0!</v>
      </c>
      <c r="BI4" s="7">
        <f>(BF4-W4-AA4-S4)</f>
        <v>885000</v>
      </c>
      <c r="BJ4" s="7">
        <f>BI4*$BJ$1</f>
        <v>354000</v>
      </c>
      <c r="BK4" s="7">
        <f>BI4*$BK$1</f>
        <v>177000</v>
      </c>
      <c r="BL4" s="2"/>
      <c r="BM4" s="7">
        <f>BJ4+W4</f>
        <v>504000</v>
      </c>
      <c r="BN4" s="7">
        <f>BJ4+AA4</f>
        <v>634000</v>
      </c>
      <c r="BO4" s="7">
        <f>BK4+S4</f>
        <v>261000</v>
      </c>
    </row>
    <row r="5" ht="15" spans="1:67">
      <c r="A5" s="1" t="s">
        <v>40</v>
      </c>
      <c r="B5" s="2"/>
      <c r="C5" s="8">
        <f>C4/$BF$4</f>
        <v>0.171551107934239</v>
      </c>
      <c r="D5" s="2"/>
      <c r="E5" s="2"/>
      <c r="F5" s="2"/>
      <c r="G5" s="2"/>
      <c r="H5" s="2"/>
      <c r="I5" s="2"/>
      <c r="J5" s="2"/>
      <c r="K5" s="2"/>
      <c r="L5" s="2"/>
      <c r="M5" s="8">
        <f>M4/$BF$4</f>
        <v>0.0257326661901358</v>
      </c>
      <c r="N5" s="2"/>
      <c r="O5" s="2"/>
      <c r="P5" s="2"/>
      <c r="Q5" s="2"/>
      <c r="R5" s="2"/>
      <c r="S5" s="8">
        <f>S4/$BF$4</f>
        <v>0.0600428877769836</v>
      </c>
      <c r="T5" s="2"/>
      <c r="U5" s="2"/>
      <c r="V5" s="2"/>
      <c r="W5" s="8">
        <f>W4/$BF$4</f>
        <v>0.107219442458899</v>
      </c>
      <c r="X5" s="2"/>
      <c r="Y5" s="2"/>
      <c r="Z5" s="2"/>
      <c r="AA5" s="8">
        <f>AA4/$BF$4</f>
        <v>0.200142959256612</v>
      </c>
      <c r="AB5" s="2"/>
      <c r="AC5" s="2"/>
      <c r="AD5" s="2"/>
      <c r="AE5" s="2"/>
      <c r="AF5" s="2"/>
      <c r="AG5" s="2"/>
      <c r="AH5" s="8">
        <f>AH4/$BF$4</f>
        <v>0.0743388134381701</v>
      </c>
      <c r="AI5" s="2"/>
      <c r="AJ5" s="2"/>
      <c r="AK5" s="2"/>
      <c r="AL5" s="8">
        <f>AL4/$BF$4</f>
        <v>0.0857755539671194</v>
      </c>
      <c r="AM5" s="2"/>
      <c r="AN5" s="2"/>
      <c r="AO5" s="2"/>
      <c r="AP5" s="2"/>
      <c r="AQ5" s="8">
        <f>AQ4/$BF$4</f>
        <v>0.178699070764832</v>
      </c>
      <c r="AR5" s="2"/>
      <c r="AS5" s="2"/>
      <c r="AT5" s="2"/>
      <c r="AU5" s="8"/>
      <c r="AV5" s="2"/>
      <c r="AW5" s="2"/>
      <c r="AX5" s="2"/>
      <c r="AY5" s="2"/>
      <c r="AZ5" s="8">
        <f>AZ4/$BF$4</f>
        <v>0.0607576840600429</v>
      </c>
      <c r="BA5" s="2"/>
      <c r="BB5" s="2"/>
      <c r="BC5" s="2"/>
      <c r="BD5" s="2"/>
      <c r="BE5" s="2"/>
      <c r="BF5" s="21"/>
      <c r="BG5" s="2"/>
      <c r="BH5" s="2"/>
      <c r="BI5" s="2"/>
      <c r="BJ5" s="2"/>
      <c r="BK5" s="2"/>
      <c r="BL5" s="2"/>
      <c r="BM5" s="23">
        <f>BM4/BF4</f>
        <v>0.360257326661901</v>
      </c>
      <c r="BN5" s="23">
        <f>BN4/$BF$4</f>
        <v>0.453180843459614</v>
      </c>
      <c r="BO5" s="23">
        <f>BO4/$BF$4</f>
        <v>0.186561829878485</v>
      </c>
    </row>
    <row r="6" ht="15.75" spans="1:67">
      <c r="A6" s="5">
        <f>EOMONTH(B6,0)</f>
        <v>45107</v>
      </c>
      <c r="B6" s="5">
        <v>45078</v>
      </c>
      <c r="C6" s="6">
        <f>SUM(D6:K6)</f>
        <v>327000</v>
      </c>
      <c r="D6" s="7">
        <f>60000+10000</f>
        <v>70000</v>
      </c>
      <c r="E6" s="10" t="s">
        <v>232</v>
      </c>
      <c r="F6" s="7">
        <f>60000+10000</f>
        <v>70000</v>
      </c>
      <c r="G6" s="7">
        <f>40000+7000</f>
        <v>47000</v>
      </c>
      <c r="H6" s="7"/>
      <c r="I6" s="7"/>
      <c r="J6" s="7">
        <f>60000+10000</f>
        <v>70000</v>
      </c>
      <c r="K6" s="7">
        <f>60000+10000</f>
        <v>70000</v>
      </c>
      <c r="L6" s="2"/>
      <c r="M6" s="6">
        <f>SUM(N6:R6)</f>
        <v>86000</v>
      </c>
      <c r="N6" s="7">
        <f>10000+2500</f>
        <v>12500</v>
      </c>
      <c r="O6" s="7">
        <f>10000+2500</f>
        <v>12500</v>
      </c>
      <c r="P6" s="7">
        <f>70000*50%+5000</f>
        <v>40000</v>
      </c>
      <c r="Q6" s="7">
        <v>21000</v>
      </c>
      <c r="R6" s="2"/>
      <c r="S6" s="6">
        <f>SUM(T6:V6)</f>
        <v>98000</v>
      </c>
      <c r="T6" s="7">
        <f>60000+10000</f>
        <v>70000</v>
      </c>
      <c r="U6" s="7">
        <f>12000*2+4000</f>
        <v>28000</v>
      </c>
      <c r="V6" s="2"/>
      <c r="W6" s="6">
        <f>SUM(X6:Z6)</f>
        <v>170000</v>
      </c>
      <c r="X6" s="7">
        <f>80000+10000</f>
        <v>90000</v>
      </c>
      <c r="Y6" s="7">
        <f>70000+10000</f>
        <v>80000</v>
      </c>
      <c r="Z6" s="2"/>
      <c r="AA6" s="6">
        <f>SUM(AB6:AG6)</f>
        <v>315000</v>
      </c>
      <c r="AB6" s="7">
        <f>55000</f>
        <v>55000</v>
      </c>
      <c r="AC6" s="7">
        <f>60000+10000</f>
        <v>70000</v>
      </c>
      <c r="AD6" s="7">
        <f>75000+10000</f>
        <v>85000</v>
      </c>
      <c r="AE6" s="7">
        <f>90000+15000</f>
        <v>105000</v>
      </c>
      <c r="AF6" s="2"/>
      <c r="AG6" s="2"/>
      <c r="AH6" s="6">
        <f>SUM(AI6:AK6)</f>
        <v>125000</v>
      </c>
      <c r="AI6" s="7">
        <f>80000+15000</f>
        <v>95000</v>
      </c>
      <c r="AJ6" s="7">
        <f>24000+6000</f>
        <v>30000</v>
      </c>
      <c r="AK6" s="2"/>
      <c r="AL6" s="6">
        <f>SUM(AM6:AP6)</f>
        <v>140000</v>
      </c>
      <c r="AM6" s="7">
        <f>90000+10000</f>
        <v>100000</v>
      </c>
      <c r="AN6" s="7">
        <f>30000+10000</f>
        <v>40000</v>
      </c>
      <c r="AO6" s="2"/>
      <c r="AP6" s="2"/>
      <c r="AQ6" s="6">
        <f>SUM(AR6:AT6)</f>
        <v>255000</v>
      </c>
      <c r="AR6" s="7">
        <f>150000+50000+30000</f>
        <v>230000</v>
      </c>
      <c r="AS6" s="7">
        <v>25000</v>
      </c>
      <c r="AT6" s="2"/>
      <c r="AU6" s="6">
        <f>SUM(AV6:AX6)</f>
        <v>100000</v>
      </c>
      <c r="AV6" s="7">
        <v>100000</v>
      </c>
      <c r="AW6" s="2"/>
      <c r="AX6" s="2"/>
      <c r="AY6" s="2"/>
      <c r="AZ6" s="6">
        <f>SUM(BA6:BE6)</f>
        <v>120000</v>
      </c>
      <c r="BA6" s="9"/>
      <c r="BB6" s="7">
        <f>60000-8000</f>
        <v>52000</v>
      </c>
      <c r="BC6" s="7">
        <v>28000</v>
      </c>
      <c r="BD6" s="7">
        <v>40000</v>
      </c>
      <c r="BE6" s="2"/>
      <c r="BF6" s="19">
        <f>C6+M6+S6+W6+AA6+AH6+AL6+AQ6+AZ6+AU6</f>
        <v>1736000</v>
      </c>
      <c r="BG6" s="20">
        <f>BF6/BF4-1</f>
        <v>0.240886347390993</v>
      </c>
      <c r="BH6" s="20" t="e">
        <f>BF6/'JUIN 23'!AG3</f>
        <v>#DIV/0!</v>
      </c>
      <c r="BI6" s="7">
        <f>(BF6-W6-AA6-S6)</f>
        <v>1153000</v>
      </c>
      <c r="BJ6" s="7">
        <f>BI6*$BJ$1</f>
        <v>461200</v>
      </c>
      <c r="BK6" s="7">
        <f>BI6*$BK$1</f>
        <v>230600</v>
      </c>
      <c r="BL6" s="2"/>
      <c r="BM6" s="7">
        <f>BJ6+W6</f>
        <v>631200</v>
      </c>
      <c r="BN6" s="7">
        <f>BJ6+AA6</f>
        <v>776200</v>
      </c>
      <c r="BO6" s="7">
        <f>BK6+S6</f>
        <v>328600</v>
      </c>
    </row>
    <row r="7" ht="15" spans="1:67">
      <c r="A7" s="1" t="s">
        <v>40</v>
      </c>
      <c r="B7" s="2"/>
      <c r="C7" s="8">
        <f>C6/$BF$6</f>
        <v>0.188364055299539</v>
      </c>
      <c r="D7" s="2"/>
      <c r="E7" s="2"/>
      <c r="F7" s="2"/>
      <c r="G7" s="2"/>
      <c r="H7" s="2"/>
      <c r="I7" s="2"/>
      <c r="J7" s="2"/>
      <c r="K7" s="2"/>
      <c r="L7" s="2"/>
      <c r="M7" s="8">
        <f>M6/$BF$6</f>
        <v>0.0495391705069124</v>
      </c>
      <c r="N7" s="2"/>
      <c r="O7" s="2"/>
      <c r="P7" s="2"/>
      <c r="Q7" s="2"/>
      <c r="R7" s="2"/>
      <c r="S7" s="8">
        <f>S6/$BF$6</f>
        <v>0.0564516129032258</v>
      </c>
      <c r="T7" s="2"/>
      <c r="U7" s="2"/>
      <c r="V7" s="2"/>
      <c r="W7" s="8">
        <f>W6/$BF$6</f>
        <v>0.097926267281106</v>
      </c>
      <c r="X7" s="2"/>
      <c r="Y7" s="2"/>
      <c r="Z7" s="2"/>
      <c r="AA7" s="8">
        <f>AA6/$BF$6</f>
        <v>0.181451612903226</v>
      </c>
      <c r="AB7" s="2"/>
      <c r="AC7" s="2"/>
      <c r="AD7" s="2"/>
      <c r="AE7" s="2"/>
      <c r="AF7" s="2"/>
      <c r="AG7" s="2"/>
      <c r="AH7" s="8">
        <f>AH6/$BF$6</f>
        <v>0.0720046082949309</v>
      </c>
      <c r="AI7" s="2"/>
      <c r="AJ7" s="2"/>
      <c r="AK7" s="2"/>
      <c r="AL7" s="8">
        <f>AL6/$BF$6</f>
        <v>0.0806451612903226</v>
      </c>
      <c r="AM7" s="2"/>
      <c r="AN7" s="2"/>
      <c r="AO7" s="2"/>
      <c r="AP7" s="2"/>
      <c r="AQ7" s="8">
        <f>AQ6/$BF$6</f>
        <v>0.146889400921659</v>
      </c>
      <c r="AR7" s="2"/>
      <c r="AS7" s="2"/>
      <c r="AT7" s="2"/>
      <c r="AU7" s="8">
        <f>AU6/$BF$6</f>
        <v>0.0576036866359447</v>
      </c>
      <c r="AV7" s="2"/>
      <c r="AW7" s="2"/>
      <c r="AX7" s="2"/>
      <c r="AY7" s="2"/>
      <c r="AZ7" s="8">
        <f>AZ6/$BF$6</f>
        <v>0.0691244239631336</v>
      </c>
      <c r="BA7" s="2"/>
      <c r="BB7" s="2"/>
      <c r="BC7" s="2"/>
      <c r="BD7" s="2"/>
      <c r="BE7" s="2"/>
      <c r="BF7" s="21"/>
      <c r="BG7" s="2"/>
      <c r="BH7" s="2"/>
      <c r="BI7" s="2"/>
      <c r="BJ7" s="2"/>
      <c r="BK7" s="2"/>
      <c r="BL7" s="2"/>
      <c r="BM7" s="23">
        <f>BM6/BF6</f>
        <v>0.363594470046083</v>
      </c>
      <c r="BN7" s="23">
        <f>BN6/$BF$6</f>
        <v>0.447119815668203</v>
      </c>
      <c r="BO7" s="23">
        <f>BO6/$BF$6</f>
        <v>0.189285714285714</v>
      </c>
    </row>
    <row r="8" ht="15.75" spans="1:67">
      <c r="A8" s="5">
        <f>EOMONTH(B8,0)</f>
        <v>45138</v>
      </c>
      <c r="B8" s="5">
        <v>45108</v>
      </c>
      <c r="C8" s="6">
        <f>SUM(D8:K8)</f>
        <v>293500</v>
      </c>
      <c r="D8" s="7">
        <f>60000+10000</f>
        <v>70000</v>
      </c>
      <c r="E8" s="10" t="s">
        <v>232</v>
      </c>
      <c r="F8" s="7">
        <v>60000</v>
      </c>
      <c r="G8" s="10" t="s">
        <v>232</v>
      </c>
      <c r="H8" s="7">
        <f>23500</f>
        <v>23500</v>
      </c>
      <c r="I8" s="2"/>
      <c r="J8" s="7">
        <f>J6</f>
        <v>70000</v>
      </c>
      <c r="K8" s="7">
        <f>K6</f>
        <v>70000</v>
      </c>
      <c r="L8" s="2"/>
      <c r="M8" s="6">
        <f>SUM(N8:R8)</f>
        <v>121000</v>
      </c>
      <c r="N8" s="7">
        <v>10000</v>
      </c>
      <c r="O8" s="7">
        <v>10000</v>
      </c>
      <c r="P8" s="7">
        <f>70000+10000</f>
        <v>80000</v>
      </c>
      <c r="Q8" s="7">
        <f>Q6</f>
        <v>21000</v>
      </c>
      <c r="R8" s="2"/>
      <c r="S8" s="6">
        <f>SUM(T8:V8)</f>
        <v>98000</v>
      </c>
      <c r="T8" s="7">
        <f>T6</f>
        <v>70000</v>
      </c>
      <c r="U8" s="7">
        <f>U6</f>
        <v>28000</v>
      </c>
      <c r="V8" s="2"/>
      <c r="W8" s="6">
        <f>SUM(X8:Z8)</f>
        <v>170000</v>
      </c>
      <c r="X8" s="7">
        <f>X6</f>
        <v>90000</v>
      </c>
      <c r="Y8" s="7">
        <f>Y6</f>
        <v>80000</v>
      </c>
      <c r="Z8" s="2"/>
      <c r="AA8" s="6">
        <f>SUM(AB8:AG8)</f>
        <v>300000</v>
      </c>
      <c r="AB8" s="10" t="s">
        <v>251</v>
      </c>
      <c r="AC8" s="7">
        <f>AC6</f>
        <v>70000</v>
      </c>
      <c r="AD8" s="7">
        <f>AD6</f>
        <v>85000</v>
      </c>
      <c r="AE8" s="7">
        <v>100000</v>
      </c>
      <c r="AF8" s="7">
        <v>45000</v>
      </c>
      <c r="AG8" s="7"/>
      <c r="AH8" s="6">
        <f>SUM(AI8:AK8)</f>
        <v>125000</v>
      </c>
      <c r="AI8" s="7">
        <f>AI6</f>
        <v>95000</v>
      </c>
      <c r="AJ8" s="7">
        <f>AJ6</f>
        <v>30000</v>
      </c>
      <c r="AK8" s="14"/>
      <c r="AL8" s="6">
        <f>SUM(AM8:AO8)</f>
        <v>140000</v>
      </c>
      <c r="AM8" s="7">
        <v>75000</v>
      </c>
      <c r="AN8" s="7">
        <f>AN6</f>
        <v>40000</v>
      </c>
      <c r="AO8" s="7">
        <v>25000</v>
      </c>
      <c r="AP8" s="2"/>
      <c r="AQ8" s="6">
        <f>SUM(AR8:AT8)</f>
        <v>310000</v>
      </c>
      <c r="AR8" s="7">
        <f>AR6+10000</f>
        <v>240000</v>
      </c>
      <c r="AS8" s="7">
        <f>50000+20000</f>
        <v>70000</v>
      </c>
      <c r="AT8" s="2"/>
      <c r="AU8" s="6">
        <f>SUM(AV8:AX8)</f>
        <v>124000</v>
      </c>
      <c r="AV8" s="7">
        <f>AV6</f>
        <v>100000</v>
      </c>
      <c r="AW8" s="7">
        <v>24000</v>
      </c>
      <c r="AX8" s="7"/>
      <c r="AY8" s="7"/>
      <c r="AZ8" s="6">
        <f>SUM(BA8:BE8)</f>
        <v>128000</v>
      </c>
      <c r="BA8" s="2"/>
      <c r="BB8" s="7">
        <v>60000</v>
      </c>
      <c r="BC8" s="7">
        <f>BC6</f>
        <v>28000</v>
      </c>
      <c r="BD8" s="7">
        <v>40000</v>
      </c>
      <c r="BE8" s="2"/>
      <c r="BF8" s="19">
        <f>C8+M8+S8+W8+AA8+AH8+AL8+AQ8+AZ8+AU8</f>
        <v>1809500</v>
      </c>
      <c r="BG8" s="20">
        <f>BF8/BF6-1</f>
        <v>0.0423387096774193</v>
      </c>
      <c r="BH8" s="20" t="e">
        <f>BF8/'JUILLET 23'!AH3</f>
        <v>#DIV/0!</v>
      </c>
      <c r="BI8" s="7">
        <f>(BF8-W8-AA8-S8)</f>
        <v>1241500</v>
      </c>
      <c r="BJ8" s="7">
        <f>BI8*$BJ$1</f>
        <v>496600</v>
      </c>
      <c r="BK8" s="7">
        <f>BI8*$BK$1</f>
        <v>248300</v>
      </c>
      <c r="BL8" s="2"/>
      <c r="BM8" s="7">
        <f t="shared" ref="BM8:BM20" si="0">BI8+C8</f>
        <v>1535000</v>
      </c>
      <c r="BN8" s="7">
        <f>BJ8+AA8</f>
        <v>796600</v>
      </c>
      <c r="BO8" s="7">
        <f>BK8+S8</f>
        <v>346300</v>
      </c>
    </row>
    <row r="9" ht="15" spans="1:67">
      <c r="A9" s="1" t="s">
        <v>40</v>
      </c>
      <c r="B9" s="2"/>
      <c r="C9" s="8">
        <f>C8/$BF$6</f>
        <v>0.169066820276498</v>
      </c>
      <c r="D9" s="2"/>
      <c r="E9" s="2"/>
      <c r="F9" s="2"/>
      <c r="G9" s="2"/>
      <c r="H9" s="2"/>
      <c r="I9" s="2"/>
      <c r="J9" s="2"/>
      <c r="K9" s="2"/>
      <c r="L9" s="2"/>
      <c r="M9" s="8">
        <f>M8/$BF$6</f>
        <v>0.0697004608294931</v>
      </c>
      <c r="N9" s="2"/>
      <c r="O9" s="2"/>
      <c r="P9" s="2"/>
      <c r="Q9" s="2"/>
      <c r="R9" s="2"/>
      <c r="S9" s="8">
        <f>S8/$BF$6</f>
        <v>0.0564516129032258</v>
      </c>
      <c r="T9" s="2"/>
      <c r="U9" s="2"/>
      <c r="V9" s="2"/>
      <c r="W9" s="11"/>
      <c r="X9" s="2"/>
      <c r="Y9" s="2"/>
      <c r="Z9" s="2"/>
      <c r="AA9" s="8">
        <f>AA8/$BF$6</f>
        <v>0.172811059907834</v>
      </c>
      <c r="AB9" s="2"/>
      <c r="AC9" s="2"/>
      <c r="AD9" s="2"/>
      <c r="AE9" s="2"/>
      <c r="AF9" s="2"/>
      <c r="AG9" s="2"/>
      <c r="AH9" s="8">
        <f>AH8/$BF$6</f>
        <v>0.0720046082949309</v>
      </c>
      <c r="AI9" s="2"/>
      <c r="AJ9" s="2"/>
      <c r="AK9" s="2"/>
      <c r="AL9" s="8">
        <f>AL8/$BF$6</f>
        <v>0.0806451612903226</v>
      </c>
      <c r="AM9" s="2"/>
      <c r="AN9" s="2"/>
      <c r="AO9" s="2"/>
      <c r="AP9" s="2"/>
      <c r="AQ9" s="8">
        <f>AQ8/$BF$6</f>
        <v>0.178571428571429</v>
      </c>
      <c r="AR9" s="2"/>
      <c r="AS9" s="2"/>
      <c r="AT9" s="2"/>
      <c r="AU9" s="8">
        <f>AU8/$BF$6</f>
        <v>0.0714285714285714</v>
      </c>
      <c r="AV9" s="2"/>
      <c r="AW9" s="2"/>
      <c r="AX9" s="2"/>
      <c r="AY9" s="2"/>
      <c r="AZ9" s="8">
        <f>AZ8/$BF$6</f>
        <v>0.0737327188940092</v>
      </c>
      <c r="BA9" s="2"/>
      <c r="BB9" s="2"/>
      <c r="BC9" s="2"/>
      <c r="BD9" s="2"/>
      <c r="BE9" s="2"/>
      <c r="BF9" s="21"/>
      <c r="BG9" s="2"/>
      <c r="BH9" s="2"/>
      <c r="BI9" s="2"/>
      <c r="BJ9" s="2"/>
      <c r="BK9" s="2"/>
      <c r="BL9" s="2"/>
      <c r="BM9" s="24">
        <f t="shared" si="0"/>
        <v>0.169066820276498</v>
      </c>
      <c r="BN9" s="23">
        <f>BN8/$BF$8</f>
        <v>0.440232108317215</v>
      </c>
      <c r="BO9" s="23">
        <f>BO8/$BF$8</f>
        <v>0.191378833932025</v>
      </c>
    </row>
    <row r="10" ht="15.75" spans="1:67">
      <c r="A10" s="5">
        <f>EOMONTH(B10,0)</f>
        <v>45169</v>
      </c>
      <c r="B10" s="5">
        <v>45139</v>
      </c>
      <c r="C10" s="11"/>
      <c r="D10" s="2"/>
      <c r="E10" s="2"/>
      <c r="F10" s="2"/>
      <c r="G10" s="2"/>
      <c r="H10" s="2"/>
      <c r="I10" s="2"/>
      <c r="J10" s="2"/>
      <c r="K10" s="2"/>
      <c r="L10" s="2"/>
      <c r="M10" s="11"/>
      <c r="N10" s="2"/>
      <c r="O10" s="2"/>
      <c r="P10" s="2"/>
      <c r="Q10" s="2"/>
      <c r="R10" s="2"/>
      <c r="S10" s="11"/>
      <c r="T10" s="2"/>
      <c r="U10" s="2"/>
      <c r="V10" s="2"/>
      <c r="W10" s="11"/>
      <c r="X10" s="2"/>
      <c r="Y10" s="2"/>
      <c r="Z10" s="2"/>
      <c r="AA10" s="11"/>
      <c r="AB10" s="2"/>
      <c r="AC10" s="2"/>
      <c r="AD10" s="2"/>
      <c r="AE10" s="2"/>
      <c r="AF10" s="2"/>
      <c r="AG10" s="2"/>
      <c r="AH10" s="11"/>
      <c r="AI10" s="2"/>
      <c r="AJ10" s="2"/>
      <c r="AK10" s="2"/>
      <c r="AL10" s="11"/>
      <c r="AM10" s="2"/>
      <c r="AN10" s="2"/>
      <c r="AO10" s="2"/>
      <c r="AP10" s="2"/>
      <c r="AQ10" s="11"/>
      <c r="AR10" s="2"/>
      <c r="AS10" s="2"/>
      <c r="AT10" s="2"/>
      <c r="AU10" s="11"/>
      <c r="AV10" s="2"/>
      <c r="AW10" s="2"/>
      <c r="AX10" s="2"/>
      <c r="AY10" s="2"/>
      <c r="AZ10" s="11"/>
      <c r="BA10" s="2"/>
      <c r="BB10" s="2"/>
      <c r="BC10" s="2"/>
      <c r="BD10" s="2"/>
      <c r="BE10" s="2"/>
      <c r="BF10" s="19">
        <f>C10+M10+S10+W10+AA10+AH10+AL10+AQ10+AZ10+AU10</f>
        <v>0</v>
      </c>
      <c r="BG10" s="2"/>
      <c r="BH10" s="2"/>
      <c r="BI10" s="2"/>
      <c r="BJ10" s="2"/>
      <c r="BK10" s="2"/>
      <c r="BL10" s="2"/>
      <c r="BM10" s="2">
        <f t="shared" si="0"/>
        <v>0</v>
      </c>
      <c r="BN10" s="2"/>
      <c r="BO10" s="2"/>
    </row>
    <row r="11" ht="15" spans="1:67">
      <c r="A11" s="1" t="s">
        <v>40</v>
      </c>
      <c r="B11" s="2"/>
      <c r="C11" s="11"/>
      <c r="D11" s="2"/>
      <c r="E11" s="2"/>
      <c r="F11" s="2"/>
      <c r="G11" s="2"/>
      <c r="H11" s="2"/>
      <c r="I11" s="2"/>
      <c r="J11" s="2"/>
      <c r="K11" s="2"/>
      <c r="L11" s="2"/>
      <c r="M11" s="11"/>
      <c r="N11" s="2"/>
      <c r="O11" s="2"/>
      <c r="P11" s="2"/>
      <c r="Q11" s="2"/>
      <c r="R11" s="2"/>
      <c r="S11" s="11"/>
      <c r="T11" s="2"/>
      <c r="U11" s="2"/>
      <c r="V11" s="2"/>
      <c r="W11" s="11"/>
      <c r="X11" s="2"/>
      <c r="Y11" s="2"/>
      <c r="Z11" s="2"/>
      <c r="AA11" s="11"/>
      <c r="AB11" s="2"/>
      <c r="AC11" s="2"/>
      <c r="AD11" s="2"/>
      <c r="AE11" s="2"/>
      <c r="AF11" s="2"/>
      <c r="AG11" s="2"/>
      <c r="AH11" s="11"/>
      <c r="AI11" s="2"/>
      <c r="AJ11" s="2"/>
      <c r="AK11" s="2"/>
      <c r="AL11" s="11"/>
      <c r="AM11" s="2"/>
      <c r="AN11" s="2"/>
      <c r="AO11" s="2"/>
      <c r="AP11" s="2"/>
      <c r="AQ11" s="11"/>
      <c r="AR11" s="2"/>
      <c r="AS11" s="2"/>
      <c r="AT11" s="2"/>
      <c r="AU11" s="11"/>
      <c r="AV11" s="2"/>
      <c r="AW11" s="2"/>
      <c r="AX11" s="2"/>
      <c r="AY11" s="2"/>
      <c r="AZ11" s="11"/>
      <c r="BA11" s="2"/>
      <c r="BB11" s="2"/>
      <c r="BC11" s="2"/>
      <c r="BD11" s="2"/>
      <c r="BE11" s="2"/>
      <c r="BF11" s="21"/>
      <c r="BG11" s="2"/>
      <c r="BH11" s="2"/>
      <c r="BI11" s="2"/>
      <c r="BJ11" s="2"/>
      <c r="BK11" s="2"/>
      <c r="BL11" s="2"/>
      <c r="BM11" s="2">
        <f t="shared" si="0"/>
        <v>0</v>
      </c>
      <c r="BN11" s="2"/>
      <c r="BO11" s="2"/>
    </row>
    <row r="12" ht="15.75" spans="1:67">
      <c r="A12" s="5">
        <f>EOMONTH(B12,0)</f>
        <v>45199</v>
      </c>
      <c r="B12" s="5">
        <v>45170</v>
      </c>
      <c r="C12" s="11"/>
      <c r="D12" s="2"/>
      <c r="E12" s="2"/>
      <c r="F12" s="2"/>
      <c r="G12" s="2"/>
      <c r="H12" s="2"/>
      <c r="I12" s="2"/>
      <c r="J12" s="2"/>
      <c r="K12" s="2"/>
      <c r="L12" s="2"/>
      <c r="M12" s="11"/>
      <c r="N12" s="2"/>
      <c r="O12" s="2"/>
      <c r="P12" s="2"/>
      <c r="Q12" s="2"/>
      <c r="R12" s="2"/>
      <c r="S12" s="11"/>
      <c r="T12" s="2"/>
      <c r="U12" s="2"/>
      <c r="V12" s="2"/>
      <c r="W12" s="11"/>
      <c r="X12" s="2"/>
      <c r="Y12" s="2"/>
      <c r="Z12" s="2"/>
      <c r="AA12" s="11"/>
      <c r="AB12" s="2"/>
      <c r="AC12" s="2"/>
      <c r="AD12" s="2"/>
      <c r="AE12" s="2"/>
      <c r="AF12" s="2"/>
      <c r="AG12" s="2"/>
      <c r="AH12" s="11"/>
      <c r="AI12" s="2"/>
      <c r="AJ12" s="2"/>
      <c r="AK12" s="2"/>
      <c r="AL12" s="11"/>
      <c r="AM12" s="2"/>
      <c r="AN12" s="2"/>
      <c r="AO12" s="2"/>
      <c r="AP12" s="2"/>
      <c r="AQ12" s="11"/>
      <c r="AR12" s="2"/>
      <c r="AS12" s="2"/>
      <c r="AT12" s="2"/>
      <c r="AU12" s="11"/>
      <c r="AV12" s="2"/>
      <c r="AW12" s="2"/>
      <c r="AX12" s="2"/>
      <c r="AY12" s="2"/>
      <c r="AZ12" s="11"/>
      <c r="BA12" s="2"/>
      <c r="BB12" s="2"/>
      <c r="BC12" s="2"/>
      <c r="BD12" s="2"/>
      <c r="BE12" s="2"/>
      <c r="BF12" s="19">
        <f>C12+M12+S12+W12+AA12+AH12+AL12+AQ12+AZ12+AU12</f>
        <v>0</v>
      </c>
      <c r="BG12" s="2"/>
      <c r="BH12" s="2"/>
      <c r="BI12" s="2"/>
      <c r="BJ12" s="2"/>
      <c r="BK12" s="2"/>
      <c r="BL12" s="2"/>
      <c r="BM12" s="2">
        <f t="shared" si="0"/>
        <v>0</v>
      </c>
      <c r="BN12" s="2"/>
      <c r="BO12" s="2"/>
    </row>
    <row r="13" ht="15" spans="1:67">
      <c r="A13" s="1" t="s">
        <v>40</v>
      </c>
      <c r="B13" s="2"/>
      <c r="C13" s="11"/>
      <c r="D13" s="2"/>
      <c r="E13" s="2"/>
      <c r="F13" s="2"/>
      <c r="G13" s="2"/>
      <c r="H13" s="2"/>
      <c r="I13" s="2"/>
      <c r="J13" s="2"/>
      <c r="K13" s="2"/>
      <c r="L13" s="2"/>
      <c r="M13" s="11"/>
      <c r="N13" s="2"/>
      <c r="O13" s="2"/>
      <c r="P13" s="2"/>
      <c r="Q13" s="2"/>
      <c r="R13" s="2"/>
      <c r="S13" s="11"/>
      <c r="T13" s="2"/>
      <c r="U13" s="2"/>
      <c r="V13" s="2"/>
      <c r="W13" s="11"/>
      <c r="X13" s="2"/>
      <c r="Y13" s="2"/>
      <c r="Z13" s="2"/>
      <c r="AA13" s="11"/>
      <c r="AB13" s="2"/>
      <c r="AC13" s="2"/>
      <c r="AD13" s="2"/>
      <c r="AE13" s="2"/>
      <c r="AF13" s="2"/>
      <c r="AG13" s="2"/>
      <c r="AH13" s="11"/>
      <c r="AI13" s="2"/>
      <c r="AJ13" s="2"/>
      <c r="AK13" s="2"/>
      <c r="AL13" s="11"/>
      <c r="AM13" s="2"/>
      <c r="AN13" s="2"/>
      <c r="AO13" s="2"/>
      <c r="AP13" s="2"/>
      <c r="AQ13" s="11"/>
      <c r="AR13" s="2"/>
      <c r="AS13" s="2"/>
      <c r="AT13" s="2"/>
      <c r="AU13" s="11"/>
      <c r="AV13" s="2"/>
      <c r="AW13" s="2"/>
      <c r="AX13" s="2"/>
      <c r="AY13" s="2"/>
      <c r="AZ13" s="11"/>
      <c r="BA13" s="2"/>
      <c r="BB13" s="2"/>
      <c r="BC13" s="2"/>
      <c r="BD13" s="2"/>
      <c r="BE13" s="2"/>
      <c r="BF13" s="21"/>
      <c r="BG13" s="2"/>
      <c r="BH13" s="2"/>
      <c r="BI13" s="2"/>
      <c r="BJ13" s="2"/>
      <c r="BK13" s="2"/>
      <c r="BL13" s="2"/>
      <c r="BM13" s="2">
        <f t="shared" si="0"/>
        <v>0</v>
      </c>
      <c r="BN13" s="2"/>
      <c r="BO13" s="2"/>
    </row>
    <row r="14" ht="15.75" spans="1:67">
      <c r="A14" s="5">
        <f>EOMONTH(B14,0)</f>
        <v>45230</v>
      </c>
      <c r="B14" s="5">
        <v>45200</v>
      </c>
      <c r="C14" s="11"/>
      <c r="D14" s="2"/>
      <c r="E14" s="2"/>
      <c r="F14" s="2"/>
      <c r="G14" s="2"/>
      <c r="H14" s="2"/>
      <c r="I14" s="2"/>
      <c r="J14" s="2"/>
      <c r="K14" s="2"/>
      <c r="L14" s="2"/>
      <c r="M14" s="11"/>
      <c r="N14" s="2"/>
      <c r="O14" s="2"/>
      <c r="P14" s="2"/>
      <c r="Q14" s="2"/>
      <c r="R14" s="2"/>
      <c r="S14" s="11"/>
      <c r="T14" s="2"/>
      <c r="U14" s="2"/>
      <c r="V14" s="2"/>
      <c r="W14" s="11"/>
      <c r="X14" s="2"/>
      <c r="Y14" s="2"/>
      <c r="Z14" s="2"/>
      <c r="AA14" s="11"/>
      <c r="AB14" s="2"/>
      <c r="AC14" s="2"/>
      <c r="AD14" s="2"/>
      <c r="AE14" s="2"/>
      <c r="AF14" s="2"/>
      <c r="AG14" s="2"/>
      <c r="AH14" s="11"/>
      <c r="AI14" s="2"/>
      <c r="AJ14" s="2"/>
      <c r="AK14" s="2"/>
      <c r="AL14" s="11"/>
      <c r="AM14" s="2"/>
      <c r="AN14" s="2"/>
      <c r="AO14" s="2"/>
      <c r="AP14" s="2"/>
      <c r="AQ14" s="11"/>
      <c r="AR14" s="2"/>
      <c r="AS14" s="2"/>
      <c r="AT14" s="2"/>
      <c r="AU14" s="11"/>
      <c r="AV14" s="2"/>
      <c r="AW14" s="2"/>
      <c r="AX14" s="2"/>
      <c r="AY14" s="2"/>
      <c r="AZ14" s="11"/>
      <c r="BA14" s="2"/>
      <c r="BB14" s="2"/>
      <c r="BC14" s="2"/>
      <c r="BD14" s="2"/>
      <c r="BE14" s="2"/>
      <c r="BF14" s="19">
        <f>C14+M14+S14+W14+AA14+AH14+AL14+AQ14+AZ14+AU14</f>
        <v>0</v>
      </c>
      <c r="BG14" s="2"/>
      <c r="BH14" s="2"/>
      <c r="BI14" s="2"/>
      <c r="BJ14" s="2"/>
      <c r="BK14" s="2"/>
      <c r="BL14" s="2"/>
      <c r="BM14" s="2">
        <f t="shared" si="0"/>
        <v>0</v>
      </c>
      <c r="BN14" s="2"/>
      <c r="BO14" s="2"/>
    </row>
    <row r="15" ht="15" spans="1:67">
      <c r="A15" s="1" t="s">
        <v>40</v>
      </c>
      <c r="B15" s="2"/>
      <c r="C15" s="11"/>
      <c r="D15" s="2"/>
      <c r="E15" s="2"/>
      <c r="F15" s="2"/>
      <c r="G15" s="2"/>
      <c r="H15" s="2"/>
      <c r="I15" s="2"/>
      <c r="J15" s="2"/>
      <c r="K15" s="2"/>
      <c r="L15" s="2"/>
      <c r="M15" s="11"/>
      <c r="N15" s="2"/>
      <c r="O15" s="2"/>
      <c r="P15" s="2"/>
      <c r="Q15" s="2"/>
      <c r="R15" s="2"/>
      <c r="S15" s="11"/>
      <c r="T15" s="2"/>
      <c r="U15" s="2"/>
      <c r="V15" s="2"/>
      <c r="W15" s="11"/>
      <c r="X15" s="2"/>
      <c r="Y15" s="2"/>
      <c r="Z15" s="2"/>
      <c r="AA15" s="11"/>
      <c r="AB15" s="2"/>
      <c r="AC15" s="2"/>
      <c r="AD15" s="2"/>
      <c r="AE15" s="2"/>
      <c r="AF15" s="2"/>
      <c r="AG15" s="2"/>
      <c r="AH15" s="11"/>
      <c r="AI15" s="2"/>
      <c r="AJ15" s="2"/>
      <c r="AK15" s="2"/>
      <c r="AL15" s="11"/>
      <c r="AM15" s="2"/>
      <c r="AN15" s="2"/>
      <c r="AO15" s="2"/>
      <c r="AP15" s="2"/>
      <c r="AQ15" s="11"/>
      <c r="AR15" s="2"/>
      <c r="AS15" s="2"/>
      <c r="AT15" s="2"/>
      <c r="AU15" s="11"/>
      <c r="AV15" s="2"/>
      <c r="AW15" s="2"/>
      <c r="AX15" s="2"/>
      <c r="AY15" s="2"/>
      <c r="AZ15" s="11"/>
      <c r="BA15" s="2"/>
      <c r="BB15" s="2"/>
      <c r="BC15" s="2"/>
      <c r="BD15" s="2"/>
      <c r="BE15" s="2"/>
      <c r="BF15" s="21"/>
      <c r="BG15" s="2"/>
      <c r="BH15" s="2"/>
      <c r="BI15" s="2"/>
      <c r="BJ15" s="2"/>
      <c r="BK15" s="2"/>
      <c r="BL15" s="2"/>
      <c r="BM15" s="2">
        <f t="shared" si="0"/>
        <v>0</v>
      </c>
      <c r="BN15" s="2"/>
      <c r="BO15" s="2"/>
    </row>
    <row r="16" ht="15.75" spans="1:67">
      <c r="A16" s="5">
        <f>EOMONTH(B16,0)</f>
        <v>45260</v>
      </c>
      <c r="B16" s="5">
        <v>45231</v>
      </c>
      <c r="C16" s="11"/>
      <c r="D16" s="2"/>
      <c r="E16" s="2"/>
      <c r="F16" s="2"/>
      <c r="G16" s="2"/>
      <c r="H16" s="2"/>
      <c r="I16" s="2"/>
      <c r="J16" s="2"/>
      <c r="K16" s="2"/>
      <c r="L16" s="2"/>
      <c r="M16" s="11"/>
      <c r="N16" s="2"/>
      <c r="O16" s="2"/>
      <c r="P16" s="2"/>
      <c r="Q16" s="2"/>
      <c r="R16" s="2"/>
      <c r="S16" s="11"/>
      <c r="T16" s="2"/>
      <c r="U16" s="2"/>
      <c r="V16" s="2"/>
      <c r="W16" s="11"/>
      <c r="X16" s="2"/>
      <c r="Y16" s="2"/>
      <c r="Z16" s="2"/>
      <c r="AA16" s="11"/>
      <c r="AB16" s="2"/>
      <c r="AC16" s="2"/>
      <c r="AD16" s="2"/>
      <c r="AE16" s="2"/>
      <c r="AF16" s="2"/>
      <c r="AG16" s="2"/>
      <c r="AH16" s="11"/>
      <c r="AI16" s="2"/>
      <c r="AJ16" s="2"/>
      <c r="AK16" s="2"/>
      <c r="AL16" s="11"/>
      <c r="AM16" s="2"/>
      <c r="AN16" s="2"/>
      <c r="AO16" s="2"/>
      <c r="AP16" s="2"/>
      <c r="AQ16" s="11"/>
      <c r="AR16" s="2"/>
      <c r="AS16" s="2"/>
      <c r="AT16" s="2"/>
      <c r="AU16" s="11"/>
      <c r="AV16" s="2"/>
      <c r="AW16" s="2"/>
      <c r="AX16" s="2"/>
      <c r="AY16" s="2"/>
      <c r="AZ16" s="11"/>
      <c r="BA16" s="2"/>
      <c r="BB16" s="2"/>
      <c r="BC16" s="2"/>
      <c r="BD16" s="2"/>
      <c r="BE16" s="2"/>
      <c r="BF16" s="19">
        <f>C16+M16+S16+W16+AA16+AH16+AL16+AQ16+AZ16+AU16</f>
        <v>0</v>
      </c>
      <c r="BG16" s="2"/>
      <c r="BH16" s="2"/>
      <c r="BI16" s="2"/>
      <c r="BJ16" s="2"/>
      <c r="BK16" s="2"/>
      <c r="BL16" s="2"/>
      <c r="BM16" s="2">
        <f t="shared" si="0"/>
        <v>0</v>
      </c>
      <c r="BN16" s="2"/>
      <c r="BO16" s="2"/>
    </row>
    <row r="17" ht="15" spans="1:67">
      <c r="A17" s="1" t="s">
        <v>40</v>
      </c>
      <c r="B17" s="2"/>
      <c r="C17" s="11"/>
      <c r="D17" s="2"/>
      <c r="E17" s="2"/>
      <c r="F17" s="2"/>
      <c r="G17" s="2"/>
      <c r="H17" s="2"/>
      <c r="I17" s="2"/>
      <c r="J17" s="2"/>
      <c r="K17" s="2"/>
      <c r="L17" s="2"/>
      <c r="M17" s="11"/>
      <c r="N17" s="2"/>
      <c r="O17" s="2"/>
      <c r="P17" s="2"/>
      <c r="Q17" s="2"/>
      <c r="R17" s="2"/>
      <c r="S17" s="11"/>
      <c r="T17" s="2"/>
      <c r="U17" s="2"/>
      <c r="V17" s="2"/>
      <c r="W17" s="11"/>
      <c r="X17" s="2"/>
      <c r="Y17" s="2"/>
      <c r="Z17" s="2"/>
      <c r="AA17" s="11"/>
      <c r="AB17" s="2"/>
      <c r="AC17" s="2"/>
      <c r="AD17" s="2"/>
      <c r="AE17" s="2"/>
      <c r="AF17" s="2"/>
      <c r="AG17" s="2"/>
      <c r="AH17" s="11"/>
      <c r="AI17" s="2"/>
      <c r="AJ17" s="2"/>
      <c r="AK17" s="2"/>
      <c r="AL17" s="11"/>
      <c r="AM17" s="2"/>
      <c r="AN17" s="2"/>
      <c r="AO17" s="2"/>
      <c r="AP17" s="2"/>
      <c r="AQ17" s="11"/>
      <c r="AR17" s="2"/>
      <c r="AS17" s="2"/>
      <c r="AT17" s="2"/>
      <c r="AU17" s="11"/>
      <c r="AV17" s="2"/>
      <c r="AW17" s="2"/>
      <c r="AX17" s="2"/>
      <c r="AY17" s="2"/>
      <c r="AZ17" s="11"/>
      <c r="BA17" s="2"/>
      <c r="BB17" s="2"/>
      <c r="BC17" s="2"/>
      <c r="BD17" s="2"/>
      <c r="BE17" s="2"/>
      <c r="BF17" s="21"/>
      <c r="BG17" s="2"/>
      <c r="BH17" s="2"/>
      <c r="BI17" s="2"/>
      <c r="BJ17" s="2"/>
      <c r="BK17" s="2"/>
      <c r="BL17" s="2"/>
      <c r="BM17" s="2">
        <f t="shared" si="0"/>
        <v>0</v>
      </c>
      <c r="BN17" s="2"/>
      <c r="BO17" s="2"/>
    </row>
    <row r="18" ht="15.75" spans="1:67">
      <c r="A18" s="5">
        <f>EOMONTH(B18,0)</f>
        <v>45291</v>
      </c>
      <c r="B18" s="5">
        <v>45261</v>
      </c>
      <c r="C18" s="11"/>
      <c r="D18" s="2"/>
      <c r="E18" s="2"/>
      <c r="F18" s="2"/>
      <c r="G18" s="2"/>
      <c r="H18" s="2"/>
      <c r="I18" s="2"/>
      <c r="J18" s="2"/>
      <c r="K18" s="2"/>
      <c r="L18" s="2"/>
      <c r="M18" s="11"/>
      <c r="N18" s="2"/>
      <c r="O18" s="2"/>
      <c r="P18" s="2"/>
      <c r="Q18" s="2"/>
      <c r="R18" s="2"/>
      <c r="S18" s="11"/>
      <c r="T18" s="2"/>
      <c r="U18" s="2"/>
      <c r="V18" s="2"/>
      <c r="W18" s="11"/>
      <c r="X18" s="2"/>
      <c r="Y18" s="2"/>
      <c r="Z18" s="2"/>
      <c r="AA18" s="11"/>
      <c r="AB18" s="2"/>
      <c r="AC18" s="2"/>
      <c r="AD18" s="2"/>
      <c r="AE18" s="2"/>
      <c r="AF18" s="2"/>
      <c r="AG18" s="2"/>
      <c r="AH18" s="11"/>
      <c r="AI18" s="2"/>
      <c r="AJ18" s="2"/>
      <c r="AK18" s="2"/>
      <c r="AL18" s="11"/>
      <c r="AM18" s="2"/>
      <c r="AN18" s="2"/>
      <c r="AO18" s="2"/>
      <c r="AP18" s="2"/>
      <c r="AQ18" s="11"/>
      <c r="AR18" s="2"/>
      <c r="AS18" s="2"/>
      <c r="AT18" s="2"/>
      <c r="AU18" s="11"/>
      <c r="AV18" s="2"/>
      <c r="AW18" s="2"/>
      <c r="AX18" s="2"/>
      <c r="AY18" s="2"/>
      <c r="AZ18" s="11"/>
      <c r="BA18" s="2"/>
      <c r="BB18" s="2"/>
      <c r="BC18" s="2"/>
      <c r="BD18" s="2"/>
      <c r="BE18" s="2"/>
      <c r="BF18" s="19">
        <f>C18+M18+S18+W18+AA18+AH18+AL18+AQ18+AZ18+AU18</f>
        <v>0</v>
      </c>
      <c r="BG18" s="2"/>
      <c r="BH18" s="2"/>
      <c r="BI18" s="2"/>
      <c r="BJ18" s="2"/>
      <c r="BK18" s="2"/>
      <c r="BL18" s="2"/>
      <c r="BM18" s="2">
        <f t="shared" si="0"/>
        <v>0</v>
      </c>
      <c r="BN18" s="2"/>
      <c r="BO18" s="2"/>
    </row>
    <row r="19" ht="15" spans="1:67">
      <c r="A19" s="1" t="s">
        <v>40</v>
      </c>
      <c r="B19" s="2"/>
      <c r="C19" s="11"/>
      <c r="D19" s="2"/>
      <c r="E19" s="2"/>
      <c r="F19" s="2"/>
      <c r="G19" s="2"/>
      <c r="H19" s="2"/>
      <c r="I19" s="2"/>
      <c r="J19" s="2"/>
      <c r="K19" s="2"/>
      <c r="L19" s="2"/>
      <c r="M19" s="11"/>
      <c r="N19" s="2"/>
      <c r="O19" s="2"/>
      <c r="P19" s="2"/>
      <c r="Q19" s="2"/>
      <c r="R19" s="2"/>
      <c r="S19" s="11"/>
      <c r="T19" s="2"/>
      <c r="U19" s="2"/>
      <c r="V19" s="2"/>
      <c r="W19" s="11"/>
      <c r="X19" s="2"/>
      <c r="Y19" s="2"/>
      <c r="Z19" s="2"/>
      <c r="AA19" s="11"/>
      <c r="AB19" s="2"/>
      <c r="AC19" s="2"/>
      <c r="AD19" s="2"/>
      <c r="AE19" s="2"/>
      <c r="AF19" s="2"/>
      <c r="AG19" s="2"/>
      <c r="AH19" s="11"/>
      <c r="AI19" s="2"/>
      <c r="AJ19" s="2"/>
      <c r="AK19" s="2"/>
      <c r="AL19" s="11"/>
      <c r="AM19" s="2"/>
      <c r="AN19" s="2"/>
      <c r="AO19" s="2"/>
      <c r="AP19" s="2"/>
      <c r="AQ19" s="11"/>
      <c r="AR19" s="2"/>
      <c r="AS19" s="2"/>
      <c r="AT19" s="2"/>
      <c r="AU19" s="11"/>
      <c r="AV19" s="2"/>
      <c r="AW19" s="2"/>
      <c r="AX19" s="2"/>
      <c r="AY19" s="2"/>
      <c r="AZ19" s="11"/>
      <c r="BA19" s="2"/>
      <c r="BB19" s="2"/>
      <c r="BC19" s="2"/>
      <c r="BD19" s="2"/>
      <c r="BE19" s="2"/>
      <c r="BF19" s="21"/>
      <c r="BG19" s="2"/>
      <c r="BH19" s="2"/>
      <c r="BI19" s="2"/>
      <c r="BJ19" s="2"/>
      <c r="BK19" s="2"/>
      <c r="BL19" s="2"/>
      <c r="BM19" s="2">
        <f t="shared" si="0"/>
        <v>0</v>
      </c>
      <c r="BN19" s="2"/>
      <c r="BO19" s="2"/>
    </row>
    <row r="20" ht="15.75" spans="1:67">
      <c r="A20" s="5">
        <f>EOMONTH(B20,0)</f>
        <v>45322</v>
      </c>
      <c r="B20" s="5">
        <v>45292</v>
      </c>
      <c r="C20" s="11"/>
      <c r="D20" s="2"/>
      <c r="E20" s="2"/>
      <c r="F20" s="2"/>
      <c r="G20" s="2"/>
      <c r="H20" s="2"/>
      <c r="I20" s="2"/>
      <c r="J20" s="2"/>
      <c r="K20" s="2"/>
      <c r="L20" s="2"/>
      <c r="M20" s="11"/>
      <c r="N20" s="2"/>
      <c r="O20" s="2"/>
      <c r="P20" s="2"/>
      <c r="Q20" s="2"/>
      <c r="R20" s="2"/>
      <c r="S20" s="11"/>
      <c r="T20" s="2"/>
      <c r="U20" s="2"/>
      <c r="V20" s="2"/>
      <c r="W20" s="11"/>
      <c r="X20" s="2"/>
      <c r="Y20" s="2"/>
      <c r="Z20" s="2"/>
      <c r="AA20" s="11"/>
      <c r="AB20" s="2"/>
      <c r="AC20" s="2"/>
      <c r="AD20" s="2"/>
      <c r="AE20" s="2"/>
      <c r="AF20" s="2"/>
      <c r="AG20" s="2"/>
      <c r="AH20" s="11"/>
      <c r="AI20" s="2"/>
      <c r="AJ20" s="2"/>
      <c r="AK20" s="2"/>
      <c r="AL20" s="11"/>
      <c r="AM20" s="2"/>
      <c r="AN20" s="2"/>
      <c r="AO20" s="2"/>
      <c r="AP20" s="2"/>
      <c r="AQ20" s="11"/>
      <c r="AR20" s="2"/>
      <c r="AS20" s="2"/>
      <c r="AT20" s="2"/>
      <c r="AU20" s="11"/>
      <c r="AV20" s="2"/>
      <c r="AW20" s="2"/>
      <c r="AX20" s="2"/>
      <c r="AY20" s="2"/>
      <c r="AZ20" s="11"/>
      <c r="BA20" s="2"/>
      <c r="BB20" s="2"/>
      <c r="BC20" s="2"/>
      <c r="BD20" s="2"/>
      <c r="BE20" s="2"/>
      <c r="BF20" s="19">
        <f>C20+M20+S20+W20+AA20+AH20+AL20+AQ20+AZ20+AU20</f>
        <v>0</v>
      </c>
      <c r="BG20" s="2"/>
      <c r="BH20" s="2"/>
      <c r="BI20" s="2"/>
      <c r="BJ20" s="2"/>
      <c r="BK20" s="2"/>
      <c r="BL20" s="2"/>
      <c r="BM20" s="2">
        <f t="shared" si="0"/>
        <v>0</v>
      </c>
      <c r="BN20" s="2"/>
      <c r="BO20" s="2"/>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000"/>
  <sheetViews>
    <sheetView showGridLines="0" workbookViewId="0">
      <pane ySplit="2" topLeftCell="A3" activePane="bottomLeft" state="frozen"/>
      <selection/>
      <selection pane="bottomLeft" activeCell="B4" sqref="B4"/>
    </sheetView>
  </sheetViews>
  <sheetFormatPr defaultColWidth="12.5714285714286" defaultRowHeight="15" customHeight="1"/>
  <cols>
    <col min="1" max="1" width="1.14285714285714" customWidth="1"/>
    <col min="2" max="2" width="21.1428571428571" customWidth="1"/>
    <col min="3" max="3" width="22.5714285714286" customWidth="1"/>
    <col min="4" max="4" width="24" customWidth="1"/>
    <col min="5" max="5" width="22.7142857142857" customWidth="1"/>
    <col min="6" max="6" width="14.8571428571429" customWidth="1"/>
    <col min="7" max="7" width="24.7142857142857" customWidth="1"/>
    <col min="8" max="8" width="18.8571428571429" customWidth="1"/>
    <col min="9" max="9" width="8.14285714285714" customWidth="1"/>
    <col min="10" max="10" width="12.4285714285714" customWidth="1"/>
    <col min="11" max="26" width="10.5714285714286" customWidth="1"/>
  </cols>
  <sheetData>
    <row r="1" ht="12.75" customHeight="1"/>
    <row r="2" ht="12.75" customHeight="1" spans="2:8">
      <c r="B2" s="371" t="s">
        <v>0</v>
      </c>
      <c r="C2" s="371"/>
      <c r="D2" s="372" t="s">
        <v>2</v>
      </c>
      <c r="E2" s="372" t="s">
        <v>3</v>
      </c>
      <c r="F2" s="372" t="s">
        <v>4</v>
      </c>
      <c r="G2" s="373" t="s">
        <v>5</v>
      </c>
      <c r="H2" s="373" t="s">
        <v>6</v>
      </c>
    </row>
    <row r="3" ht="12.75" customHeight="1"/>
    <row r="4" ht="12.75" customHeight="1" spans="2:9">
      <c r="B4" s="374" t="s">
        <v>10</v>
      </c>
      <c r="C4" s="374"/>
      <c r="D4" s="374"/>
      <c r="E4" s="374"/>
      <c r="F4" s="375"/>
      <c r="G4" s="375"/>
      <c r="H4" s="375"/>
      <c r="I4" s="423"/>
    </row>
    <row r="5" ht="12.75" customHeight="1"/>
    <row r="6" ht="12.75" customHeight="1" spans="2:8">
      <c r="B6" s="376"/>
      <c r="C6" s="377" t="s">
        <v>11</v>
      </c>
      <c r="D6" s="378">
        <f t="shared" ref="D6:H6" si="0">D102</f>
        <v>2463998.97199922</v>
      </c>
      <c r="E6" s="378">
        <f t="shared" si="0"/>
        <v>7908934.22907148</v>
      </c>
      <c r="F6" s="378">
        <f t="shared" si="0"/>
        <v>14907456.2966981</v>
      </c>
      <c r="G6" s="378">
        <f t="shared" si="0"/>
        <v>20762729.0499013</v>
      </c>
      <c r="H6" s="379">
        <f t="shared" si="0"/>
        <v>5083930.35077384</v>
      </c>
    </row>
    <row r="7" ht="12.75" customHeight="1" spans="2:8">
      <c r="B7" s="380"/>
      <c r="C7" s="381" t="s">
        <v>12</v>
      </c>
      <c r="D7" s="382" t="str">
        <f t="shared" ref="D7:H7" si="1">IFERROR((D6-C6)/ABS(C6),"")</f>
        <v/>
      </c>
      <c r="E7" s="382">
        <f t="shared" si="1"/>
        <v>2.20979607497742</v>
      </c>
      <c r="F7" s="382">
        <f t="shared" si="1"/>
        <v>0.884888135989495</v>
      </c>
      <c r="G7" s="382">
        <f t="shared" si="1"/>
        <v>0.392774772346651</v>
      </c>
      <c r="H7" s="383">
        <f t="shared" si="1"/>
        <v>-0.755141516389532</v>
      </c>
    </row>
    <row r="8" ht="12.75" customHeight="1" spans="2:8">
      <c r="B8" s="380"/>
      <c r="C8" s="384" t="s">
        <v>13</v>
      </c>
      <c r="D8" s="385">
        <f>'Détail Dépenses'!$G$13+'Détail Dépenses'!$H$13+'Détail Dépenses'!$I$13+'Détail Dépenses'!$J$13</f>
        <v>2281460</v>
      </c>
      <c r="E8" s="385">
        <f>'Détail Dépenses'!$G$47+'Détail Dépenses'!$H$47+'Détail Dépenses'!$I$47+'Détail Dépenses'!$J$47</f>
        <v>3489000</v>
      </c>
      <c r="F8" s="385">
        <f>'Détail Dépenses'!$G$81+'Détail Dépenses'!$H$81+'Détail Dépenses'!$I$81+'Détail Dépenses'!$J$81</f>
        <v>5414050</v>
      </c>
      <c r="G8" s="385">
        <f>'Détail Dépenses'!$G$116+'Détail Dépenses'!$H$116+'Détail Dépenses'!$I$116+'Détail Dépenses'!$J$116</f>
        <v>11641050</v>
      </c>
      <c r="H8" s="386" t="e">
        <f>'Détail Dépenses'!#REF!+'Détail Dépenses'!#REF!+'Détail Dépenses'!#REF!+'Détail Dépenses'!#REF!</f>
        <v>#REF!</v>
      </c>
    </row>
    <row r="9" ht="12.75" customHeight="1" spans="2:8">
      <c r="B9" s="387"/>
      <c r="C9" s="381" t="s">
        <v>12</v>
      </c>
      <c r="D9" s="382" t="str">
        <f t="shared" ref="D9:H9" si="2">IFERROR((D8-C8)/ABS(C8),"")</f>
        <v/>
      </c>
      <c r="E9" s="382">
        <f t="shared" si="2"/>
        <v>0.529283879620944</v>
      </c>
      <c r="F9" s="382">
        <f t="shared" si="2"/>
        <v>0.551748351963313</v>
      </c>
      <c r="G9" s="382">
        <f t="shared" si="2"/>
        <v>1.15015561363489</v>
      </c>
      <c r="H9" s="383" t="str">
        <f t="shared" si="2"/>
        <v/>
      </c>
    </row>
    <row r="10" ht="17.25" customHeight="1" spans="2:8">
      <c r="B10" s="387"/>
      <c r="C10" s="377" t="s">
        <v>14</v>
      </c>
      <c r="D10" s="388">
        <f t="shared" ref="D10:H10" si="3">D6-D8</f>
        <v>182538.971999217</v>
      </c>
      <c r="E10" s="388">
        <f t="shared" si="3"/>
        <v>4419934.22907148</v>
      </c>
      <c r="F10" s="388">
        <f t="shared" si="3"/>
        <v>9493406.29669806</v>
      </c>
      <c r="G10" s="388">
        <f t="shared" si="3"/>
        <v>9121679.04990128</v>
      </c>
      <c r="H10" s="389" t="e">
        <f t="shared" si="3"/>
        <v>#REF!</v>
      </c>
    </row>
    <row r="11" ht="17.25" customHeight="1" spans="2:8">
      <c r="B11" s="387"/>
      <c r="C11" s="381" t="s">
        <v>12</v>
      </c>
      <c r="D11" s="382" t="str">
        <f t="shared" ref="D11:H11" si="4">IFERROR((D10-C10)/ABS(C10),"")</f>
        <v/>
      </c>
      <c r="E11" s="382">
        <f t="shared" si="4"/>
        <v>23.2136469854254</v>
      </c>
      <c r="F11" s="382">
        <f t="shared" si="4"/>
        <v>1.14786143971477</v>
      </c>
      <c r="G11" s="382">
        <f t="shared" si="4"/>
        <v>-0.0391563612868932</v>
      </c>
      <c r="H11" s="383" t="str">
        <f t="shared" si="4"/>
        <v/>
      </c>
    </row>
    <row r="12" ht="17.25" customHeight="1" spans="2:8">
      <c r="B12" s="387"/>
      <c r="C12" s="390"/>
      <c r="D12" s="391"/>
      <c r="E12" s="391"/>
      <c r="F12" s="391"/>
      <c r="G12" s="391"/>
      <c r="H12" s="392"/>
    </row>
    <row r="13" ht="17.25" customHeight="1" spans="2:8">
      <c r="B13" s="387"/>
      <c r="C13" s="384" t="s">
        <v>15</v>
      </c>
      <c r="D13" s="385">
        <f>'Analyse Globale'!C15*'Analyse Catégorielle'!$E$108</f>
        <v>14413.7376667063</v>
      </c>
      <c r="E13" s="385">
        <f>'Analyse Globale'!D15*'Analyse Catégorielle'!$E$108</f>
        <v>241430.10591733</v>
      </c>
      <c r="F13" s="385">
        <f>'Analyse Globale'!E15*'Analyse Catégorielle'!$E$108</f>
        <v>345929.70400095</v>
      </c>
      <c r="G13" s="385">
        <f>'Analyse Globale'!F15*'Analyse Catégorielle'!$E$108</f>
        <v>454032.736501247</v>
      </c>
      <c r="H13" s="386" t="e">
        <f>'Analyse Globale'!G15*'Analyse Catégorielle'!$E$108</f>
        <v>#REF!</v>
      </c>
    </row>
    <row r="14" ht="17.25" customHeight="1" spans="2:8">
      <c r="B14" s="387"/>
      <c r="C14" s="381" t="s">
        <v>12</v>
      </c>
      <c r="D14" s="382" t="str">
        <f t="shared" ref="D14:H14" si="5">IFERROR((D13-C13)/ABS(C13),"")</f>
        <v/>
      </c>
      <c r="E14" s="382">
        <f t="shared" si="5"/>
        <v>15.75</v>
      </c>
      <c r="F14" s="382">
        <f t="shared" si="5"/>
        <v>0.432835820895522</v>
      </c>
      <c r="G14" s="382">
        <f t="shared" si="5"/>
        <v>0.3125</v>
      </c>
      <c r="H14" s="383" t="str">
        <f t="shared" si="5"/>
        <v/>
      </c>
    </row>
    <row r="15" ht="17.25" customHeight="1" spans="2:8">
      <c r="B15" s="393" t="s">
        <v>41</v>
      </c>
      <c r="C15" s="384" t="s">
        <v>16</v>
      </c>
      <c r="D15" s="385">
        <f>'Analyse Globale'!C17*'Analyse Catégorielle'!$E$108</f>
        <v>0</v>
      </c>
      <c r="E15" s="385">
        <f>'Analyse Globale'!D17*'Analyse Catégorielle'!$E$108</f>
        <v>338722.835167597</v>
      </c>
      <c r="F15" s="385">
        <f>'Analyse Globale'!E17*'Analyse Catégorielle'!$E$108</f>
        <v>396377.785834422</v>
      </c>
      <c r="G15" s="385">
        <f>'Analyse Globale'!F17*'Analyse Catégorielle'!$E$108</f>
        <v>360343.441667657</v>
      </c>
      <c r="H15" s="386" t="e">
        <f>'Analyse Globale'!G17*'Analyse Catégorielle'!$E$108</f>
        <v>#REF!</v>
      </c>
    </row>
    <row r="16" ht="17.25" customHeight="1" spans="2:8">
      <c r="B16" s="393"/>
      <c r="C16" s="381" t="s">
        <v>12</v>
      </c>
      <c r="D16" s="382" t="str">
        <f t="shared" ref="D16:H16" si="6">IFERROR((D15-C15)/ABS(C15),"")</f>
        <v/>
      </c>
      <c r="E16" s="382" t="str">
        <f t="shared" si="6"/>
        <v/>
      </c>
      <c r="F16" s="382">
        <f t="shared" si="6"/>
        <v>0.170212765957447</v>
      </c>
      <c r="G16" s="382">
        <f t="shared" si="6"/>
        <v>-0.0909090909090908</v>
      </c>
      <c r="H16" s="383" t="str">
        <f t="shared" si="6"/>
        <v/>
      </c>
    </row>
    <row r="17" ht="17.25" customHeight="1" spans="2:8">
      <c r="B17" s="387"/>
      <c r="C17" s="384" t="s">
        <v>17</v>
      </c>
      <c r="D17" s="385">
        <f>'Analyse Globale'!C19*'Analyse Catégorielle'!$E$108</f>
        <v>104571.666771954</v>
      </c>
      <c r="E17" s="385">
        <f>'Analyse Globale'!D19*'Analyse Catégorielle'!$E$108</f>
        <v>164100.403335451</v>
      </c>
      <c r="F17" s="385">
        <f>'Analyse Globale'!E19*'Analyse Catégorielle'!$E$108</f>
        <v>34809.1764650956</v>
      </c>
      <c r="G17" s="385">
        <f>'Analyse Globale'!F19*'Analyse Catégorielle'!$E$108</f>
        <v>127993.990480352</v>
      </c>
      <c r="H17" s="386" t="e">
        <f>'Analyse Globale'!G19*'Analyse Catégorielle'!$E$108</f>
        <v>#REF!</v>
      </c>
    </row>
    <row r="18" ht="17.25" customHeight="1" spans="2:8">
      <c r="B18" s="387"/>
      <c r="C18" s="381" t="s">
        <v>12</v>
      </c>
      <c r="D18" s="382" t="str">
        <f t="shared" ref="D18:H18" si="7">IFERROR((D17-C17)/ABS(C17),"")</f>
        <v/>
      </c>
      <c r="E18" s="382">
        <f t="shared" si="7"/>
        <v>0.569262577532736</v>
      </c>
      <c r="F18" s="382">
        <f t="shared" si="7"/>
        <v>-0.787878787878788</v>
      </c>
      <c r="G18" s="382">
        <f t="shared" si="7"/>
        <v>2.67701863354037</v>
      </c>
      <c r="H18" s="383" t="str">
        <f t="shared" si="7"/>
        <v/>
      </c>
    </row>
    <row r="19" ht="17.25" customHeight="1" spans="2:8">
      <c r="B19" s="387"/>
      <c r="C19" s="384" t="s">
        <v>18</v>
      </c>
      <c r="D19" s="385">
        <f>'Analyse Globale'!C21*'Analyse Catégorielle'!$E$108</f>
        <v>396017.442392755</v>
      </c>
      <c r="E19" s="385">
        <f>'Analyse Globale'!D21*'Analyse Catégorielle'!$E$108</f>
        <v>1008240.9497861</v>
      </c>
      <c r="F19" s="385">
        <f>'Analyse Globale'!E21*'Analyse Catégorielle'!$E$108</f>
        <v>1251112.4294701</v>
      </c>
      <c r="G19" s="385">
        <f>'Analyse Globale'!F21*'Analyse Catégorielle'!$E$108</f>
        <v>1304082.91539525</v>
      </c>
      <c r="H19" s="386">
        <f>'Analyse Globale'!G21*'Analyse Catégorielle'!$E$108</f>
        <v>0</v>
      </c>
    </row>
    <row r="20" ht="17.25" customHeight="1" spans="2:8">
      <c r="B20" s="387"/>
      <c r="C20" s="381" t="s">
        <v>12</v>
      </c>
      <c r="D20" s="382" t="str">
        <f t="shared" ref="D20:H20" si="8">IFERROR((D19-C19)/ABS(C19),"")</f>
        <v/>
      </c>
      <c r="E20" s="382">
        <f t="shared" si="8"/>
        <v>1.5459508644222</v>
      </c>
      <c r="F20" s="382">
        <f t="shared" si="8"/>
        <v>0.240886347390994</v>
      </c>
      <c r="G20" s="382">
        <f t="shared" si="8"/>
        <v>0.0423387096774193</v>
      </c>
      <c r="H20" s="383">
        <f t="shared" si="8"/>
        <v>-1</v>
      </c>
    </row>
    <row r="21" ht="17.25" customHeight="1" spans="2:8">
      <c r="B21" s="387"/>
      <c r="C21" s="384" t="s">
        <v>19</v>
      </c>
      <c r="D21" s="385">
        <f>'Analyse Globale'!C23*'Analyse Catégorielle'!$E$108</f>
        <v>95130.6686002613</v>
      </c>
      <c r="E21" s="385">
        <f>'Analyse Globale'!D23*'Analyse Catégorielle'!$E$108</f>
        <v>567376.791395748</v>
      </c>
      <c r="F21" s="385">
        <f>'Analyse Globale'!E23*'Analyse Catégorielle'!$E$108</f>
        <v>548442.718218173</v>
      </c>
      <c r="G21" s="385">
        <f>'Analyse Globale'!F23*'Analyse Catégorielle'!$E$108</f>
        <v>488427.518008425</v>
      </c>
      <c r="H21" s="386" t="e">
        <f>'Analyse Globale'!G23*'Analyse Catégorielle'!$E$108</f>
        <v>#REF!</v>
      </c>
    </row>
    <row r="22" ht="12.75" customHeight="1" spans="2:8">
      <c r="B22" s="387"/>
      <c r="C22" s="381" t="s">
        <v>12</v>
      </c>
      <c r="D22" s="382" t="str">
        <f t="shared" ref="D22:H22" si="9">IFERROR((D21-C21)/ABS(C21),"")</f>
        <v/>
      </c>
      <c r="E22" s="382">
        <f t="shared" si="9"/>
        <v>4.96418378787879</v>
      </c>
      <c r="F22" s="382">
        <f t="shared" si="9"/>
        <v>-0.0333712507538371</v>
      </c>
      <c r="G22" s="382">
        <f t="shared" si="9"/>
        <v>-0.10942838370565</v>
      </c>
      <c r="H22" s="383" t="str">
        <f t="shared" si="9"/>
        <v/>
      </c>
    </row>
    <row r="23" ht="12.75" customHeight="1" spans="2:8">
      <c r="B23" s="387"/>
      <c r="C23" s="377" t="s">
        <v>20</v>
      </c>
      <c r="D23" s="388">
        <f t="shared" ref="D23:G23" si="10">D10-SUM(D13:D21)</f>
        <v>-427594.543432459</v>
      </c>
      <c r="E23" s="388">
        <f t="shared" si="10"/>
        <v>2100045.27825581</v>
      </c>
      <c r="F23" s="388">
        <f t="shared" si="10"/>
        <v>6916734.42665316</v>
      </c>
      <c r="G23" s="388">
        <f t="shared" si="10"/>
        <v>6386795.5069001</v>
      </c>
      <c r="H23" s="394"/>
    </row>
    <row r="24" ht="12.75" customHeight="1" spans="2:8">
      <c r="B24" s="387"/>
      <c r="C24" s="381" t="s">
        <v>12</v>
      </c>
      <c r="D24" s="382" t="str">
        <f t="shared" ref="D24:H24" si="11">IFERROR((D23-C23)/ABS(C23),"")</f>
        <v/>
      </c>
      <c r="E24" s="382">
        <f t="shared" si="11"/>
        <v>5.91130046094127</v>
      </c>
      <c r="F24" s="382">
        <f t="shared" si="11"/>
        <v>2.29361204649733</v>
      </c>
      <c r="G24" s="382">
        <f t="shared" si="11"/>
        <v>-0.0766169245577773</v>
      </c>
      <c r="H24" s="383">
        <f t="shared" si="11"/>
        <v>-1</v>
      </c>
    </row>
    <row r="25" ht="12.75" customHeight="1" spans="2:8">
      <c r="B25" s="387"/>
      <c r="C25" s="395"/>
      <c r="D25" s="396"/>
      <c r="E25" s="396"/>
      <c r="F25" s="396"/>
      <c r="G25" s="396"/>
      <c r="H25" s="397"/>
    </row>
    <row r="26" ht="12.75" customHeight="1" spans="2:8">
      <c r="B26" s="398"/>
      <c r="C26" s="399" t="s">
        <v>21</v>
      </c>
      <c r="D26" s="400">
        <f t="shared" ref="D26:H26" si="12">D10-D23</f>
        <v>610133.515431676</v>
      </c>
      <c r="E26" s="400">
        <f t="shared" si="12"/>
        <v>2319888.95081567</v>
      </c>
      <c r="F26" s="400">
        <f t="shared" si="12"/>
        <v>2576671.87004489</v>
      </c>
      <c r="G26" s="400">
        <f t="shared" si="12"/>
        <v>2734883.54300118</v>
      </c>
      <c r="H26" s="401" t="e">
        <f t="shared" si="12"/>
        <v>#REF!</v>
      </c>
    </row>
    <row r="27" ht="12.75" customHeight="1" spans="2:8">
      <c r="B27" s="398"/>
      <c r="C27" s="377"/>
      <c r="D27" s="388"/>
      <c r="E27" s="388"/>
      <c r="F27" s="388"/>
      <c r="G27" s="388"/>
      <c r="H27" s="389"/>
    </row>
    <row r="28" ht="12.75" customHeight="1" spans="2:8">
      <c r="B28" s="398"/>
      <c r="C28" s="390" t="s">
        <v>45</v>
      </c>
      <c r="D28" s="391"/>
      <c r="E28" s="391"/>
      <c r="F28" s="391"/>
      <c r="G28" s="391"/>
      <c r="H28" s="402"/>
    </row>
    <row r="29" ht="12.75" customHeight="1" spans="2:8">
      <c r="B29" s="398"/>
      <c r="C29" s="403" t="s">
        <v>14</v>
      </c>
      <c r="D29" s="404">
        <f t="shared" ref="D29:H29" si="13">D10/D6</f>
        <v>0.0740824059074627</v>
      </c>
      <c r="E29" s="404">
        <f t="shared" si="13"/>
        <v>0.55885332979819</v>
      </c>
      <c r="F29" s="404">
        <f t="shared" si="13"/>
        <v>0.636822681734161</v>
      </c>
      <c r="G29" s="404">
        <f t="shared" si="13"/>
        <v>0.439329484480493</v>
      </c>
      <c r="H29" s="405" t="e">
        <f t="shared" si="13"/>
        <v>#REF!</v>
      </c>
    </row>
    <row r="30" ht="12.75" customHeight="1" spans="2:8">
      <c r="B30" s="398"/>
      <c r="C30" s="403" t="s">
        <v>46</v>
      </c>
      <c r="D30" s="404">
        <f t="shared" ref="D30:H30" si="14">D23/D6</f>
        <v>-0.173536818923882</v>
      </c>
      <c r="E30" s="404">
        <f t="shared" si="14"/>
        <v>0.265528226361589</v>
      </c>
      <c r="F30" s="404">
        <f t="shared" si="14"/>
        <v>0.463978179039518</v>
      </c>
      <c r="G30" s="404">
        <f t="shared" si="14"/>
        <v>0.307608671844151</v>
      </c>
      <c r="H30" s="405">
        <f t="shared" si="14"/>
        <v>0</v>
      </c>
    </row>
    <row r="31" ht="12.75" customHeight="1" spans="2:8">
      <c r="B31" s="406"/>
      <c r="C31" s="407" t="s">
        <v>47</v>
      </c>
      <c r="D31" s="408">
        <f t="shared" ref="D31:H31" si="15">D26/D6</f>
        <v>0.247619224831345</v>
      </c>
      <c r="E31" s="408">
        <f t="shared" si="15"/>
        <v>0.293325103436602</v>
      </c>
      <c r="F31" s="408">
        <f t="shared" si="15"/>
        <v>0.172844502694642</v>
      </c>
      <c r="G31" s="408">
        <f t="shared" si="15"/>
        <v>0.131720812636342</v>
      </c>
      <c r="H31" s="409" t="e">
        <f t="shared" si="15"/>
        <v>#REF!</v>
      </c>
    </row>
    <row r="32" ht="12.75" customHeight="1" spans="2:3">
      <c r="B32" s="410"/>
      <c r="C32" s="410"/>
    </row>
    <row r="33" ht="12.75" customHeight="1" spans="2:3">
      <c r="B33" s="410"/>
      <c r="C33" s="410"/>
    </row>
    <row r="34" ht="12.75" customHeight="1" spans="2:8">
      <c r="B34" s="411"/>
      <c r="C34" s="377" t="s">
        <v>11</v>
      </c>
      <c r="D34" s="378">
        <f t="shared" ref="D34:H34" si="16">D103</f>
        <v>858859.907969454</v>
      </c>
      <c r="E34" s="378">
        <f t="shared" si="16"/>
        <v>2817640.65747696</v>
      </c>
      <c r="F34" s="378">
        <f t="shared" si="16"/>
        <v>3493797.47888944</v>
      </c>
      <c r="G34" s="378">
        <f t="shared" si="16"/>
        <v>4468004.55385007</v>
      </c>
      <c r="H34" s="379">
        <f t="shared" si="16"/>
        <v>1094028.81982039</v>
      </c>
    </row>
    <row r="35" ht="12.75" customHeight="1" spans="2:8">
      <c r="B35" s="412"/>
      <c r="C35" s="381" t="s">
        <v>12</v>
      </c>
      <c r="D35" s="382" t="str">
        <f t="shared" ref="D35:H35" si="17">IFERROR((D34-C34)/ABS(C34),"")</f>
        <v/>
      </c>
      <c r="E35" s="382">
        <f t="shared" si="17"/>
        <v>2.28067549938211</v>
      </c>
      <c r="F35" s="382">
        <f t="shared" si="17"/>
        <v>0.239972694750202</v>
      </c>
      <c r="G35" s="382">
        <f t="shared" si="17"/>
        <v>0.278839022824615</v>
      </c>
      <c r="H35" s="383">
        <f t="shared" si="17"/>
        <v>-0.755141516389532</v>
      </c>
    </row>
    <row r="36" ht="12.75" customHeight="1" spans="2:8">
      <c r="B36" s="412"/>
      <c r="C36" s="384" t="s">
        <v>13</v>
      </c>
      <c r="D36" s="385">
        <f>'Détail Dépenses'!$E$13</f>
        <v>525790</v>
      </c>
      <c r="E36" s="385">
        <f>'Détail Dépenses'!$E$47</f>
        <v>2325600</v>
      </c>
      <c r="F36" s="385">
        <f>'Détail Dépenses'!$E$81</f>
        <v>2518900</v>
      </c>
      <c r="G36" s="385">
        <f>'Détail Dépenses'!$E$116</f>
        <v>2945575</v>
      </c>
      <c r="H36" s="386">
        <f>'Détail Dépenses'!$E$1082</f>
        <v>0</v>
      </c>
    </row>
    <row r="37" ht="12.75" customHeight="1" spans="2:8">
      <c r="B37" s="412"/>
      <c r="C37" s="381" t="s">
        <v>12</v>
      </c>
      <c r="D37" s="382" t="str">
        <f t="shared" ref="D37:H37" si="18">IFERROR((D36-C36)/ABS(C36),"")</f>
        <v/>
      </c>
      <c r="E37" s="382">
        <f t="shared" si="18"/>
        <v>3.42305863557694</v>
      </c>
      <c r="F37" s="382">
        <f t="shared" si="18"/>
        <v>0.0831183350533196</v>
      </c>
      <c r="G37" s="382">
        <f t="shared" si="18"/>
        <v>0.169389416014927</v>
      </c>
      <c r="H37" s="383">
        <f t="shared" si="18"/>
        <v>-1</v>
      </c>
    </row>
    <row r="38" ht="12.75" customHeight="1" spans="2:8">
      <c r="B38" s="412"/>
      <c r="C38" s="377" t="s">
        <v>14</v>
      </c>
      <c r="D38" s="388">
        <f t="shared" ref="D38:H38" si="19">D34-D36</f>
        <v>333069.907969454</v>
      </c>
      <c r="E38" s="388">
        <f t="shared" si="19"/>
        <v>492040.657476961</v>
      </c>
      <c r="F38" s="388">
        <f t="shared" si="19"/>
        <v>974897.47888944</v>
      </c>
      <c r="G38" s="388">
        <f t="shared" si="19"/>
        <v>1522429.55385007</v>
      </c>
      <c r="H38" s="389">
        <f t="shared" si="19"/>
        <v>1094028.81982039</v>
      </c>
    </row>
    <row r="39" ht="12.75" customHeight="1" spans="2:8">
      <c r="B39" s="412"/>
      <c r="C39" s="381" t="s">
        <v>12</v>
      </c>
      <c r="D39" s="382" t="str">
        <f t="shared" ref="D39:H39" si="20">IFERROR((D38-C38)/ABS(C38),"")</f>
        <v/>
      </c>
      <c r="E39" s="382">
        <f t="shared" si="20"/>
        <v>0.47728943895492</v>
      </c>
      <c r="F39" s="382">
        <f t="shared" si="20"/>
        <v>0.981335208940711</v>
      </c>
      <c r="G39" s="382">
        <f t="shared" si="20"/>
        <v>0.561630414291724</v>
      </c>
      <c r="H39" s="383">
        <f t="shared" si="20"/>
        <v>-0.281392812525412</v>
      </c>
    </row>
    <row r="40" ht="12.75" customHeight="1" spans="2:8">
      <c r="B40" s="412"/>
      <c r="C40" s="413"/>
      <c r="D40" s="410"/>
      <c r="E40" s="410"/>
      <c r="F40" s="410"/>
      <c r="G40" s="410"/>
      <c r="H40" s="414"/>
    </row>
    <row r="41" ht="12.75" customHeight="1" spans="2:8">
      <c r="B41" s="412"/>
      <c r="C41" s="384" t="s">
        <v>15</v>
      </c>
      <c r="D41" s="385">
        <f>'Analyse Globale'!C15*'Analyse Catégorielle'!$E$109</f>
        <v>2062.60894554994</v>
      </c>
      <c r="E41" s="385">
        <f>'Analyse Globale'!D15*'Analyse Catégorielle'!$E$109</f>
        <v>34548.6998379614</v>
      </c>
      <c r="F41" s="385">
        <f>'Analyse Globale'!E15*'Analyse Catégorielle'!$E$109</f>
        <v>49502.6146931985</v>
      </c>
      <c r="G41" s="385">
        <f>'Analyse Globale'!F15*'Analyse Catégorielle'!$E$109</f>
        <v>64972.181784823</v>
      </c>
      <c r="H41" s="386" t="e">
        <f>'Analyse Globale'!G15*'Analyse Catégorielle'!$E$109</f>
        <v>#REF!</v>
      </c>
    </row>
    <row r="42" ht="12.75" customHeight="1" spans="2:8">
      <c r="B42" s="412"/>
      <c r="C42" s="381" t="s">
        <v>12</v>
      </c>
      <c r="D42" s="382" t="str">
        <f t="shared" ref="D42:H42" si="21">IFERROR((D41-C41)/ABS(C41),"")</f>
        <v/>
      </c>
      <c r="E42" s="382">
        <f t="shared" si="21"/>
        <v>15.75</v>
      </c>
      <c r="F42" s="382">
        <f t="shared" si="21"/>
        <v>0.432835820895522</v>
      </c>
      <c r="G42" s="382">
        <f t="shared" si="21"/>
        <v>0.3125</v>
      </c>
      <c r="H42" s="383" t="str">
        <f t="shared" si="21"/>
        <v/>
      </c>
    </row>
    <row r="43" ht="12.75" customHeight="1" spans="2:8">
      <c r="B43" s="415" t="s">
        <v>42</v>
      </c>
      <c r="C43" s="384" t="s">
        <v>16</v>
      </c>
      <c r="D43" s="385">
        <f>'Analyse Globale'!C17*'Analyse Catégorielle'!$E$109</f>
        <v>0</v>
      </c>
      <c r="E43" s="385">
        <f>'Analyse Globale'!D17*'Analyse Catégorielle'!$E$109</f>
        <v>48471.3102204235</v>
      </c>
      <c r="F43" s="385">
        <f>'Analyse Globale'!E17*'Analyse Catégorielle'!$E$109</f>
        <v>56721.7460026233</v>
      </c>
      <c r="G43" s="385">
        <f>'Analyse Globale'!F17*'Analyse Catégorielle'!$E$109</f>
        <v>51565.2236387484</v>
      </c>
      <c r="H43" s="386" t="e">
        <f>'Analyse Globale'!G17*'Analyse Catégorielle'!$E$109</f>
        <v>#REF!</v>
      </c>
    </row>
    <row r="44" ht="12.75" customHeight="1" spans="2:8">
      <c r="B44" s="415"/>
      <c r="C44" s="381" t="s">
        <v>12</v>
      </c>
      <c r="D44" s="382" t="str">
        <f t="shared" ref="D44:H44" si="22">IFERROR((D43-C43)/ABS(C43),"")</f>
        <v/>
      </c>
      <c r="E44" s="382" t="str">
        <f t="shared" si="22"/>
        <v/>
      </c>
      <c r="F44" s="382">
        <f t="shared" si="22"/>
        <v>0.170212765957447</v>
      </c>
      <c r="G44" s="382">
        <f t="shared" si="22"/>
        <v>-0.0909090909090909</v>
      </c>
      <c r="H44" s="383" t="str">
        <f t="shared" si="22"/>
        <v/>
      </c>
    </row>
    <row r="45" ht="12.75" customHeight="1" spans="2:8">
      <c r="B45" s="412"/>
      <c r="C45" s="384" t="s">
        <v>17</v>
      </c>
      <c r="D45" s="385">
        <f>'Analyse Globale'!C19*'Analyse Catégorielle'!$E$109</f>
        <v>14964.2278999648</v>
      </c>
      <c r="E45" s="385">
        <f>'Analyse Globale'!D19*'Analyse Catégorielle'!$E$109</f>
        <v>23482.802845086</v>
      </c>
      <c r="F45" s="385">
        <f>'Analyse Globale'!E19*'Analyse Catégorielle'!$E$109</f>
        <v>4981.2006035031</v>
      </c>
      <c r="G45" s="385">
        <f>'Analyse Globale'!F19*'Analyse Catégorielle'!$E$109</f>
        <v>18315.9674364834</v>
      </c>
      <c r="H45" s="386" t="e">
        <f>'Analyse Globale'!G19*'Analyse Catégorielle'!$E$109</f>
        <v>#REF!</v>
      </c>
    </row>
    <row r="46" ht="12.75" customHeight="1" spans="2:8">
      <c r="B46" s="412"/>
      <c r="C46" s="381" t="s">
        <v>12</v>
      </c>
      <c r="D46" s="382" t="str">
        <f t="shared" ref="D46:H46" si="23">IFERROR((D45-C45)/ABS(C45),"")</f>
        <v/>
      </c>
      <c r="E46" s="382">
        <f t="shared" si="23"/>
        <v>0.569262577532736</v>
      </c>
      <c r="F46" s="382">
        <f t="shared" si="23"/>
        <v>-0.787878787878788</v>
      </c>
      <c r="G46" s="382">
        <f t="shared" si="23"/>
        <v>2.67701863354037</v>
      </c>
      <c r="H46" s="383" t="str">
        <f t="shared" si="23"/>
        <v/>
      </c>
    </row>
    <row r="47" ht="12.75" customHeight="1" spans="2:8">
      <c r="B47" s="412"/>
      <c r="C47" s="384" t="s">
        <v>18</v>
      </c>
      <c r="D47" s="385">
        <f>'Analyse Globale'!C21*'Analyse Catégorielle'!$E$109</f>
        <v>56670.1807789845</v>
      </c>
      <c r="E47" s="385">
        <f>'Analyse Globale'!D21*'Analyse Catégorielle'!$E$109</f>
        <v>144279.495741218</v>
      </c>
      <c r="F47" s="385">
        <f>'Analyse Globale'!E21*'Analyse Catégorielle'!$E$109</f>
        <v>179034.456473734</v>
      </c>
      <c r="G47" s="385">
        <f>'Analyse Globale'!F21*'Analyse Catégorielle'!$E$109</f>
        <v>186614.544348631</v>
      </c>
      <c r="H47" s="386">
        <f>'Analyse Globale'!G21*'Analyse Catégorielle'!$E$109</f>
        <v>0</v>
      </c>
    </row>
    <row r="48" ht="12.75" customHeight="1" spans="2:8">
      <c r="B48" s="412"/>
      <c r="C48" s="381" t="s">
        <v>12</v>
      </c>
      <c r="D48" s="382" t="str">
        <f t="shared" ref="D48:H48" si="24">IFERROR((D47-C47)/ABS(C47),"")</f>
        <v/>
      </c>
      <c r="E48" s="382">
        <f t="shared" si="24"/>
        <v>1.5459508644222</v>
      </c>
      <c r="F48" s="382">
        <f t="shared" si="24"/>
        <v>0.240886347390994</v>
      </c>
      <c r="G48" s="382">
        <f t="shared" si="24"/>
        <v>0.0423387096774195</v>
      </c>
      <c r="H48" s="383">
        <f t="shared" si="24"/>
        <v>-1</v>
      </c>
    </row>
    <row r="49" ht="12.75" customHeight="1" spans="2:8">
      <c r="B49" s="412"/>
      <c r="C49" s="384" t="s">
        <v>19</v>
      </c>
      <c r="D49" s="385">
        <f>'Analyse Globale'!C23*'Analyse Catégorielle'!$E$109</f>
        <v>13613.2190406296</v>
      </c>
      <c r="E49" s="385">
        <f>'Analyse Globale'!D23*'Analyse Catégorielle'!$E$109</f>
        <v>81191.7403029658</v>
      </c>
      <c r="F49" s="385">
        <f>'Analyse Globale'!E23*'Analyse Catégorielle'!$E$109</f>
        <v>78482.2703781751</v>
      </c>
      <c r="G49" s="385">
        <f>'Analyse Globale'!F23*'Analyse Catégorielle'!$E$109</f>
        <v>69894.0823811415</v>
      </c>
      <c r="H49" s="386" t="e">
        <f>'Analyse Globale'!G23*'Analyse Catégorielle'!$E$109</f>
        <v>#REF!</v>
      </c>
    </row>
    <row r="50" ht="12.75" customHeight="1" spans="2:8">
      <c r="B50" s="412"/>
      <c r="C50" s="381" t="s">
        <v>12</v>
      </c>
      <c r="D50" s="382" t="str">
        <f t="shared" ref="D50:H50" si="25">IFERROR((D49-C49)/ABS(C49),"")</f>
        <v/>
      </c>
      <c r="E50" s="382">
        <f t="shared" si="25"/>
        <v>4.96418378787879</v>
      </c>
      <c r="F50" s="382">
        <f t="shared" si="25"/>
        <v>-0.033371250753837</v>
      </c>
      <c r="G50" s="382">
        <f t="shared" si="25"/>
        <v>-0.10942838370565</v>
      </c>
      <c r="H50" s="383" t="str">
        <f t="shared" si="25"/>
        <v/>
      </c>
    </row>
    <row r="51" ht="12.75" customHeight="1" spans="2:8">
      <c r="B51" s="412"/>
      <c r="C51" s="377" t="s">
        <v>20</v>
      </c>
      <c r="D51" s="388">
        <f t="shared" ref="D51:G51" si="26">SUM(D41:D49)</f>
        <v>87310.2366651288</v>
      </c>
      <c r="E51" s="388">
        <f t="shared" si="26"/>
        <v>331991.914161097</v>
      </c>
      <c r="F51" s="388">
        <f t="shared" si="26"/>
        <v>368722.344207381</v>
      </c>
      <c r="G51" s="388">
        <f t="shared" si="26"/>
        <v>391364.940538079</v>
      </c>
      <c r="H51" s="394"/>
    </row>
    <row r="52" ht="12.75" customHeight="1" spans="2:8">
      <c r="B52" s="412"/>
      <c r="C52" s="381" t="s">
        <v>12</v>
      </c>
      <c r="D52" s="382" t="str">
        <f t="shared" ref="D52:H52" si="27">IFERROR((D51-C51)/ABS(C51),"")</f>
        <v/>
      </c>
      <c r="E52" s="382">
        <f t="shared" si="27"/>
        <v>2.80243974637733</v>
      </c>
      <c r="F52" s="382">
        <f t="shared" si="27"/>
        <v>0.110636519986028</v>
      </c>
      <c r="G52" s="382">
        <f t="shared" si="27"/>
        <v>0.0614082566093789</v>
      </c>
      <c r="H52" s="383">
        <f t="shared" si="27"/>
        <v>-1</v>
      </c>
    </row>
    <row r="53" ht="12.75" customHeight="1" spans="2:8">
      <c r="B53" s="412"/>
      <c r="C53" s="395"/>
      <c r="D53" s="396"/>
      <c r="E53" s="396"/>
      <c r="F53" s="396"/>
      <c r="G53" s="396"/>
      <c r="H53" s="397"/>
    </row>
    <row r="54" ht="12.75" customHeight="1" spans="2:8">
      <c r="B54" s="416"/>
      <c r="C54" s="417" t="s">
        <v>21</v>
      </c>
      <c r="D54" s="418">
        <f t="shared" ref="D54:H54" si="28">D38-D51</f>
        <v>245759.671304325</v>
      </c>
      <c r="E54" s="418">
        <f t="shared" si="28"/>
        <v>160048.743315864</v>
      </c>
      <c r="F54" s="418">
        <f t="shared" si="28"/>
        <v>606175.134682059</v>
      </c>
      <c r="G54" s="418">
        <f t="shared" si="28"/>
        <v>1131064.61331199</v>
      </c>
      <c r="H54" s="419">
        <f t="shared" si="28"/>
        <v>1094028.81982039</v>
      </c>
    </row>
    <row r="55" ht="12.75" customHeight="1" spans="2:8">
      <c r="B55" s="416"/>
      <c r="C55" s="377"/>
      <c r="D55" s="388"/>
      <c r="E55" s="388"/>
      <c r="F55" s="388"/>
      <c r="G55" s="388"/>
      <c r="H55" s="389"/>
    </row>
    <row r="56" ht="12.75" customHeight="1" spans="2:8">
      <c r="B56" s="416"/>
      <c r="C56" s="390" t="s">
        <v>45</v>
      </c>
      <c r="D56" s="391"/>
      <c r="E56" s="391"/>
      <c r="F56" s="391"/>
      <c r="G56" s="391"/>
      <c r="H56" s="402"/>
    </row>
    <row r="57" ht="12.75" customHeight="1" spans="2:8">
      <c r="B57" s="416"/>
      <c r="C57" s="403" t="s">
        <v>14</v>
      </c>
      <c r="D57" s="404">
        <f t="shared" ref="D57:H57" si="29">D38/D34</f>
        <v>0.387804698855846</v>
      </c>
      <c r="E57" s="404">
        <f t="shared" si="29"/>
        <v>0.174628605025013</v>
      </c>
      <c r="F57" s="404">
        <f t="shared" si="29"/>
        <v>0.279036631281595</v>
      </c>
      <c r="G57" s="404">
        <f t="shared" si="29"/>
        <v>0.340740376492723</v>
      </c>
      <c r="H57" s="405">
        <f t="shared" si="29"/>
        <v>1</v>
      </c>
    </row>
    <row r="58" ht="12.75" customHeight="1" spans="2:8">
      <c r="B58" s="416"/>
      <c r="C58" s="403" t="s">
        <v>46</v>
      </c>
      <c r="D58" s="404">
        <f t="shared" ref="D58:H58" si="30">D51/D34</f>
        <v>0.101658298233469</v>
      </c>
      <c r="E58" s="404">
        <f t="shared" si="30"/>
        <v>0.117826207994307</v>
      </c>
      <c r="F58" s="404">
        <f t="shared" si="30"/>
        <v>0.105536267180714</v>
      </c>
      <c r="G58" s="404">
        <f t="shared" si="30"/>
        <v>0.0875927801373525</v>
      </c>
      <c r="H58" s="405">
        <f t="shared" si="30"/>
        <v>0</v>
      </c>
    </row>
    <row r="59" ht="12.75" customHeight="1" spans="2:8">
      <c r="B59" s="420"/>
      <c r="C59" s="407" t="s">
        <v>47</v>
      </c>
      <c r="D59" s="408">
        <f t="shared" ref="D59:H59" si="31">D54/D34</f>
        <v>0.286146400622377</v>
      </c>
      <c r="E59" s="408">
        <f t="shared" si="31"/>
        <v>0.0568023970307055</v>
      </c>
      <c r="F59" s="408">
        <f t="shared" si="31"/>
        <v>0.173500364100881</v>
      </c>
      <c r="G59" s="408">
        <f t="shared" si="31"/>
        <v>0.25314759635537</v>
      </c>
      <c r="H59" s="409">
        <f t="shared" si="31"/>
        <v>1</v>
      </c>
    </row>
    <row r="60" ht="12.75" customHeight="1"/>
    <row r="61" ht="12.75" customHeight="1"/>
    <row r="62" ht="12.75" customHeight="1"/>
    <row r="63" ht="12.75" customHeight="1" spans="2:8">
      <c r="B63" s="421"/>
      <c r="C63" s="377" t="s">
        <v>11</v>
      </c>
      <c r="D63" s="378">
        <f t="shared" ref="D63:H63" si="32">D104</f>
        <v>204441.12003133</v>
      </c>
      <c r="E63" s="378">
        <f t="shared" si="32"/>
        <v>1498475.11345156</v>
      </c>
      <c r="F63" s="378">
        <f t="shared" si="32"/>
        <v>2069746.2244125</v>
      </c>
      <c r="G63" s="378">
        <f t="shared" si="32"/>
        <v>3591016.39624865</v>
      </c>
      <c r="H63" s="379">
        <f t="shared" si="32"/>
        <v>879290.82940577</v>
      </c>
    </row>
    <row r="64" ht="12.75" customHeight="1" spans="2:8">
      <c r="B64" s="422"/>
      <c r="C64" s="381" t="s">
        <v>12</v>
      </c>
      <c r="D64" s="382" t="str">
        <f t="shared" ref="D64:H64" si="33">IFERROR((D63-C63)/ABS(C63),"")</f>
        <v/>
      </c>
      <c r="E64" s="382">
        <f t="shared" si="33"/>
        <v>6.32961702235796</v>
      </c>
      <c r="F64" s="382">
        <f t="shared" si="33"/>
        <v>0.381234967356307</v>
      </c>
      <c r="G64" s="382">
        <f t="shared" si="33"/>
        <v>0.735003235610662</v>
      </c>
      <c r="H64" s="383">
        <f t="shared" si="33"/>
        <v>-0.755141516389532</v>
      </c>
    </row>
    <row r="65" ht="12.75" customHeight="1" spans="2:8">
      <c r="B65" s="422"/>
      <c r="C65" s="384" t="s">
        <v>13</v>
      </c>
      <c r="D65" s="385">
        <f>'Détail Dépenses'!$D$13</f>
        <v>166200</v>
      </c>
      <c r="E65" s="385">
        <f>'Détail Dépenses'!$D$47</f>
        <v>322000</v>
      </c>
      <c r="F65" s="385">
        <f>'Détail Dépenses'!$D$81</f>
        <v>417600</v>
      </c>
      <c r="G65" s="385">
        <f>'Détail Dépenses'!$D$116</f>
        <v>782000</v>
      </c>
      <c r="H65" s="386" t="e">
        <f>'Détail Dépenses'!#REF!</f>
        <v>#REF!</v>
      </c>
    </row>
    <row r="66" ht="12.75" customHeight="1" spans="2:8">
      <c r="B66" s="422"/>
      <c r="C66" s="381" t="s">
        <v>12</v>
      </c>
      <c r="D66" s="382" t="str">
        <f t="shared" ref="D66:H66" si="34">IFERROR((D65-C65)/ABS(C65),"")</f>
        <v/>
      </c>
      <c r="E66" s="382">
        <f t="shared" si="34"/>
        <v>0.937424789410349</v>
      </c>
      <c r="F66" s="382">
        <f t="shared" si="34"/>
        <v>0.296894409937888</v>
      </c>
      <c r="G66" s="382">
        <f t="shared" si="34"/>
        <v>0.872605363984674</v>
      </c>
      <c r="H66" s="383" t="str">
        <f t="shared" si="34"/>
        <v/>
      </c>
    </row>
    <row r="67" ht="12.75" customHeight="1" spans="2:8">
      <c r="B67" s="422"/>
      <c r="C67" s="377" t="s">
        <v>14</v>
      </c>
      <c r="D67" s="388">
        <f t="shared" ref="D67:H67" si="35">D63-D65</f>
        <v>38241.1200313295</v>
      </c>
      <c r="E67" s="388">
        <f t="shared" si="35"/>
        <v>1176475.11345156</v>
      </c>
      <c r="F67" s="388">
        <f t="shared" si="35"/>
        <v>1652146.2244125</v>
      </c>
      <c r="G67" s="388">
        <f t="shared" si="35"/>
        <v>2809016.39624865</v>
      </c>
      <c r="H67" s="389" t="e">
        <f t="shared" si="35"/>
        <v>#REF!</v>
      </c>
    </row>
    <row r="68" ht="12.75" customHeight="1" spans="2:8">
      <c r="B68" s="422"/>
      <c r="C68" s="381" t="s">
        <v>12</v>
      </c>
      <c r="D68" s="382" t="str">
        <f t="shared" ref="D68:H68" si="36">IFERROR((D67-C67)/ABS(C67),"")</f>
        <v/>
      </c>
      <c r="E68" s="382">
        <f t="shared" si="36"/>
        <v>29.7646615080238</v>
      </c>
      <c r="F68" s="382">
        <f t="shared" si="36"/>
        <v>0.404318889130951</v>
      </c>
      <c r="G68" s="382">
        <f t="shared" si="36"/>
        <v>0.700222628446534</v>
      </c>
      <c r="H68" s="383" t="str">
        <f t="shared" si="36"/>
        <v/>
      </c>
    </row>
    <row r="69" ht="12.75" customHeight="1" spans="2:8">
      <c r="B69" s="422"/>
      <c r="C69" s="413"/>
      <c r="D69" s="410"/>
      <c r="E69" s="410"/>
      <c r="F69" s="410"/>
      <c r="G69" s="410"/>
      <c r="H69" s="424"/>
    </row>
    <row r="70" ht="12.75" customHeight="1" spans="2:8">
      <c r="B70" s="422"/>
      <c r="C70" s="384" t="s">
        <v>15</v>
      </c>
      <c r="D70" s="385">
        <f>'Analyse Globale'!C15*'Analyse Catégorielle'!$E$110</f>
        <v>3523.6533877438</v>
      </c>
      <c r="E70" s="385">
        <f>'Analyse Globale'!D15*'Analyse Catégorielle'!$E$110</f>
        <v>59021.1942447087</v>
      </c>
      <c r="F70" s="385">
        <f>'Analyse Globale'!E15*'Analyse Catégorielle'!$E$110</f>
        <v>84567.6813058512</v>
      </c>
      <c r="G70" s="385">
        <f>'Analyse Globale'!F15*'Analyse Catégorielle'!$E$110</f>
        <v>110995.08171393</v>
      </c>
      <c r="H70" s="386" t="e">
        <f>'Analyse Globale'!G15*'Analyse Catégorielle'!$E$110</f>
        <v>#REF!</v>
      </c>
    </row>
    <row r="71" ht="12.75" customHeight="1" spans="2:8">
      <c r="B71" s="422"/>
      <c r="C71" s="381" t="s">
        <v>12</v>
      </c>
      <c r="D71" s="382" t="str">
        <f t="shared" ref="D71:H71" si="37">IFERROR((D70-C70)/ABS(C70),"")</f>
        <v/>
      </c>
      <c r="E71" s="382">
        <f t="shared" si="37"/>
        <v>15.75</v>
      </c>
      <c r="F71" s="382">
        <f t="shared" si="37"/>
        <v>0.432835820895522</v>
      </c>
      <c r="G71" s="382">
        <f t="shared" si="37"/>
        <v>0.3125</v>
      </c>
      <c r="H71" s="383" t="str">
        <f t="shared" si="37"/>
        <v/>
      </c>
    </row>
    <row r="72" ht="12.75" customHeight="1" spans="2:8">
      <c r="B72" s="425" t="s">
        <v>43</v>
      </c>
      <c r="C72" s="384" t="s">
        <v>16</v>
      </c>
      <c r="D72" s="385">
        <f>'Analyse Globale'!C17*'Analyse Catégorielle'!$E$110</f>
        <v>0</v>
      </c>
      <c r="E72" s="385">
        <f>'Analyse Globale'!D17*'Analyse Catégorielle'!$E$110</f>
        <v>82805.8546119793</v>
      </c>
      <c r="F72" s="385">
        <f>'Analyse Globale'!E17*'Analyse Catégorielle'!$E$110</f>
        <v>96900.4681629545</v>
      </c>
      <c r="G72" s="385">
        <f>'Analyse Globale'!F17*'Analyse Catégorielle'!$E$110</f>
        <v>88091.334693595</v>
      </c>
      <c r="H72" s="386" t="e">
        <f>'Analyse Globale'!G17*'Analyse Catégorielle'!$E$110</f>
        <v>#REF!</v>
      </c>
    </row>
    <row r="73" ht="12.75" customHeight="1" spans="2:8">
      <c r="B73" s="425"/>
      <c r="C73" s="381" t="s">
        <v>12</v>
      </c>
      <c r="D73" s="382" t="str">
        <f t="shared" ref="D73:H73" si="38">IFERROR((D72-C72)/ABS(C72),"")</f>
        <v/>
      </c>
      <c r="E73" s="382" t="str">
        <f t="shared" si="38"/>
        <v/>
      </c>
      <c r="F73" s="382">
        <f t="shared" si="38"/>
        <v>0.170212765957447</v>
      </c>
      <c r="G73" s="382">
        <f t="shared" si="38"/>
        <v>-0.0909090909090909</v>
      </c>
      <c r="H73" s="383" t="str">
        <f t="shared" si="38"/>
        <v/>
      </c>
    </row>
    <row r="74" ht="12.75" customHeight="1" spans="2:8">
      <c r="B74" s="422"/>
      <c r="C74" s="384" t="s">
        <v>17</v>
      </c>
      <c r="D74" s="385">
        <f>'Analyse Globale'!C19*'Analyse Catégorielle'!$E$110</f>
        <v>25564.1053280813</v>
      </c>
      <c r="E74" s="385">
        <f>'Analyse Globale'!D19*'Analyse Catégorielle'!$E$110</f>
        <v>40116.7938194632</v>
      </c>
      <c r="F74" s="385">
        <f>'Analyse Globale'!E19*'Analyse Catégorielle'!$E$110</f>
        <v>8509.62293140128</v>
      </c>
      <c r="G74" s="385">
        <f>'Analyse Globale'!F19*'Analyse Catégorielle'!$E$110</f>
        <v>31290.0420831649</v>
      </c>
      <c r="H74" s="386" t="e">
        <f>'Analyse Globale'!G19*'Analyse Catégorielle'!$E$110</f>
        <v>#REF!</v>
      </c>
    </row>
    <row r="75" ht="12.75" customHeight="1" spans="2:8">
      <c r="B75" s="422"/>
      <c r="C75" s="381" t="s">
        <v>12</v>
      </c>
      <c r="D75" s="382" t="str">
        <f t="shared" ref="D75:H75" si="39">IFERROR((D74-C74)/ABS(C74),"")</f>
        <v/>
      </c>
      <c r="E75" s="382">
        <f t="shared" si="39"/>
        <v>0.569262577532736</v>
      </c>
      <c r="F75" s="382">
        <f t="shared" si="39"/>
        <v>-0.787878787878788</v>
      </c>
      <c r="G75" s="382">
        <f t="shared" si="39"/>
        <v>2.67701863354037</v>
      </c>
      <c r="H75" s="383" t="str">
        <f t="shared" si="39"/>
        <v/>
      </c>
    </row>
    <row r="76" ht="12.75" customHeight="1" spans="2:8">
      <c r="B76" s="422"/>
      <c r="C76" s="384" t="s">
        <v>18</v>
      </c>
      <c r="D76" s="385">
        <f>'Analyse Globale'!C21*'Analyse Catégorielle'!$E$110</f>
        <v>96812.3768282609</v>
      </c>
      <c r="E76" s="385">
        <f>'Analyse Globale'!D21*'Analyse Catégorielle'!$E$110</f>
        <v>246479.554472679</v>
      </c>
      <c r="F76" s="385">
        <f>'Analyse Globale'!E21*'Analyse Catégorielle'!$E$110</f>
        <v>305853.114056162</v>
      </c>
      <c r="G76" s="385">
        <f>'Analyse Globale'!F21*'Analyse Catégorielle'!$E$110</f>
        <v>318802.54025612</v>
      </c>
      <c r="H76" s="386">
        <f>'Analyse Globale'!G21*'Analyse Catégorielle'!$E$110</f>
        <v>0</v>
      </c>
    </row>
    <row r="77" ht="12.75" customHeight="1" spans="2:8">
      <c r="B77" s="422"/>
      <c r="C77" s="381" t="s">
        <v>12</v>
      </c>
      <c r="D77" s="382" t="str">
        <f t="shared" ref="D77:H77" si="40">IFERROR((D76-C76)/ABS(C76),"")</f>
        <v/>
      </c>
      <c r="E77" s="382">
        <f t="shared" si="40"/>
        <v>1.5459508644222</v>
      </c>
      <c r="F77" s="382">
        <f t="shared" si="40"/>
        <v>0.240886347390994</v>
      </c>
      <c r="G77" s="382">
        <f t="shared" si="40"/>
        <v>0.0423387096774192</v>
      </c>
      <c r="H77" s="383">
        <f t="shared" si="40"/>
        <v>-1</v>
      </c>
    </row>
    <row r="78" ht="12.75" customHeight="1" spans="2:8">
      <c r="B78" s="422"/>
      <c r="C78" s="384" t="s">
        <v>19</v>
      </c>
      <c r="D78" s="385">
        <f>'Analyse Globale'!C23*'Analyse Catégorielle'!$E$110</f>
        <v>23256.1123591091</v>
      </c>
      <c r="E78" s="385">
        <f>'Analyse Globale'!D23*'Analyse Catégorielle'!$E$110</f>
        <v>138703.728301286</v>
      </c>
      <c r="F78" s="385">
        <f>'Analyse Globale'!E23*'Analyse Catégorielle'!$E$110</f>
        <v>134075.011403652</v>
      </c>
      <c r="G78" s="385">
        <f>'Analyse Globale'!F23*'Analyse Catégorielle'!$E$110</f>
        <v>119403.399610433</v>
      </c>
      <c r="H78" s="386" t="e">
        <f>'Analyse Globale'!G23*'Analyse Catégorielle'!$E$110</f>
        <v>#REF!</v>
      </c>
    </row>
    <row r="79" ht="12.75" customHeight="1" spans="2:8">
      <c r="B79" s="422"/>
      <c r="C79" s="381" t="s">
        <v>12</v>
      </c>
      <c r="D79" s="382" t="str">
        <f t="shared" ref="D79:H79" si="41">IFERROR((D78-C78)/ABS(C78),"")</f>
        <v/>
      </c>
      <c r="E79" s="382">
        <f t="shared" si="41"/>
        <v>4.96418378787879</v>
      </c>
      <c r="F79" s="382">
        <f t="shared" si="41"/>
        <v>-0.0333712507538372</v>
      </c>
      <c r="G79" s="382">
        <f t="shared" si="41"/>
        <v>-0.10942838370565</v>
      </c>
      <c r="H79" s="383" t="str">
        <f t="shared" si="41"/>
        <v/>
      </c>
    </row>
    <row r="80" ht="12.75" customHeight="1" spans="2:8">
      <c r="B80" s="422"/>
      <c r="C80" s="377" t="s">
        <v>20</v>
      </c>
      <c r="D80" s="388">
        <f t="shared" ref="D80:H80" si="42">SUM(D70:D78)</f>
        <v>149156.247903195</v>
      </c>
      <c r="E80" s="388">
        <f t="shared" si="42"/>
        <v>567144.990663558</v>
      </c>
      <c r="F80" s="388">
        <f t="shared" si="42"/>
        <v>629905.953916167</v>
      </c>
      <c r="G80" s="388">
        <f t="shared" si="42"/>
        <v>668585.339305496</v>
      </c>
      <c r="H80" s="389" t="e">
        <f t="shared" si="42"/>
        <v>#REF!</v>
      </c>
    </row>
    <row r="81" ht="12.75" customHeight="1" spans="2:8">
      <c r="B81" s="422"/>
      <c r="C81" s="381" t="s">
        <v>12</v>
      </c>
      <c r="D81" s="382" t="str">
        <f t="shared" ref="D81:H81" si="43">IFERROR((D80-C80)/ABS(C80),"")</f>
        <v/>
      </c>
      <c r="E81" s="382">
        <f t="shared" si="43"/>
        <v>2.80235490391019</v>
      </c>
      <c r="F81" s="382">
        <f t="shared" si="43"/>
        <v>0.110661231758706</v>
      </c>
      <c r="G81" s="382">
        <f t="shared" si="43"/>
        <v>0.0614050163343538</v>
      </c>
      <c r="H81" s="383" t="str">
        <f t="shared" si="43"/>
        <v/>
      </c>
    </row>
    <row r="82" ht="12.75" customHeight="1" spans="2:8">
      <c r="B82" s="422"/>
      <c r="C82" s="395"/>
      <c r="D82" s="396"/>
      <c r="E82" s="396"/>
      <c r="F82" s="396"/>
      <c r="G82" s="396"/>
      <c r="H82" s="397"/>
    </row>
    <row r="83" ht="12.75" customHeight="1" spans="2:8">
      <c r="B83" s="426"/>
      <c r="C83" s="427" t="s">
        <v>21</v>
      </c>
      <c r="D83" s="418">
        <f t="shared" ref="D83:H83" si="44">D67-D80</f>
        <v>-110915.127871866</v>
      </c>
      <c r="E83" s="418">
        <f t="shared" si="44"/>
        <v>609330.122788003</v>
      </c>
      <c r="F83" s="418">
        <f t="shared" si="44"/>
        <v>1022240.27049634</v>
      </c>
      <c r="G83" s="418">
        <f t="shared" si="44"/>
        <v>2140431.05694315</v>
      </c>
      <c r="H83" s="428" t="e">
        <f t="shared" si="44"/>
        <v>#REF!</v>
      </c>
    </row>
    <row r="84" ht="12.75" customHeight="1" spans="2:8">
      <c r="B84" s="426"/>
      <c r="C84" s="377"/>
      <c r="D84" s="388"/>
      <c r="E84" s="388"/>
      <c r="F84" s="388"/>
      <c r="G84" s="388"/>
      <c r="H84" s="389"/>
    </row>
    <row r="85" ht="12.75" customHeight="1" spans="2:8">
      <c r="B85" s="426"/>
      <c r="C85" s="390" t="s">
        <v>45</v>
      </c>
      <c r="D85" s="391"/>
      <c r="E85" s="391"/>
      <c r="F85" s="391"/>
      <c r="G85" s="391"/>
      <c r="H85" s="402"/>
    </row>
    <row r="86" ht="12.75" customHeight="1" spans="2:8">
      <c r="B86" s="426"/>
      <c r="C86" s="403" t="s">
        <v>14</v>
      </c>
      <c r="D86" s="404">
        <f t="shared" ref="D86:H86" si="45">D67/D63</f>
        <v>0.187051998274463</v>
      </c>
      <c r="E86" s="404">
        <f t="shared" si="45"/>
        <v>0.785114883050469</v>
      </c>
      <c r="F86" s="404">
        <f t="shared" si="45"/>
        <v>0.798236133940268</v>
      </c>
      <c r="G86" s="404">
        <f t="shared" si="45"/>
        <v>0.782234355483056</v>
      </c>
      <c r="H86" s="405" t="e">
        <f t="shared" si="45"/>
        <v>#REF!</v>
      </c>
    </row>
    <row r="87" ht="12.75" customHeight="1" spans="2:8">
      <c r="B87" s="426"/>
      <c r="C87" s="403" t="s">
        <v>46</v>
      </c>
      <c r="D87" s="404">
        <f t="shared" ref="D87:H87" si="46">D80/D63</f>
        <v>0.729580467375338</v>
      </c>
      <c r="E87" s="404">
        <f t="shared" si="46"/>
        <v>0.378481421261116</v>
      </c>
      <c r="F87" s="404">
        <f t="shared" si="46"/>
        <v>0.304339704301171</v>
      </c>
      <c r="G87" s="404">
        <f t="shared" si="46"/>
        <v>0.186182758732022</v>
      </c>
      <c r="H87" s="405" t="e">
        <f t="shared" si="46"/>
        <v>#REF!</v>
      </c>
    </row>
    <row r="88" ht="12.75" customHeight="1" spans="2:8">
      <c r="B88" s="429"/>
      <c r="C88" s="407" t="s">
        <v>47</v>
      </c>
      <c r="D88" s="408">
        <f t="shared" ref="D88:H88" si="47">D83/D63</f>
        <v>-0.542528469100875</v>
      </c>
      <c r="E88" s="408">
        <f t="shared" si="47"/>
        <v>0.406633461789354</v>
      </c>
      <c r="F88" s="408">
        <f t="shared" si="47"/>
        <v>0.493896429639097</v>
      </c>
      <c r="G88" s="408">
        <f t="shared" si="47"/>
        <v>0.596051596751034</v>
      </c>
      <c r="H88" s="409" t="e">
        <f t="shared" si="47"/>
        <v>#REF!</v>
      </c>
    </row>
    <row r="89" ht="12.75" customHeight="1"/>
    <row r="90" ht="12.75" customHeight="1"/>
    <row r="91" ht="12.75" customHeight="1" spans="2:8">
      <c r="B91" s="374" t="s">
        <v>48</v>
      </c>
      <c r="C91" s="374"/>
      <c r="D91" s="374"/>
      <c r="E91" s="374"/>
      <c r="F91" s="375"/>
      <c r="G91" s="375"/>
      <c r="H91" s="375"/>
    </row>
    <row r="92" ht="12.75" customHeight="1"/>
    <row r="93" ht="12.75" customHeight="1" spans="2:2">
      <c r="B93" s="430" t="s">
        <v>49</v>
      </c>
    </row>
    <row r="94" ht="12.75" customHeight="1" spans="2:11">
      <c r="B94" s="396"/>
      <c r="C94" s="396"/>
      <c r="D94" s="431" t="s">
        <v>2</v>
      </c>
      <c r="E94" s="432"/>
      <c r="F94" s="433" t="s">
        <v>3</v>
      </c>
      <c r="G94" s="433"/>
      <c r="H94" s="431" t="s">
        <v>4</v>
      </c>
      <c r="I94" s="433"/>
      <c r="J94" s="431" t="s">
        <v>5</v>
      </c>
      <c r="K94" s="432"/>
    </row>
    <row r="95" ht="12.75" customHeight="1" spans="2:11">
      <c r="B95" s="434" t="s">
        <v>50</v>
      </c>
      <c r="C95" s="396"/>
      <c r="D95" s="435">
        <f>'Analyse CA Initial'!C37</f>
        <v>3567500</v>
      </c>
      <c r="E95" s="436">
        <f t="shared" ref="E95:E97" si="48">D95/$D$98</f>
        <v>0.698551008419816</v>
      </c>
      <c r="F95" s="359">
        <f>'Analyse CA Initial'!F37</f>
        <v>10442500</v>
      </c>
      <c r="G95" s="436">
        <f t="shared" ref="G95:G97" si="49">F95/$F$98</f>
        <v>0.64694493920855</v>
      </c>
      <c r="H95" s="359">
        <f>'Analyse CA Initial'!I37</f>
        <v>19468500</v>
      </c>
      <c r="I95" s="436">
        <f t="shared" ref="I95:I97" si="50">H95/$H$98</f>
        <v>0.728223159430319</v>
      </c>
      <c r="J95" s="359">
        <f>'Analyse CA Initial'!L37</f>
        <v>22621500</v>
      </c>
      <c r="K95" s="436">
        <f t="shared" ref="K95:K97" si="51">J95/$J$98</f>
        <v>0.720384051971212</v>
      </c>
    </row>
    <row r="96" ht="12.75" customHeight="1" spans="2:11">
      <c r="B96" s="437" t="s">
        <v>51</v>
      </c>
      <c r="C96" s="438"/>
      <c r="D96" s="439">
        <f>'Analyse CA Initial'!C38</f>
        <v>1243500</v>
      </c>
      <c r="E96" s="440">
        <f t="shared" si="48"/>
        <v>0.243489328372822</v>
      </c>
      <c r="F96" s="359">
        <f>'Analyse CA Initial'!F38</f>
        <v>3720250</v>
      </c>
      <c r="G96" s="440">
        <f t="shared" si="49"/>
        <v>0.230480910710137</v>
      </c>
      <c r="H96" s="359">
        <f>'Analyse CA Initial'!I38</f>
        <v>4562750</v>
      </c>
      <c r="I96" s="440">
        <f t="shared" si="50"/>
        <v>0.170670581744392</v>
      </c>
      <c r="J96" s="359">
        <f>'Analyse CA Initial'!L38</f>
        <v>4868000</v>
      </c>
      <c r="K96" s="440">
        <f t="shared" si="51"/>
        <v>0.155021973122731</v>
      </c>
    </row>
    <row r="97" ht="13.5" customHeight="1" spans="2:11">
      <c r="B97" s="441" t="s">
        <v>52</v>
      </c>
      <c r="C97" s="442"/>
      <c r="D97" s="443">
        <f>'Analyse CA Initial'!C39</f>
        <v>296000</v>
      </c>
      <c r="E97" s="444">
        <f t="shared" si="48"/>
        <v>0.0579596632073624</v>
      </c>
      <c r="F97" s="445">
        <f>'Analyse CA Initial'!F39</f>
        <v>1978500</v>
      </c>
      <c r="G97" s="444">
        <f t="shared" si="49"/>
        <v>0.122574150081313</v>
      </c>
      <c r="H97" s="445">
        <f>'Analyse CA Initial'!I39</f>
        <v>2703000</v>
      </c>
      <c r="I97" s="444">
        <f t="shared" si="50"/>
        <v>0.10110625882529</v>
      </c>
      <c r="J97" s="445">
        <f>'Analyse CA Initial'!L39</f>
        <v>3912500</v>
      </c>
      <c r="K97" s="444">
        <f t="shared" si="51"/>
        <v>0.124593974906057</v>
      </c>
    </row>
    <row r="98" ht="13.5" customHeight="1" spans="2:11">
      <c r="B98" s="446" t="s">
        <v>53</v>
      </c>
      <c r="C98" s="447"/>
      <c r="D98" s="443">
        <f>'Analyse CA Initial'!C40</f>
        <v>5107000</v>
      </c>
      <c r="E98" s="448"/>
      <c r="F98" s="443">
        <f>'Analyse CA Initial'!F40</f>
        <v>16141250</v>
      </c>
      <c r="G98" s="448"/>
      <c r="H98" s="443">
        <f>'Analyse CA Initial'!I40</f>
        <v>26734250</v>
      </c>
      <c r="I98" s="448"/>
      <c r="J98" s="443">
        <f>'Analyse CA Initial'!L40</f>
        <v>31402000</v>
      </c>
      <c r="K98" s="448"/>
    </row>
    <row r="99" ht="13.5" customHeight="1" spans="2:11">
      <c r="B99" s="449"/>
      <c r="D99" s="359"/>
      <c r="E99" s="450"/>
      <c r="F99" s="359"/>
      <c r="G99" s="450"/>
      <c r="H99" s="359"/>
      <c r="I99" s="450"/>
      <c r="J99" s="359"/>
      <c r="K99" s="450"/>
    </row>
    <row r="100" ht="12.75" customHeight="1" spans="2:7">
      <c r="B100" s="430" t="s">
        <v>54</v>
      </c>
      <c r="C100" s="451"/>
      <c r="D100" s="452"/>
      <c r="E100" s="452"/>
      <c r="F100" s="452"/>
      <c r="G100" s="452"/>
    </row>
    <row r="101" ht="12.75" customHeight="1" spans="2:14">
      <c r="B101" s="430"/>
      <c r="C101" s="451"/>
      <c r="D101" s="453" t="s">
        <v>2</v>
      </c>
      <c r="E101" s="453" t="s">
        <v>3</v>
      </c>
      <c r="F101" s="454" t="s">
        <v>4</v>
      </c>
      <c r="G101" s="454" t="s">
        <v>5</v>
      </c>
      <c r="H101" s="455" t="s">
        <v>6</v>
      </c>
      <c r="K101" s="496" t="s">
        <v>2</v>
      </c>
      <c r="L101" s="497" t="s">
        <v>3</v>
      </c>
      <c r="M101" s="497" t="s">
        <v>4</v>
      </c>
      <c r="N101" s="455" t="s">
        <v>5</v>
      </c>
    </row>
    <row r="102" ht="12.75" customHeight="1" spans="2:14">
      <c r="B102" s="456" t="s">
        <v>50</v>
      </c>
      <c r="C102" s="457"/>
      <c r="D102" s="439">
        <f t="shared" ref="D102:D104" si="52">$D$105*E95</f>
        <v>2463998.97199922</v>
      </c>
      <c r="E102" s="359">
        <f t="shared" ref="E102:E104" si="53">E$105*G95</f>
        <v>7908934.22907148</v>
      </c>
      <c r="F102" s="359">
        <f t="shared" ref="F102:F104" si="54">F$105*I95</f>
        <v>14907456.2966981</v>
      </c>
      <c r="G102" s="359">
        <f t="shared" ref="G102:G104" si="55">G$105*K95</f>
        <v>20762729.0499013</v>
      </c>
      <c r="H102" s="458">
        <f t="shared" ref="H102:H104" si="56">H$105*K95</f>
        <v>5083930.35077384</v>
      </c>
      <c r="J102" s="498" t="s">
        <v>50</v>
      </c>
      <c r="K102" s="499">
        <f t="shared" ref="K102:K104" si="57">E95</f>
        <v>0.698551008419816</v>
      </c>
      <c r="L102" s="500">
        <f t="shared" ref="L102:L104" si="58">G95</f>
        <v>0.64694493920855</v>
      </c>
      <c r="M102" s="500">
        <f t="shared" ref="M102:M104" si="59">I95</f>
        <v>0.728223159430319</v>
      </c>
      <c r="N102" s="501">
        <f t="shared" ref="N102:N104" si="60">K95</f>
        <v>0.720384051971212</v>
      </c>
    </row>
    <row r="103" ht="12.75" customHeight="1" spans="2:14">
      <c r="B103" s="413" t="s">
        <v>51</v>
      </c>
      <c r="C103" s="424"/>
      <c r="D103" s="439">
        <f t="shared" si="52"/>
        <v>858859.907969454</v>
      </c>
      <c r="E103" s="359">
        <f t="shared" si="53"/>
        <v>2817640.65747696</v>
      </c>
      <c r="F103" s="359">
        <f t="shared" si="54"/>
        <v>3493797.47888944</v>
      </c>
      <c r="G103" s="359">
        <f t="shared" si="55"/>
        <v>4468004.55385007</v>
      </c>
      <c r="H103" s="458">
        <f t="shared" si="56"/>
        <v>1094028.81982039</v>
      </c>
      <c r="J103" s="502" t="s">
        <v>51</v>
      </c>
      <c r="K103" s="499">
        <f t="shared" si="57"/>
        <v>0.243489328372822</v>
      </c>
      <c r="L103" s="500">
        <f t="shared" si="58"/>
        <v>0.230480910710137</v>
      </c>
      <c r="M103" s="500">
        <f t="shared" si="59"/>
        <v>0.170670581744392</v>
      </c>
      <c r="N103" s="501">
        <f t="shared" si="60"/>
        <v>0.155021973122731</v>
      </c>
    </row>
    <row r="104" ht="12.75" customHeight="1" spans="2:14">
      <c r="B104" s="459" t="s">
        <v>52</v>
      </c>
      <c r="C104" s="460"/>
      <c r="D104" s="443">
        <f t="shared" si="52"/>
        <v>204441.12003133</v>
      </c>
      <c r="E104" s="445">
        <f t="shared" si="53"/>
        <v>1498475.11345156</v>
      </c>
      <c r="F104" s="445">
        <f t="shared" si="54"/>
        <v>2069746.2244125</v>
      </c>
      <c r="G104" s="445">
        <f t="shared" si="55"/>
        <v>3591016.39624865</v>
      </c>
      <c r="H104" s="461">
        <f t="shared" si="56"/>
        <v>879290.82940577</v>
      </c>
      <c r="J104" s="503" t="s">
        <v>52</v>
      </c>
      <c r="K104" s="504">
        <f t="shared" si="57"/>
        <v>0.0579596632073624</v>
      </c>
      <c r="L104" s="505">
        <f t="shared" si="58"/>
        <v>0.122574150081313</v>
      </c>
      <c r="M104" s="505">
        <f t="shared" si="59"/>
        <v>0.10110625882529</v>
      </c>
      <c r="N104" s="506">
        <f t="shared" si="60"/>
        <v>0.124593974906057</v>
      </c>
    </row>
    <row r="105" ht="12.75" customHeight="1" spans="2:14">
      <c r="B105" s="462" t="s">
        <v>53</v>
      </c>
      <c r="C105" s="463"/>
      <c r="D105" s="464">
        <f>'Analyse Globale'!C8</f>
        <v>3527300</v>
      </c>
      <c r="E105" s="465">
        <f>'Analyse Globale'!D8</f>
        <v>12225050</v>
      </c>
      <c r="F105" s="465">
        <f>'Analyse Globale'!E8</f>
        <v>20471000</v>
      </c>
      <c r="G105" s="465">
        <f>'Analyse Globale'!F8</f>
        <v>28821750</v>
      </c>
      <c r="H105" s="466">
        <f>'Analyse Globale'!G8</f>
        <v>7057250</v>
      </c>
      <c r="J105" s="498" t="s">
        <v>50</v>
      </c>
      <c r="K105" s="507">
        <v>0.698551008419816</v>
      </c>
      <c r="L105" s="508">
        <v>0.64694493920855</v>
      </c>
      <c r="M105" s="508">
        <v>0.728223159430319</v>
      </c>
      <c r="N105" s="509">
        <v>0.720384051971212</v>
      </c>
    </row>
    <row r="106" ht="12" customHeight="1" spans="10:14">
      <c r="J106" s="502" t="s">
        <v>51</v>
      </c>
      <c r="K106" s="499">
        <v>0.243489328372822</v>
      </c>
      <c r="L106" s="500">
        <v>0.230480910710137</v>
      </c>
      <c r="M106" s="500">
        <v>0.170670581744392</v>
      </c>
      <c r="N106" s="501">
        <v>0.155021973122731</v>
      </c>
    </row>
    <row r="107" ht="12.75" customHeight="1" spans="2:14">
      <c r="B107" s="430" t="s">
        <v>55</v>
      </c>
      <c r="C107" s="452"/>
      <c r="D107" s="452"/>
      <c r="E107" s="452"/>
      <c r="J107" s="503" t="s">
        <v>52</v>
      </c>
      <c r="K107" s="504">
        <v>0.0579596632073624</v>
      </c>
      <c r="L107" s="505">
        <v>0.122574150081313</v>
      </c>
      <c r="M107" s="505">
        <v>0.10110625882529</v>
      </c>
      <c r="N107" s="506">
        <v>0.124593974906057</v>
      </c>
    </row>
    <row r="108" ht="12.75" customHeight="1" spans="2:5">
      <c r="B108" s="467" t="s">
        <v>41</v>
      </c>
      <c r="C108" s="467"/>
      <c r="D108" s="468">
        <f>SUM(D10:G10)</f>
        <v>23217558.54767</v>
      </c>
      <c r="E108" s="469">
        <f t="shared" ref="E108:E111" si="61">D108/$D$111</f>
        <v>0.720686883335313</v>
      </c>
    </row>
    <row r="109" ht="12.75" customHeight="1" spans="2:5">
      <c r="B109" s="467" t="s">
        <v>42</v>
      </c>
      <c r="C109" s="467"/>
      <c r="D109" s="468">
        <f>SUM(D38:G38)</f>
        <v>3322437.59818593</v>
      </c>
      <c r="E109" s="469">
        <f t="shared" si="61"/>
        <v>0.103130447277497</v>
      </c>
    </row>
    <row r="110" ht="12.75" customHeight="1" spans="2:5">
      <c r="B110" s="470" t="s">
        <v>43</v>
      </c>
      <c r="C110" s="470"/>
      <c r="D110" s="471">
        <f>SUM(D67:G67)</f>
        <v>5675878.85414404</v>
      </c>
      <c r="E110" s="472">
        <f t="shared" si="61"/>
        <v>0.17618266938719</v>
      </c>
    </row>
    <row r="111" ht="18.75" customHeight="1" spans="2:5">
      <c r="B111" s="449" t="s">
        <v>56</v>
      </c>
      <c r="C111" s="449"/>
      <c r="D111" s="473">
        <f>SUM(D108:D110)</f>
        <v>32215875</v>
      </c>
      <c r="E111" s="474">
        <f t="shared" si="61"/>
        <v>1</v>
      </c>
    </row>
    <row r="112" ht="18.75" customHeight="1" spans="2:5">
      <c r="B112" s="449"/>
      <c r="C112" s="449"/>
      <c r="D112" s="473"/>
      <c r="E112" s="474"/>
    </row>
    <row r="113" ht="18.75" customHeight="1" spans="2:5">
      <c r="B113" s="449" t="s">
        <v>57</v>
      </c>
      <c r="C113" s="449"/>
      <c r="D113" s="473"/>
      <c r="E113" s="474"/>
    </row>
    <row r="114" ht="18.75" customHeight="1" spans="3:5">
      <c r="C114" s="449"/>
      <c r="D114" s="473"/>
      <c r="E114" s="474"/>
    </row>
    <row r="115" ht="18.75" customHeight="1" spans="1:8">
      <c r="A115" s="410"/>
      <c r="B115" s="397"/>
      <c r="C115" s="431" t="s">
        <v>14</v>
      </c>
      <c r="D115" s="433" t="s">
        <v>58</v>
      </c>
      <c r="E115" s="475" t="s">
        <v>59</v>
      </c>
      <c r="F115" s="476" t="s">
        <v>60</v>
      </c>
      <c r="G115" s="477" t="s">
        <v>21</v>
      </c>
      <c r="H115" s="478" t="s">
        <v>47</v>
      </c>
    </row>
    <row r="116" ht="18.75" customHeight="1" spans="1:8">
      <c r="A116" s="424"/>
      <c r="B116" s="479" t="s">
        <v>41</v>
      </c>
      <c r="C116" s="480">
        <f>SUM(D10:G10)</f>
        <v>23217558.54767</v>
      </c>
      <c r="D116" s="481">
        <f t="shared" ref="D116:D119" si="62">C116/$C$119</f>
        <v>0.720686883335313</v>
      </c>
      <c r="E116" s="482">
        <f>SUM(D23:G23)</f>
        <v>14975980.6683766</v>
      </c>
      <c r="F116" s="481">
        <f t="shared" ref="F116:F119" si="63">E116/$E$119</f>
        <v>0.824207298999193</v>
      </c>
      <c r="G116" s="483">
        <f>SUM(D26:G26)</f>
        <v>8241577.87929342</v>
      </c>
      <c r="H116" s="484">
        <f t="shared" ref="H116:H119" si="64">G116/$G$119</f>
        <v>0.586768236850883</v>
      </c>
    </row>
    <row r="117" ht="18.75" customHeight="1" spans="1:8">
      <c r="A117" s="424"/>
      <c r="B117" s="479" t="s">
        <v>42</v>
      </c>
      <c r="C117" s="480">
        <f>SUM(D38:G38)</f>
        <v>3322437.59818593</v>
      </c>
      <c r="D117" s="481">
        <f t="shared" si="62"/>
        <v>0.103130447277497</v>
      </c>
      <c r="E117" s="482">
        <f>SUM(D51:G51)</f>
        <v>1179389.43557169</v>
      </c>
      <c r="F117" s="481">
        <f t="shared" si="63"/>
        <v>0.0649080285749389</v>
      </c>
      <c r="G117" s="482">
        <f>SUM(D54:G54)</f>
        <v>2143048.16261424</v>
      </c>
      <c r="H117" s="485">
        <f t="shared" si="64"/>
        <v>0.152576680131001</v>
      </c>
    </row>
    <row r="118" ht="18.75" customHeight="1" spans="1:8">
      <c r="A118" s="424"/>
      <c r="B118" s="486" t="s">
        <v>43</v>
      </c>
      <c r="C118" s="487">
        <f>SUM(D67:G67)</f>
        <v>5675878.85414404</v>
      </c>
      <c r="D118" s="481">
        <f t="shared" si="62"/>
        <v>0.17618266938719</v>
      </c>
      <c r="E118" s="488">
        <f>SUM(D80:G80)</f>
        <v>2014792.53178842</v>
      </c>
      <c r="F118" s="481">
        <f t="shared" si="63"/>
        <v>0.110884672425868</v>
      </c>
      <c r="G118" s="488">
        <f>SUM(D83:G83)</f>
        <v>3661086.32235563</v>
      </c>
      <c r="H118" s="485">
        <f t="shared" si="64"/>
        <v>0.260655083018116</v>
      </c>
    </row>
    <row r="119" ht="20.25" customHeight="1" spans="1:8">
      <c r="A119" s="424"/>
      <c r="B119" s="489" t="s">
        <v>44</v>
      </c>
      <c r="C119" s="490">
        <f>SUM(C116:C118)</f>
        <v>32215875</v>
      </c>
      <c r="D119" s="491">
        <f t="shared" si="62"/>
        <v>1</v>
      </c>
      <c r="E119" s="490">
        <f>SUM(E116:E118)</f>
        <v>18170162.6357367</v>
      </c>
      <c r="F119" s="491">
        <f t="shared" si="63"/>
        <v>1</v>
      </c>
      <c r="G119" s="490">
        <f>SUM(G116:G118)</f>
        <v>14045712.3642633</v>
      </c>
      <c r="H119" s="492">
        <f t="shared" si="64"/>
        <v>1</v>
      </c>
    </row>
    <row r="120" ht="20.25" customHeight="1" spans="1:8">
      <c r="A120" s="410"/>
      <c r="B120" s="467"/>
      <c r="C120" s="493"/>
      <c r="D120" s="493"/>
      <c r="E120" s="493"/>
      <c r="F120" s="493"/>
      <c r="G120" s="493"/>
      <c r="H120" s="493"/>
    </row>
    <row r="121" ht="12.75" customHeight="1"/>
    <row r="122" ht="12.75" customHeight="1" spans="2:11">
      <c r="B122" s="494" t="s">
        <v>37</v>
      </c>
      <c r="C122" s="494"/>
      <c r="D122" s="494"/>
      <c r="E122" s="494"/>
      <c r="F122" s="494"/>
      <c r="G122" s="494"/>
      <c r="H122" s="494"/>
      <c r="I122" s="494"/>
      <c r="J122" s="494"/>
      <c r="K122" s="494"/>
    </row>
    <row r="123" ht="14.25" customHeight="1"/>
    <row r="124" ht="12.75" customHeight="1" spans="2:2">
      <c r="B124" s="495"/>
    </row>
    <row r="125" ht="12.75" customHeight="1" spans="2:2">
      <c r="B125" s="495"/>
    </row>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000"/>
  <sheetViews>
    <sheetView workbookViewId="0">
      <pane ySplit="1" topLeftCell="A2" activePane="bottomLeft" state="frozen"/>
      <selection/>
      <selection pane="bottomLeft" activeCell="B3" sqref="B3"/>
    </sheetView>
  </sheetViews>
  <sheetFormatPr defaultColWidth="12.5714285714286" defaultRowHeight="15" customHeight="1"/>
  <cols>
    <col min="1" max="1" width="10.5714285714286" customWidth="1"/>
    <col min="2" max="2" width="34.5714285714286" customWidth="1"/>
    <col min="3" max="3" width="9.14285714285714" customWidth="1"/>
    <col min="4" max="4" width="10.5714285714286" customWidth="1"/>
    <col min="5" max="5" width="34.5714285714286" customWidth="1"/>
    <col min="6" max="6" width="11.4285714285714" customWidth="1"/>
    <col min="7" max="7" width="10.5714285714286" customWidth="1"/>
    <col min="8" max="8" width="34.5714285714286" customWidth="1"/>
    <col min="9" max="9" width="11.4285714285714" customWidth="1"/>
    <col min="10" max="10" width="10.5714285714286" customWidth="1"/>
    <col min="11" max="11" width="28.1428571428571" customWidth="1"/>
    <col min="12" max="13" width="10.5714285714286" customWidth="1"/>
    <col min="14" max="14" width="11.5714285714286" customWidth="1"/>
    <col min="15" max="15" width="13.8571428571429" customWidth="1"/>
    <col min="16" max="26" width="10.5714285714286" customWidth="1"/>
  </cols>
  <sheetData>
    <row r="1" ht="12.75" customHeight="1" spans="3:9">
      <c r="C1" s="359"/>
      <c r="F1" s="359"/>
      <c r="I1" s="359"/>
    </row>
    <row r="2" ht="12.75" customHeight="1" spans="3:9">
      <c r="C2" s="359"/>
      <c r="F2" s="359"/>
      <c r="I2" s="359"/>
    </row>
    <row r="3" ht="12.75" customHeight="1" spans="3:9">
      <c r="C3" s="359"/>
      <c r="F3" s="359"/>
      <c r="I3" s="359"/>
    </row>
    <row r="4" ht="12.75" customHeight="1" spans="3:9">
      <c r="C4" s="359"/>
      <c r="F4" s="359"/>
      <c r="I4" s="359"/>
    </row>
    <row r="5" ht="12.75" customHeight="1" spans="2:9">
      <c r="B5" s="360" t="s">
        <v>29</v>
      </c>
      <c r="C5" s="359"/>
      <c r="F5" s="359"/>
      <c r="I5" s="359"/>
    </row>
    <row r="6" ht="12.75" customHeight="1" spans="2:9">
      <c r="B6" s="360" t="s">
        <v>29</v>
      </c>
      <c r="C6" s="359"/>
      <c r="F6" s="359"/>
      <c r="I6" s="359"/>
    </row>
    <row r="7" ht="12.75" customHeight="1" spans="2:9">
      <c r="B7" s="360" t="s">
        <v>29</v>
      </c>
      <c r="C7" s="359"/>
      <c r="F7" s="359"/>
      <c r="I7" s="359"/>
    </row>
    <row r="8" ht="12.75" customHeight="1" spans="2:9">
      <c r="B8" s="360" t="s">
        <v>29</v>
      </c>
      <c r="C8" s="359"/>
      <c r="F8" s="359"/>
      <c r="I8" s="359"/>
    </row>
    <row r="9" ht="12.75" customHeight="1" spans="2:9">
      <c r="B9" s="360" t="s">
        <v>29</v>
      </c>
      <c r="C9" s="359"/>
      <c r="F9" s="359"/>
      <c r="I9" s="359"/>
    </row>
    <row r="10" ht="12.75" customHeight="1" spans="2:14">
      <c r="B10" s="361" t="s">
        <v>2</v>
      </c>
      <c r="E10" s="361" t="s">
        <v>3</v>
      </c>
      <c r="H10" s="361" t="s">
        <v>4</v>
      </c>
      <c r="K10" s="361" t="s">
        <v>5</v>
      </c>
      <c r="N10" s="361" t="s">
        <v>6</v>
      </c>
    </row>
    <row r="11" ht="12.75" customHeight="1" spans="2:9">
      <c r="B11" s="360" t="s">
        <v>29</v>
      </c>
      <c r="C11" s="359"/>
      <c r="F11" s="359"/>
      <c r="I11" s="359"/>
    </row>
    <row r="12" ht="12.75" customHeight="1" spans="2:12">
      <c r="B12" s="360" t="s">
        <v>61</v>
      </c>
      <c r="C12" s="362">
        <v>163500</v>
      </c>
      <c r="E12" s="360" t="s">
        <v>61</v>
      </c>
      <c r="F12" s="362">
        <v>758500</v>
      </c>
      <c r="H12" s="360" t="s">
        <v>62</v>
      </c>
      <c r="I12" s="363">
        <v>201000</v>
      </c>
      <c r="K12" s="360" t="s">
        <v>63</v>
      </c>
      <c r="L12" s="360">
        <v>5920000</v>
      </c>
    </row>
    <row r="13" ht="12.75" customHeight="1" spans="2:12">
      <c r="B13" s="360" t="s">
        <v>64</v>
      </c>
      <c r="C13" s="363">
        <v>414000</v>
      </c>
      <c r="E13" s="360" t="s">
        <v>64</v>
      </c>
      <c r="F13" s="363">
        <v>983250</v>
      </c>
      <c r="H13" s="360" t="s">
        <v>61</v>
      </c>
      <c r="I13" s="362">
        <v>1413000</v>
      </c>
      <c r="K13" s="360" t="s">
        <v>65</v>
      </c>
      <c r="L13" s="360">
        <v>3912500</v>
      </c>
    </row>
    <row r="14" ht="12.75" customHeight="1" spans="2:12">
      <c r="B14" s="360" t="s">
        <v>66</v>
      </c>
      <c r="C14" s="362">
        <v>305000</v>
      </c>
      <c r="E14" s="360" t="s">
        <v>66</v>
      </c>
      <c r="F14" s="362">
        <v>865000</v>
      </c>
      <c r="H14" s="360" t="s">
        <v>64</v>
      </c>
      <c r="I14" s="363">
        <v>1034750</v>
      </c>
      <c r="K14" s="360" t="s">
        <v>67</v>
      </c>
      <c r="L14" s="360">
        <v>3011500</v>
      </c>
    </row>
    <row r="15" ht="12.75" customHeight="1" spans="2:12">
      <c r="B15" s="360" t="s">
        <v>68</v>
      </c>
      <c r="C15" s="364">
        <v>296000</v>
      </c>
      <c r="E15" s="360" t="s">
        <v>68</v>
      </c>
      <c r="F15" s="364">
        <v>1978500</v>
      </c>
      <c r="H15" s="360" t="s">
        <v>66</v>
      </c>
      <c r="I15" s="362">
        <v>4935000</v>
      </c>
      <c r="K15" s="360" t="s">
        <v>69</v>
      </c>
      <c r="L15" s="360">
        <v>2382000</v>
      </c>
    </row>
    <row r="16" ht="12.75" customHeight="1" spans="2:12">
      <c r="B16" s="360" t="s">
        <v>70</v>
      </c>
      <c r="C16" s="362">
        <v>576000</v>
      </c>
      <c r="E16" s="360" t="s">
        <v>70</v>
      </c>
      <c r="F16" s="362">
        <v>1494000</v>
      </c>
      <c r="H16" s="360" t="s">
        <v>68</v>
      </c>
      <c r="I16" s="364">
        <v>2703000</v>
      </c>
      <c r="K16" s="360" t="s">
        <v>71</v>
      </c>
      <c r="L16" s="360">
        <v>1901500</v>
      </c>
    </row>
    <row r="17" ht="12.75" customHeight="1" spans="2:12">
      <c r="B17" s="360" t="s">
        <v>72</v>
      </c>
      <c r="C17" s="362">
        <v>352000</v>
      </c>
      <c r="E17" s="360" t="s">
        <v>72</v>
      </c>
      <c r="F17" s="362">
        <v>698000</v>
      </c>
      <c r="H17" s="360" t="s">
        <v>70</v>
      </c>
      <c r="I17" s="362">
        <v>1644000</v>
      </c>
      <c r="K17" s="360" t="s">
        <v>73</v>
      </c>
      <c r="L17" s="360">
        <v>1871500</v>
      </c>
    </row>
    <row r="18" ht="12.75" customHeight="1" spans="2:12">
      <c r="B18" s="360" t="s">
        <v>74</v>
      </c>
      <c r="C18" s="362">
        <v>55000</v>
      </c>
      <c r="E18" s="360" t="s">
        <v>74</v>
      </c>
      <c r="F18" s="362">
        <v>809000</v>
      </c>
      <c r="H18" s="360" t="s">
        <v>72</v>
      </c>
      <c r="I18" s="362">
        <v>748000</v>
      </c>
      <c r="K18" s="360" t="s">
        <v>75</v>
      </c>
      <c r="L18" s="360">
        <v>1683000</v>
      </c>
    </row>
    <row r="19" ht="12.75" customHeight="1" spans="2:12">
      <c r="B19" s="360" t="s">
        <v>76</v>
      </c>
      <c r="C19" s="363">
        <v>9500</v>
      </c>
      <c r="E19" s="360" t="s">
        <v>76</v>
      </c>
      <c r="F19" s="363">
        <v>66000</v>
      </c>
      <c r="H19" s="360" t="s">
        <v>74</v>
      </c>
      <c r="I19" s="362">
        <v>1487000</v>
      </c>
      <c r="K19" s="360" t="s">
        <v>77</v>
      </c>
      <c r="L19" s="360">
        <v>1362000</v>
      </c>
    </row>
    <row r="20" ht="12.75" customHeight="1" spans="2:12">
      <c r="B20" s="360" t="s">
        <v>78</v>
      </c>
      <c r="C20" s="362">
        <v>50000</v>
      </c>
      <c r="E20" s="360" t="s">
        <v>78</v>
      </c>
      <c r="F20" s="362">
        <v>205000</v>
      </c>
      <c r="H20" s="360" t="s">
        <v>76</v>
      </c>
      <c r="I20" s="363">
        <v>142000</v>
      </c>
      <c r="K20" s="360" t="s">
        <v>79</v>
      </c>
      <c r="L20" s="360">
        <v>1135000</v>
      </c>
    </row>
    <row r="21" ht="12.75" customHeight="1" spans="2:12">
      <c r="B21" s="360" t="s">
        <v>80</v>
      </c>
      <c r="C21" s="363">
        <v>120000</v>
      </c>
      <c r="E21" s="360" t="s">
        <v>80</v>
      </c>
      <c r="F21" s="363">
        <v>588000</v>
      </c>
      <c r="H21" s="360" t="s">
        <v>78</v>
      </c>
      <c r="I21" s="362">
        <v>750000</v>
      </c>
      <c r="K21" s="360" t="s">
        <v>81</v>
      </c>
      <c r="L21" s="360">
        <v>1124000</v>
      </c>
    </row>
    <row r="22" ht="12.75" customHeight="1" spans="2:12">
      <c r="B22" s="360" t="s">
        <v>82</v>
      </c>
      <c r="C22" s="362">
        <v>144000</v>
      </c>
      <c r="E22" s="360" t="s">
        <v>82</v>
      </c>
      <c r="F22" s="362">
        <v>554000</v>
      </c>
      <c r="H22" s="360" t="s">
        <v>80</v>
      </c>
      <c r="I22" s="363">
        <v>930000</v>
      </c>
      <c r="K22" s="360" t="s">
        <v>83</v>
      </c>
      <c r="L22" s="360">
        <v>1061750</v>
      </c>
    </row>
    <row r="23" ht="12.75" customHeight="1" spans="2:12">
      <c r="B23" s="360" t="s">
        <v>84</v>
      </c>
      <c r="C23" s="363">
        <v>102000</v>
      </c>
      <c r="E23" s="360" t="s">
        <v>84</v>
      </c>
      <c r="F23" s="363">
        <v>309000</v>
      </c>
      <c r="H23" s="360" t="s">
        <v>82</v>
      </c>
      <c r="I23" s="362">
        <v>288500</v>
      </c>
      <c r="K23" s="360" t="s">
        <v>85</v>
      </c>
      <c r="L23" s="360">
        <v>930000</v>
      </c>
    </row>
    <row r="24" ht="12.75" customHeight="1" spans="2:12">
      <c r="B24" s="360" t="s">
        <v>86</v>
      </c>
      <c r="C24" s="363">
        <v>192000</v>
      </c>
      <c r="E24" s="360" t="s">
        <v>86</v>
      </c>
      <c r="F24" s="363">
        <v>1020500</v>
      </c>
      <c r="H24" s="360" t="s">
        <v>84</v>
      </c>
      <c r="I24" s="363">
        <v>292000</v>
      </c>
      <c r="K24" s="360" t="s">
        <v>87</v>
      </c>
      <c r="L24" s="360">
        <v>855000</v>
      </c>
    </row>
    <row r="25" ht="12.75" customHeight="1" spans="2:12">
      <c r="B25" s="360" t="s">
        <v>88</v>
      </c>
      <c r="C25" s="362">
        <v>243000</v>
      </c>
      <c r="E25" s="360" t="s">
        <v>88</v>
      </c>
      <c r="F25" s="362">
        <v>889000</v>
      </c>
      <c r="H25" s="360" t="s">
        <v>86</v>
      </c>
      <c r="I25" s="363">
        <v>1354500</v>
      </c>
      <c r="K25" s="360" t="s">
        <v>89</v>
      </c>
      <c r="L25" s="360">
        <v>804000</v>
      </c>
    </row>
    <row r="26" ht="12.75" customHeight="1" spans="2:12">
      <c r="B26" s="360" t="s">
        <v>90</v>
      </c>
      <c r="C26" s="363">
        <v>34000</v>
      </c>
      <c r="E26" s="360" t="s">
        <v>90</v>
      </c>
      <c r="F26" s="363">
        <v>260000</v>
      </c>
      <c r="H26" s="360" t="s">
        <v>88</v>
      </c>
      <c r="I26" s="362">
        <v>1052000</v>
      </c>
      <c r="K26" s="360" t="s">
        <v>91</v>
      </c>
      <c r="L26" s="360">
        <v>700000</v>
      </c>
    </row>
    <row r="27" ht="12.75" customHeight="1" spans="2:12">
      <c r="B27" s="360" t="s">
        <v>92</v>
      </c>
      <c r="C27" s="362">
        <v>180000</v>
      </c>
      <c r="E27" s="360" t="s">
        <v>92</v>
      </c>
      <c r="F27" s="362">
        <v>676000</v>
      </c>
      <c r="H27" s="360" t="s">
        <v>90</v>
      </c>
      <c r="I27" s="363">
        <v>215000</v>
      </c>
      <c r="K27" s="360" t="s">
        <v>93</v>
      </c>
      <c r="L27" s="360">
        <v>631500</v>
      </c>
    </row>
    <row r="28" ht="12.75" customHeight="1" spans="2:12">
      <c r="B28" s="360" t="s">
        <v>94</v>
      </c>
      <c r="C28" s="362">
        <v>385500</v>
      </c>
      <c r="E28" s="360" t="s">
        <v>94</v>
      </c>
      <c r="F28" s="362">
        <v>1367000</v>
      </c>
      <c r="H28" s="360" t="s">
        <v>92</v>
      </c>
      <c r="I28" s="362">
        <v>1397000</v>
      </c>
      <c r="K28" s="360" t="s">
        <v>95</v>
      </c>
      <c r="L28" s="360">
        <v>558000</v>
      </c>
    </row>
    <row r="29" ht="12.75" customHeight="1" spans="2:12">
      <c r="B29" s="360" t="s">
        <v>96</v>
      </c>
      <c r="C29" s="363">
        <v>85000</v>
      </c>
      <c r="E29" s="360" t="s">
        <v>96</v>
      </c>
      <c r="F29" s="363">
        <v>51000</v>
      </c>
      <c r="H29" s="360" t="s">
        <v>94</v>
      </c>
      <c r="I29" s="362">
        <v>1918000</v>
      </c>
      <c r="K29" s="360" t="s">
        <v>97</v>
      </c>
      <c r="L29" s="360">
        <v>439000</v>
      </c>
    </row>
    <row r="30" ht="12.75" customHeight="1" spans="2:12">
      <c r="B30" s="360" t="s">
        <v>98</v>
      </c>
      <c r="C30" s="363">
        <v>287000</v>
      </c>
      <c r="E30" s="360" t="s">
        <v>98</v>
      </c>
      <c r="F30" s="363">
        <v>442500</v>
      </c>
      <c r="H30" s="360" t="s">
        <v>98</v>
      </c>
      <c r="I30" s="363">
        <v>393500</v>
      </c>
      <c r="K30" s="360" t="s">
        <v>99</v>
      </c>
      <c r="L30" s="360">
        <v>329000</v>
      </c>
    </row>
    <row r="31" ht="12.75" customHeight="1" spans="2:12">
      <c r="B31" s="360" t="s">
        <v>100</v>
      </c>
      <c r="C31" s="362">
        <v>30000</v>
      </c>
      <c r="E31" s="360" t="s">
        <v>100</v>
      </c>
      <c r="F31" s="362">
        <v>270000</v>
      </c>
      <c r="H31" s="360" t="s">
        <v>100</v>
      </c>
      <c r="I31" s="362">
        <v>484000</v>
      </c>
      <c r="K31" s="360" t="s">
        <v>101</v>
      </c>
      <c r="L31" s="360">
        <v>261000</v>
      </c>
    </row>
    <row r="32" ht="12.75" customHeight="1" spans="2:12">
      <c r="B32" s="360" t="s">
        <v>102</v>
      </c>
      <c r="C32" s="362">
        <v>190000</v>
      </c>
      <c r="E32" s="360" t="s">
        <v>102</v>
      </c>
      <c r="F32" s="362">
        <v>300000</v>
      </c>
      <c r="H32" s="360" t="s">
        <v>102</v>
      </c>
      <c r="I32" s="362">
        <v>440000</v>
      </c>
      <c r="K32" s="360" t="s">
        <v>103</v>
      </c>
      <c r="L32" s="360">
        <v>210500</v>
      </c>
    </row>
    <row r="33" ht="12.75" customHeight="1" spans="2:12">
      <c r="B33" s="360" t="s">
        <v>104</v>
      </c>
      <c r="C33" s="362">
        <v>145000</v>
      </c>
      <c r="E33" s="360" t="s">
        <v>104</v>
      </c>
      <c r="F33" s="362">
        <v>130000</v>
      </c>
      <c r="H33" s="360" t="s">
        <v>104</v>
      </c>
      <c r="I33" s="362">
        <v>431000</v>
      </c>
      <c r="K33" s="360" t="s">
        <v>105</v>
      </c>
      <c r="L33" s="360">
        <v>173250</v>
      </c>
    </row>
    <row r="34" ht="12.75" customHeight="1" spans="2:12">
      <c r="B34" s="360" t="s">
        <v>106</v>
      </c>
      <c r="C34" s="362">
        <v>165000</v>
      </c>
      <c r="E34" s="360" t="s">
        <v>106</v>
      </c>
      <c r="F34" s="362">
        <v>405000</v>
      </c>
      <c r="H34" s="360" t="s">
        <v>106</v>
      </c>
      <c r="I34" s="362">
        <v>298000</v>
      </c>
      <c r="K34" s="360" t="s">
        <v>107</v>
      </c>
      <c r="L34" s="360">
        <v>102000</v>
      </c>
    </row>
    <row r="35" ht="12.75" customHeight="1" spans="2:12">
      <c r="B35" s="360" t="s">
        <v>108</v>
      </c>
      <c r="C35" s="362">
        <v>583500</v>
      </c>
      <c r="E35" s="360" t="s">
        <v>108</v>
      </c>
      <c r="F35" s="362">
        <v>1022000</v>
      </c>
      <c r="H35" s="360" t="s">
        <v>108</v>
      </c>
      <c r="I35" s="362">
        <v>2183000</v>
      </c>
      <c r="K35" s="360" t="s">
        <v>109</v>
      </c>
      <c r="L35" s="360">
        <v>44000</v>
      </c>
    </row>
    <row r="36" ht="12.75" customHeight="1" spans="2:9">
      <c r="B36" s="360" t="s">
        <v>29</v>
      </c>
      <c r="C36" s="359" t="s">
        <v>29</v>
      </c>
      <c r="F36" s="359"/>
      <c r="I36" s="359"/>
    </row>
    <row r="37" ht="12.75" customHeight="1" spans="2:12">
      <c r="B37" s="365" t="s">
        <v>41</v>
      </c>
      <c r="C37" s="359">
        <f>SUM(C12,C14,C16,C17,C18,C20,C22,C25,C27,C28,C31,C32,C33,C34,C35)</f>
        <v>3567500</v>
      </c>
      <c r="E37" s="365" t="s">
        <v>41</v>
      </c>
      <c r="F37" s="359">
        <f>SUM(F12,F14,F16,F17,F18,F20,F22,F25,F27,F28,F31,F32,F33,F34,F35)</f>
        <v>10442500</v>
      </c>
      <c r="H37" s="365" t="s">
        <v>41</v>
      </c>
      <c r="I37" s="359">
        <f>SUM(I13,I15,I17,I18,I19,I21,I23,I26,I28,I29,I31,I32,I33,I34,I35)</f>
        <v>19468500</v>
      </c>
      <c r="K37" s="365" t="s">
        <v>41</v>
      </c>
      <c r="L37" s="359">
        <v>22621500</v>
      </c>
    </row>
    <row r="38" ht="12.75" customHeight="1" spans="2:12">
      <c r="B38" s="366" t="s">
        <v>42</v>
      </c>
      <c r="C38" s="359">
        <f>SUM(C13,C19,C21,C23,C24,C26,C30,C29,)</f>
        <v>1243500</v>
      </c>
      <c r="E38" s="366" t="s">
        <v>42</v>
      </c>
      <c r="F38" s="359">
        <f>SUM(F13,F19,F21,F23,F24,F26,F30,F29,)</f>
        <v>3720250</v>
      </c>
      <c r="H38" s="366" t="s">
        <v>42</v>
      </c>
      <c r="I38" s="359">
        <f>SUM(I12,I14,I20,I22,I24,I25,I27,I30)</f>
        <v>4562750</v>
      </c>
      <c r="K38" s="366" t="s">
        <v>42</v>
      </c>
      <c r="L38" s="359">
        <v>4868000</v>
      </c>
    </row>
    <row r="39" ht="12.75" customHeight="1" spans="2:12">
      <c r="B39" s="367" t="s">
        <v>43</v>
      </c>
      <c r="C39" s="359">
        <f>C15</f>
        <v>296000</v>
      </c>
      <c r="E39" s="367" t="s">
        <v>43</v>
      </c>
      <c r="F39" s="359">
        <f>F15</f>
        <v>1978500</v>
      </c>
      <c r="H39" s="367" t="s">
        <v>43</v>
      </c>
      <c r="I39" s="359">
        <f>I16</f>
        <v>2703000</v>
      </c>
      <c r="K39" s="367" t="s">
        <v>43</v>
      </c>
      <c r="L39" s="359">
        <v>3912500</v>
      </c>
    </row>
    <row r="40" ht="12.75" customHeight="1" spans="2:12">
      <c r="B40" s="360" t="s">
        <v>110</v>
      </c>
      <c r="C40" s="359">
        <f>SUM(C37:C39)</f>
        <v>5107000</v>
      </c>
      <c r="E40" s="360" t="s">
        <v>110</v>
      </c>
      <c r="F40" s="359">
        <f>SUM(F37:F39)</f>
        <v>16141250</v>
      </c>
      <c r="H40" s="360" t="s">
        <v>110</v>
      </c>
      <c r="I40" s="359">
        <f>SUM(I37:I39)</f>
        <v>26734250</v>
      </c>
      <c r="K40" s="360" t="s">
        <v>110</v>
      </c>
      <c r="L40" s="359">
        <f>SUM(L37:L39)</f>
        <v>31402000</v>
      </c>
    </row>
    <row r="41" ht="12.75" customHeight="1" spans="3:9">
      <c r="C41" s="359"/>
      <c r="F41" s="359"/>
      <c r="I41" s="359"/>
    </row>
    <row r="42" ht="12.75" customHeight="1" spans="2:12">
      <c r="B42" s="360" t="s">
        <v>111</v>
      </c>
      <c r="C42" s="359">
        <f>'AVRIL 23'!$AA$13</f>
        <v>565500</v>
      </c>
      <c r="E42" s="360" t="s">
        <v>111</v>
      </c>
      <c r="F42" s="359">
        <f>'MAI 23'!$AB$34</f>
        <v>1790000</v>
      </c>
      <c r="H42" s="360" t="s">
        <v>111</v>
      </c>
      <c r="I42" s="359">
        <f>'JUIN 23'!$AO$33</f>
        <v>5082000</v>
      </c>
      <c r="K42" s="360" t="s">
        <v>111</v>
      </c>
      <c r="L42" s="359">
        <f>'JUILLET 23'!$AO$34</f>
        <v>2004000</v>
      </c>
    </row>
    <row r="43" ht="12.75" customHeight="1" spans="2:12">
      <c r="B43" s="368" t="s">
        <v>112</v>
      </c>
      <c r="C43" s="359">
        <f>C40-C42-C45</f>
        <v>1014200</v>
      </c>
      <c r="E43" s="368" t="s">
        <v>112</v>
      </c>
      <c r="F43" s="359">
        <f>F40-F42-F45</f>
        <v>2126200</v>
      </c>
      <c r="H43" s="368" t="s">
        <v>112</v>
      </c>
      <c r="I43" s="359">
        <f>I40-I42-I45</f>
        <v>1181250</v>
      </c>
      <c r="K43" s="368" t="s">
        <v>112</v>
      </c>
      <c r="L43" s="359">
        <f>L40-L42-L45</f>
        <v>576250</v>
      </c>
    </row>
    <row r="44" ht="12.75" customHeight="1" spans="3:12">
      <c r="C44" s="359"/>
      <c r="F44" s="359"/>
      <c r="I44" s="359"/>
      <c r="L44" s="359"/>
    </row>
    <row r="45" ht="12.75" customHeight="1" spans="2:15">
      <c r="B45" s="360" t="s">
        <v>113</v>
      </c>
      <c r="C45" s="359">
        <f>'AVRIL 23'!$B$15</f>
        <v>3527300</v>
      </c>
      <c r="E45" s="360" t="s">
        <v>113</v>
      </c>
      <c r="F45" s="359">
        <f>'MAI 23'!$B$36</f>
        <v>12225050</v>
      </c>
      <c r="H45" s="360" t="s">
        <v>113</v>
      </c>
      <c r="I45" s="359">
        <f>'JUIN 23'!$B$36</f>
        <v>20471000</v>
      </c>
      <c r="K45" s="360" t="s">
        <v>113</v>
      </c>
      <c r="L45" s="359">
        <f>'JUILLET 23'!$C$34</f>
        <v>28821750</v>
      </c>
      <c r="N45" s="360" t="s">
        <v>113</v>
      </c>
      <c r="O45" s="370">
        <f>'AOUT 23'!$B$37</f>
        <v>7057250</v>
      </c>
    </row>
    <row r="46" ht="12.75" customHeight="1" spans="3:9">
      <c r="C46" s="359"/>
      <c r="F46" s="359"/>
      <c r="I46" s="359"/>
    </row>
    <row r="47" ht="12.75" customHeight="1" spans="2:12">
      <c r="B47" s="360" t="s">
        <v>114</v>
      </c>
      <c r="C47" s="369">
        <f>C43/C40</f>
        <v>0.198590170354416</v>
      </c>
      <c r="E47" s="360" t="s">
        <v>114</v>
      </c>
      <c r="F47" s="369">
        <f>F43/F40</f>
        <v>0.131724618601409</v>
      </c>
      <c r="H47" s="360" t="s">
        <v>114</v>
      </c>
      <c r="I47" s="369">
        <f>I43/I40</f>
        <v>0.0441848939094981</v>
      </c>
      <c r="K47" s="360" t="s">
        <v>114</v>
      </c>
      <c r="L47" s="369">
        <f>L43/L40</f>
        <v>0.018350741990956</v>
      </c>
    </row>
    <row r="48" ht="12.75" customHeight="1" spans="3:9">
      <c r="C48" s="359"/>
      <c r="F48" s="359"/>
      <c r="I48" s="359"/>
    </row>
    <row r="49" ht="12.75" customHeight="1" spans="3:9">
      <c r="C49" s="359"/>
      <c r="F49" s="359"/>
      <c r="I49" s="359"/>
    </row>
    <row r="50" ht="12.75" customHeight="1" spans="3:9">
      <c r="C50" s="359"/>
      <c r="F50" s="359"/>
      <c r="I50" s="359"/>
    </row>
    <row r="51" ht="12.75" customHeight="1" spans="3:9">
      <c r="C51" s="359"/>
      <c r="F51" s="359"/>
      <c r="I51" s="359"/>
    </row>
    <row r="52" ht="12.75" customHeight="1" spans="3:9">
      <c r="C52" s="359"/>
      <c r="F52" s="359"/>
      <c r="I52" s="359"/>
    </row>
    <row r="53" ht="12.75" customHeight="1" spans="3:9">
      <c r="C53" s="359"/>
      <c r="F53" s="359"/>
      <c r="I53" s="359"/>
    </row>
    <row r="54" ht="12.75" customHeight="1" spans="3:9">
      <c r="C54" s="359"/>
      <c r="F54" s="359"/>
      <c r="I54" s="359"/>
    </row>
    <row r="55" ht="12.75" customHeight="1" spans="3:9">
      <c r="C55" s="359"/>
      <c r="F55" s="359"/>
      <c r="I55" s="359"/>
    </row>
    <row r="56" ht="12.75" customHeight="1" spans="3:9">
      <c r="C56" s="359"/>
      <c r="F56" s="359"/>
      <c r="I56" s="359"/>
    </row>
    <row r="57" ht="12.75" customHeight="1" spans="3:9">
      <c r="C57" s="359"/>
      <c r="F57" s="359"/>
      <c r="I57" s="359"/>
    </row>
    <row r="58" ht="12.75" customHeight="1" spans="3:9">
      <c r="C58" s="359"/>
      <c r="F58" s="359"/>
      <c r="I58" s="359"/>
    </row>
    <row r="59" ht="12.75" customHeight="1" spans="3:9">
      <c r="C59" s="359"/>
      <c r="F59" s="359"/>
      <c r="I59" s="359"/>
    </row>
    <row r="60" ht="12.75" customHeight="1" spans="3:9">
      <c r="C60" s="359"/>
      <c r="F60" s="359"/>
      <c r="I60" s="359"/>
    </row>
    <row r="61" ht="12.75" customHeight="1" spans="3:9">
      <c r="C61" s="359"/>
      <c r="F61" s="359"/>
      <c r="I61" s="359"/>
    </row>
    <row r="62" ht="12.75" customHeight="1" spans="3:9">
      <c r="C62" s="359"/>
      <c r="F62" s="359"/>
      <c r="I62" s="359"/>
    </row>
    <row r="63" ht="12.75" customHeight="1" spans="3:9">
      <c r="C63" s="359"/>
      <c r="F63" s="359"/>
      <c r="I63" s="359"/>
    </row>
    <row r="64" ht="12.75" customHeight="1" spans="3:9">
      <c r="C64" s="359"/>
      <c r="F64" s="359"/>
      <c r="I64" s="359"/>
    </row>
    <row r="65" ht="12.75" customHeight="1" spans="3:9">
      <c r="C65" s="359"/>
      <c r="F65" s="359"/>
      <c r="I65" s="359"/>
    </row>
    <row r="66" ht="12.75" customHeight="1" spans="3:9">
      <c r="C66" s="359"/>
      <c r="F66" s="359"/>
      <c r="I66" s="359"/>
    </row>
    <row r="67" ht="12.75" customHeight="1" spans="3:9">
      <c r="C67" s="359"/>
      <c r="F67" s="359"/>
      <c r="I67" s="359"/>
    </row>
    <row r="68" ht="12.75" customHeight="1" spans="3:9">
      <c r="C68" s="359"/>
      <c r="F68" s="359"/>
      <c r="I68" s="359"/>
    </row>
    <row r="69" ht="12.75" customHeight="1" spans="3:9">
      <c r="C69" s="359"/>
      <c r="F69" s="359"/>
      <c r="I69" s="359"/>
    </row>
    <row r="70" ht="12.75" customHeight="1" spans="3:9">
      <c r="C70" s="359"/>
      <c r="F70" s="359"/>
      <c r="I70" s="359"/>
    </row>
    <row r="71" ht="12.75" customHeight="1" spans="3:9">
      <c r="C71" s="359"/>
      <c r="F71" s="359"/>
      <c r="I71" s="359"/>
    </row>
    <row r="72" ht="12.75" customHeight="1" spans="3:9">
      <c r="C72" s="359"/>
      <c r="F72" s="359"/>
      <c r="I72" s="359"/>
    </row>
    <row r="73" ht="12.75" customHeight="1" spans="3:9">
      <c r="C73" s="359"/>
      <c r="F73" s="359"/>
      <c r="I73" s="359"/>
    </row>
    <row r="74" ht="12.75" customHeight="1" spans="3:9">
      <c r="C74" s="359"/>
      <c r="F74" s="359"/>
      <c r="I74" s="359"/>
    </row>
    <row r="75" ht="12.75" customHeight="1" spans="3:9">
      <c r="C75" s="359"/>
      <c r="F75" s="359"/>
      <c r="I75" s="359"/>
    </row>
    <row r="76" ht="12.75" customHeight="1" spans="3:9">
      <c r="C76" s="359"/>
      <c r="F76" s="359"/>
      <c r="I76" s="359"/>
    </row>
    <row r="77" ht="12.75" customHeight="1" spans="3:9">
      <c r="C77" s="359"/>
      <c r="F77" s="359"/>
      <c r="I77" s="359"/>
    </row>
    <row r="78" ht="12.75" customHeight="1" spans="3:9">
      <c r="C78" s="359"/>
      <c r="F78" s="359"/>
      <c r="I78" s="359"/>
    </row>
    <row r="79" ht="12.75" customHeight="1" spans="3:9">
      <c r="C79" s="359"/>
      <c r="F79" s="359"/>
      <c r="I79" s="359"/>
    </row>
    <row r="80" ht="12.75" customHeight="1" spans="3:9">
      <c r="C80" s="359"/>
      <c r="F80" s="359"/>
      <c r="I80" s="359"/>
    </row>
    <row r="81" ht="12.75" customHeight="1" spans="3:9">
      <c r="C81" s="359"/>
      <c r="F81" s="359"/>
      <c r="I81" s="359"/>
    </row>
    <row r="82" ht="12.75" customHeight="1" spans="3:9">
      <c r="C82" s="359"/>
      <c r="F82" s="359"/>
      <c r="I82" s="359"/>
    </row>
    <row r="83" ht="12.75" customHeight="1" spans="3:9">
      <c r="C83" s="359"/>
      <c r="F83" s="359"/>
      <c r="I83" s="359"/>
    </row>
    <row r="84" ht="12.75" customHeight="1" spans="3:9">
      <c r="C84" s="359"/>
      <c r="F84" s="359"/>
      <c r="I84" s="359"/>
    </row>
    <row r="85" ht="12.75" customHeight="1" spans="3:9">
      <c r="C85" s="359"/>
      <c r="F85" s="359"/>
      <c r="I85" s="359"/>
    </row>
    <row r="86" ht="12.75" customHeight="1" spans="3:9">
      <c r="C86" s="359"/>
      <c r="F86" s="359"/>
      <c r="I86" s="359"/>
    </row>
    <row r="87" ht="12.75" customHeight="1" spans="3:9">
      <c r="C87" s="359"/>
      <c r="F87" s="359"/>
      <c r="I87" s="359"/>
    </row>
    <row r="88" ht="12.75" customHeight="1" spans="3:9">
      <c r="C88" s="359"/>
      <c r="F88" s="359"/>
      <c r="I88" s="359"/>
    </row>
    <row r="89" ht="12.75" customHeight="1" spans="3:9">
      <c r="C89" s="359"/>
      <c r="F89" s="359"/>
      <c r="I89" s="359"/>
    </row>
    <row r="90" ht="12.75" customHeight="1" spans="3:9">
      <c r="C90" s="359"/>
      <c r="F90" s="359"/>
      <c r="I90" s="359"/>
    </row>
    <row r="91" ht="12.75" customHeight="1" spans="3:9">
      <c r="C91" s="359"/>
      <c r="F91" s="359"/>
      <c r="I91" s="359"/>
    </row>
    <row r="92" ht="12.75" customHeight="1" spans="3:9">
      <c r="C92" s="359"/>
      <c r="F92" s="359"/>
      <c r="I92" s="359"/>
    </row>
    <row r="93" ht="12.75" customHeight="1" spans="3:9">
      <c r="C93" s="359"/>
      <c r="F93" s="359"/>
      <c r="I93" s="359"/>
    </row>
    <row r="94" ht="12.75" customHeight="1" spans="3:9">
      <c r="C94" s="359"/>
      <c r="F94" s="359"/>
      <c r="I94" s="359"/>
    </row>
    <row r="95" ht="12.75" customHeight="1" spans="3:9">
      <c r="C95" s="359"/>
      <c r="F95" s="359"/>
      <c r="I95" s="359"/>
    </row>
    <row r="96" ht="12.75" customHeight="1" spans="3:9">
      <c r="C96" s="359"/>
      <c r="F96" s="359"/>
      <c r="I96" s="359"/>
    </row>
    <row r="97" ht="12.75" customHeight="1" spans="3:9">
      <c r="C97" s="359"/>
      <c r="F97" s="359"/>
      <c r="I97" s="359"/>
    </row>
    <row r="98" ht="12.75" customHeight="1" spans="3:9">
      <c r="C98" s="359"/>
      <c r="F98" s="359"/>
      <c r="I98" s="359"/>
    </row>
    <row r="99" ht="12.75" customHeight="1" spans="3:9">
      <c r="C99" s="359"/>
      <c r="F99" s="359"/>
      <c r="I99" s="359"/>
    </row>
    <row r="100" ht="12.75" customHeight="1" spans="3:9">
      <c r="C100" s="359"/>
      <c r="F100" s="359"/>
      <c r="I100" s="359"/>
    </row>
    <row r="101" ht="12.75" customHeight="1" spans="3:9">
      <c r="C101" s="359"/>
      <c r="F101" s="359"/>
      <c r="I101" s="359"/>
    </row>
    <row r="102" ht="12.75" customHeight="1" spans="3:9">
      <c r="C102" s="359"/>
      <c r="F102" s="359"/>
      <c r="I102" s="359"/>
    </row>
    <row r="103" ht="12.75" customHeight="1" spans="3:9">
      <c r="C103" s="359"/>
      <c r="F103" s="359"/>
      <c r="I103" s="359"/>
    </row>
    <row r="104" ht="12.75" customHeight="1" spans="3:9">
      <c r="C104" s="359"/>
      <c r="F104" s="359"/>
      <c r="I104" s="359"/>
    </row>
    <row r="105" ht="12.75" customHeight="1" spans="3:9">
      <c r="C105" s="359"/>
      <c r="F105" s="359"/>
      <c r="I105" s="359"/>
    </row>
    <row r="106" ht="12.75" customHeight="1" spans="3:9">
      <c r="C106" s="359"/>
      <c r="F106" s="359"/>
      <c r="I106" s="359"/>
    </row>
    <row r="107" ht="12.75" customHeight="1" spans="3:9">
      <c r="C107" s="359"/>
      <c r="F107" s="359"/>
      <c r="I107" s="359"/>
    </row>
    <row r="108" ht="12.75" customHeight="1" spans="3:9">
      <c r="C108" s="359"/>
      <c r="F108" s="359"/>
      <c r="I108" s="359"/>
    </row>
    <row r="109" ht="12.75" customHeight="1" spans="3:9">
      <c r="C109" s="359"/>
      <c r="F109" s="359"/>
      <c r="I109" s="359"/>
    </row>
    <row r="110" ht="12.75" customHeight="1" spans="3:9">
      <c r="C110" s="359"/>
      <c r="F110" s="359"/>
      <c r="I110" s="359"/>
    </row>
    <row r="111" ht="12.75" customHeight="1" spans="3:9">
      <c r="C111" s="359"/>
      <c r="F111" s="359"/>
      <c r="I111" s="359"/>
    </row>
    <row r="112" ht="12.75" customHeight="1" spans="3:9">
      <c r="C112" s="359"/>
      <c r="F112" s="359"/>
      <c r="I112" s="359"/>
    </row>
    <row r="113" ht="12.75" customHeight="1" spans="3:9">
      <c r="C113" s="359"/>
      <c r="F113" s="359"/>
      <c r="I113" s="359"/>
    </row>
    <row r="114" ht="12.75" customHeight="1" spans="3:9">
      <c r="C114" s="359"/>
      <c r="F114" s="359"/>
      <c r="I114" s="359"/>
    </row>
    <row r="115" ht="12.75" customHeight="1" spans="3:9">
      <c r="C115" s="359"/>
      <c r="F115" s="359"/>
      <c r="I115" s="359"/>
    </row>
    <row r="116" ht="12.75" customHeight="1" spans="3:9">
      <c r="C116" s="359"/>
      <c r="F116" s="359"/>
      <c r="I116" s="359"/>
    </row>
    <row r="117" ht="12.75" customHeight="1" spans="3:9">
      <c r="C117" s="359"/>
      <c r="F117" s="359"/>
      <c r="I117" s="359"/>
    </row>
    <row r="118" ht="12.75" customHeight="1" spans="3:9">
      <c r="C118" s="359"/>
      <c r="F118" s="359"/>
      <c r="I118" s="359"/>
    </row>
    <row r="119" ht="12.75" customHeight="1" spans="3:9">
      <c r="C119" s="359"/>
      <c r="F119" s="359"/>
      <c r="I119" s="359"/>
    </row>
    <row r="120" ht="12.75" customHeight="1" spans="3:9">
      <c r="C120" s="359"/>
      <c r="F120" s="359"/>
      <c r="I120" s="359"/>
    </row>
    <row r="121" ht="12.75" customHeight="1" spans="3:9">
      <c r="C121" s="359"/>
      <c r="F121" s="359"/>
      <c r="I121" s="359"/>
    </row>
    <row r="122" ht="12.75" customHeight="1" spans="3:9">
      <c r="C122" s="359"/>
      <c r="F122" s="359"/>
      <c r="I122" s="359"/>
    </row>
    <row r="123" ht="12.75" customHeight="1" spans="3:9">
      <c r="C123" s="359"/>
      <c r="F123" s="359"/>
      <c r="I123" s="359"/>
    </row>
    <row r="124" ht="12.75" customHeight="1" spans="3:9">
      <c r="C124" s="359"/>
      <c r="F124" s="359"/>
      <c r="I124" s="359"/>
    </row>
    <row r="125" ht="12.75" customHeight="1" spans="3:9">
      <c r="C125" s="359"/>
      <c r="F125" s="359"/>
      <c r="I125" s="359"/>
    </row>
    <row r="126" ht="12.75" customHeight="1" spans="3:9">
      <c r="C126" s="359"/>
      <c r="F126" s="359"/>
      <c r="I126" s="359"/>
    </row>
    <row r="127" ht="12.75" customHeight="1" spans="3:9">
      <c r="C127" s="359"/>
      <c r="F127" s="359"/>
      <c r="I127" s="359"/>
    </row>
    <row r="128" ht="12.75" customHeight="1" spans="3:9">
      <c r="C128" s="359"/>
      <c r="F128" s="359"/>
      <c r="I128" s="359"/>
    </row>
    <row r="129" ht="12.75" customHeight="1" spans="3:9">
      <c r="C129" s="359"/>
      <c r="F129" s="359"/>
      <c r="I129" s="359"/>
    </row>
    <row r="130" ht="12.75" customHeight="1" spans="3:9">
      <c r="C130" s="359"/>
      <c r="F130" s="359"/>
      <c r="I130" s="359"/>
    </row>
    <row r="131" ht="12.75" customHeight="1" spans="3:9">
      <c r="C131" s="359"/>
      <c r="F131" s="359"/>
      <c r="I131" s="359"/>
    </row>
    <row r="132" ht="12.75" customHeight="1" spans="3:9">
      <c r="C132" s="359"/>
      <c r="F132" s="359"/>
      <c r="I132" s="359"/>
    </row>
    <row r="133" ht="12.75" customHeight="1" spans="3:9">
      <c r="C133" s="359"/>
      <c r="F133" s="359"/>
      <c r="I133" s="359"/>
    </row>
    <row r="134" ht="12.75" customHeight="1" spans="3:9">
      <c r="C134" s="359"/>
      <c r="F134" s="359"/>
      <c r="I134" s="359"/>
    </row>
    <row r="135" ht="12.75" customHeight="1" spans="3:9">
      <c r="C135" s="359"/>
      <c r="F135" s="359"/>
      <c r="I135" s="359"/>
    </row>
    <row r="136" ht="12.75" customHeight="1" spans="3:9">
      <c r="C136" s="359"/>
      <c r="F136" s="359"/>
      <c r="I136" s="359"/>
    </row>
    <row r="137" ht="12.75" customHeight="1" spans="3:9">
      <c r="C137" s="359"/>
      <c r="F137" s="359"/>
      <c r="I137" s="359"/>
    </row>
    <row r="138" ht="12.75" customHeight="1" spans="3:9">
      <c r="C138" s="359"/>
      <c r="F138" s="359"/>
      <c r="I138" s="359"/>
    </row>
    <row r="139" ht="12.75" customHeight="1" spans="3:9">
      <c r="C139" s="359"/>
      <c r="F139" s="359"/>
      <c r="I139" s="359"/>
    </row>
    <row r="140" ht="12.75" customHeight="1" spans="3:9">
      <c r="C140" s="359"/>
      <c r="F140" s="359"/>
      <c r="I140" s="359"/>
    </row>
    <row r="141" ht="12.75" customHeight="1" spans="3:9">
      <c r="C141" s="359"/>
      <c r="F141" s="359"/>
      <c r="I141" s="359"/>
    </row>
    <row r="142" ht="12.75" customHeight="1" spans="3:9">
      <c r="C142" s="359"/>
      <c r="F142" s="359"/>
      <c r="I142" s="359"/>
    </row>
    <row r="143" ht="12.75" customHeight="1" spans="3:9">
      <c r="C143" s="359"/>
      <c r="F143" s="359"/>
      <c r="I143" s="359"/>
    </row>
    <row r="144" ht="12.75" customHeight="1" spans="3:9">
      <c r="C144" s="359"/>
      <c r="F144" s="359"/>
      <c r="I144" s="359"/>
    </row>
    <row r="145" ht="12.75" customHeight="1" spans="3:9">
      <c r="C145" s="359"/>
      <c r="F145" s="359"/>
      <c r="I145" s="359"/>
    </row>
    <row r="146" ht="12.75" customHeight="1" spans="3:9">
      <c r="C146" s="359"/>
      <c r="F146" s="359"/>
      <c r="I146" s="359"/>
    </row>
    <row r="147" ht="12.75" customHeight="1" spans="3:9">
      <c r="C147" s="359"/>
      <c r="F147" s="359"/>
      <c r="I147" s="359"/>
    </row>
    <row r="148" ht="12.75" customHeight="1" spans="3:9">
      <c r="C148" s="359"/>
      <c r="F148" s="359"/>
      <c r="I148" s="359"/>
    </row>
    <row r="149" ht="12.75" customHeight="1" spans="3:9">
      <c r="C149" s="359"/>
      <c r="F149" s="359"/>
      <c r="I149" s="359"/>
    </row>
    <row r="150" ht="12.75" customHeight="1" spans="3:9">
      <c r="C150" s="359"/>
      <c r="F150" s="359"/>
      <c r="I150" s="359"/>
    </row>
    <row r="151" ht="12.75" customHeight="1" spans="3:9">
      <c r="C151" s="359"/>
      <c r="F151" s="359"/>
      <c r="I151" s="359"/>
    </row>
    <row r="152" ht="12.75" customHeight="1" spans="3:9">
      <c r="C152" s="359"/>
      <c r="F152" s="359"/>
      <c r="I152" s="359"/>
    </row>
    <row r="153" ht="12.75" customHeight="1" spans="3:9">
      <c r="C153" s="359"/>
      <c r="F153" s="359"/>
      <c r="I153" s="359"/>
    </row>
    <row r="154" ht="12.75" customHeight="1" spans="3:9">
      <c r="C154" s="359"/>
      <c r="F154" s="359"/>
      <c r="I154" s="359"/>
    </row>
    <row r="155" ht="12.75" customHeight="1" spans="3:9">
      <c r="C155" s="359"/>
      <c r="F155" s="359"/>
      <c r="I155" s="359"/>
    </row>
    <row r="156" ht="12.75" customHeight="1" spans="3:9">
      <c r="C156" s="359"/>
      <c r="F156" s="359"/>
      <c r="I156" s="359"/>
    </row>
    <row r="157" ht="12.75" customHeight="1" spans="3:9">
      <c r="C157" s="359"/>
      <c r="F157" s="359"/>
      <c r="I157" s="359"/>
    </row>
    <row r="158" ht="12.75" customHeight="1" spans="3:9">
      <c r="C158" s="359"/>
      <c r="F158" s="359"/>
      <c r="I158" s="359"/>
    </row>
    <row r="159" ht="12.75" customHeight="1" spans="3:9">
      <c r="C159" s="359"/>
      <c r="F159" s="359"/>
      <c r="I159" s="359"/>
    </row>
    <row r="160" ht="12.75" customHeight="1" spans="3:9">
      <c r="C160" s="359"/>
      <c r="F160" s="359"/>
      <c r="I160" s="359"/>
    </row>
    <row r="161" ht="12.75" customHeight="1" spans="3:9">
      <c r="C161" s="359"/>
      <c r="F161" s="359"/>
      <c r="I161" s="359"/>
    </row>
    <row r="162" ht="12.75" customHeight="1" spans="3:9">
      <c r="C162" s="359"/>
      <c r="F162" s="359"/>
      <c r="I162" s="359"/>
    </row>
    <row r="163" ht="12.75" customHeight="1" spans="3:9">
      <c r="C163" s="359"/>
      <c r="F163" s="359"/>
      <c r="I163" s="359"/>
    </row>
    <row r="164" ht="12.75" customHeight="1" spans="3:9">
      <c r="C164" s="359"/>
      <c r="F164" s="359"/>
      <c r="I164" s="359"/>
    </row>
    <row r="165" ht="12.75" customHeight="1" spans="3:9">
      <c r="C165" s="359"/>
      <c r="F165" s="359"/>
      <c r="I165" s="359"/>
    </row>
    <row r="166" ht="12.75" customHeight="1" spans="3:9">
      <c r="C166" s="359"/>
      <c r="F166" s="359"/>
      <c r="I166" s="359"/>
    </row>
    <row r="167" ht="12.75" customHeight="1" spans="3:9">
      <c r="C167" s="359"/>
      <c r="F167" s="359"/>
      <c r="I167" s="359"/>
    </row>
    <row r="168" ht="12.75" customHeight="1" spans="3:9">
      <c r="C168" s="359"/>
      <c r="F168" s="359"/>
      <c r="I168" s="359"/>
    </row>
    <row r="169" ht="12.75" customHeight="1" spans="3:9">
      <c r="C169" s="359"/>
      <c r="F169" s="359"/>
      <c r="I169" s="359"/>
    </row>
    <row r="170" ht="12.75" customHeight="1" spans="3:9">
      <c r="C170" s="359"/>
      <c r="F170" s="359"/>
      <c r="I170" s="359"/>
    </row>
    <row r="171" ht="12.75" customHeight="1" spans="3:9">
      <c r="C171" s="359"/>
      <c r="F171" s="359"/>
      <c r="I171" s="359"/>
    </row>
    <row r="172" ht="12.75" customHeight="1" spans="3:9">
      <c r="C172" s="359"/>
      <c r="F172" s="359"/>
      <c r="I172" s="359"/>
    </row>
    <row r="173" ht="12.75" customHeight="1" spans="3:9">
      <c r="C173" s="359"/>
      <c r="F173" s="359"/>
      <c r="I173" s="359"/>
    </row>
    <row r="174" ht="12.75" customHeight="1" spans="3:9">
      <c r="C174" s="359"/>
      <c r="F174" s="359"/>
      <c r="I174" s="359"/>
    </row>
    <row r="175" ht="12.75" customHeight="1" spans="3:9">
      <c r="C175" s="359"/>
      <c r="F175" s="359"/>
      <c r="I175" s="359"/>
    </row>
    <row r="176" ht="12.75" customHeight="1" spans="3:9">
      <c r="C176" s="359"/>
      <c r="F176" s="359"/>
      <c r="I176" s="359"/>
    </row>
    <row r="177" ht="12.75" customHeight="1" spans="3:9">
      <c r="C177" s="359"/>
      <c r="F177" s="359"/>
      <c r="I177" s="359"/>
    </row>
    <row r="178" ht="12.75" customHeight="1" spans="3:9">
      <c r="C178" s="359"/>
      <c r="F178" s="359"/>
      <c r="I178" s="359"/>
    </row>
    <row r="179" ht="12.75" customHeight="1" spans="3:9">
      <c r="C179" s="359"/>
      <c r="F179" s="359"/>
      <c r="I179" s="359"/>
    </row>
    <row r="180" ht="12.75" customHeight="1" spans="3:9">
      <c r="C180" s="359"/>
      <c r="F180" s="359"/>
      <c r="I180" s="359"/>
    </row>
    <row r="181" ht="12.75" customHeight="1" spans="3:9">
      <c r="C181" s="359"/>
      <c r="F181" s="359"/>
      <c r="I181" s="359"/>
    </row>
    <row r="182" ht="12.75" customHeight="1" spans="3:9">
      <c r="C182" s="359"/>
      <c r="F182" s="359"/>
      <c r="I182" s="359"/>
    </row>
    <row r="183" ht="12.75" customHeight="1" spans="3:9">
      <c r="C183" s="359"/>
      <c r="F183" s="359"/>
      <c r="I183" s="359"/>
    </row>
    <row r="184" ht="12.75" customHeight="1" spans="3:9">
      <c r="C184" s="359"/>
      <c r="F184" s="359"/>
      <c r="I184" s="359"/>
    </row>
    <row r="185" ht="12.75" customHeight="1" spans="3:9">
      <c r="C185" s="359"/>
      <c r="F185" s="359"/>
      <c r="I185" s="359"/>
    </row>
    <row r="186" ht="12.75" customHeight="1" spans="3:9">
      <c r="C186" s="359"/>
      <c r="F186" s="359"/>
      <c r="I186" s="359"/>
    </row>
    <row r="187" ht="12.75" customHeight="1" spans="3:9">
      <c r="C187" s="359"/>
      <c r="F187" s="359"/>
      <c r="I187" s="359"/>
    </row>
    <row r="188" ht="12.75" customHeight="1" spans="3:9">
      <c r="C188" s="359"/>
      <c r="F188" s="359"/>
      <c r="I188" s="359"/>
    </row>
    <row r="189" ht="12.75" customHeight="1" spans="3:9">
      <c r="C189" s="359"/>
      <c r="F189" s="359"/>
      <c r="I189" s="359"/>
    </row>
    <row r="190" ht="12.75" customHeight="1" spans="3:9">
      <c r="C190" s="359"/>
      <c r="F190" s="359"/>
      <c r="I190" s="359"/>
    </row>
    <row r="191" ht="12.75" customHeight="1" spans="3:9">
      <c r="C191" s="359"/>
      <c r="F191" s="359"/>
      <c r="I191" s="359"/>
    </row>
    <row r="192" ht="12.75" customHeight="1" spans="3:9">
      <c r="C192" s="359"/>
      <c r="F192" s="359"/>
      <c r="I192" s="359"/>
    </row>
    <row r="193" ht="12.75" customHeight="1" spans="3:9">
      <c r="C193" s="359"/>
      <c r="F193" s="359"/>
      <c r="I193" s="359"/>
    </row>
    <row r="194" ht="12.75" customHeight="1" spans="3:9">
      <c r="C194" s="359"/>
      <c r="F194" s="359"/>
      <c r="I194" s="359"/>
    </row>
    <row r="195" ht="12.75" customHeight="1" spans="3:9">
      <c r="C195" s="359"/>
      <c r="F195" s="359"/>
      <c r="I195" s="359"/>
    </row>
    <row r="196" ht="12.75" customHeight="1" spans="3:9">
      <c r="C196" s="359"/>
      <c r="F196" s="359"/>
      <c r="I196" s="359"/>
    </row>
    <row r="197" ht="12.75" customHeight="1" spans="3:9">
      <c r="C197" s="359"/>
      <c r="F197" s="359"/>
      <c r="I197" s="359"/>
    </row>
    <row r="198" ht="12.75" customHeight="1" spans="3:9">
      <c r="C198" s="359"/>
      <c r="F198" s="359"/>
      <c r="I198" s="359"/>
    </row>
    <row r="199" ht="12.75" customHeight="1" spans="3:9">
      <c r="C199" s="359"/>
      <c r="F199" s="359"/>
      <c r="I199" s="359"/>
    </row>
    <row r="200" ht="12.75" customHeight="1" spans="3:9">
      <c r="C200" s="359"/>
      <c r="F200" s="359"/>
      <c r="I200" s="359"/>
    </row>
    <row r="201" ht="12.75" customHeight="1" spans="3:9">
      <c r="C201" s="359"/>
      <c r="F201" s="359"/>
      <c r="I201" s="359"/>
    </row>
    <row r="202" ht="12.75" customHeight="1" spans="3:9">
      <c r="C202" s="359"/>
      <c r="F202" s="359"/>
      <c r="I202" s="359"/>
    </row>
    <row r="203" ht="12.75" customHeight="1" spans="3:9">
      <c r="C203" s="359"/>
      <c r="F203" s="359"/>
      <c r="I203" s="359"/>
    </row>
    <row r="204" ht="12.75" customHeight="1" spans="3:9">
      <c r="C204" s="359"/>
      <c r="F204" s="359"/>
      <c r="I204" s="359"/>
    </row>
    <row r="205" ht="12.75" customHeight="1" spans="3:9">
      <c r="C205" s="359"/>
      <c r="F205" s="359"/>
      <c r="I205" s="359"/>
    </row>
    <row r="206" ht="12.75" customHeight="1" spans="3:9">
      <c r="C206" s="359"/>
      <c r="F206" s="359"/>
      <c r="I206" s="359"/>
    </row>
    <row r="207" ht="12.75" customHeight="1" spans="3:9">
      <c r="C207" s="359"/>
      <c r="F207" s="359"/>
      <c r="I207" s="359"/>
    </row>
    <row r="208" ht="12.75" customHeight="1" spans="3:9">
      <c r="C208" s="359"/>
      <c r="F208" s="359"/>
      <c r="I208" s="359"/>
    </row>
    <row r="209" ht="12.75" customHeight="1" spans="3:9">
      <c r="C209" s="359"/>
      <c r="F209" s="359"/>
      <c r="I209" s="359"/>
    </row>
    <row r="210" ht="12.75" customHeight="1" spans="3:9">
      <c r="C210" s="359"/>
      <c r="F210" s="359"/>
      <c r="I210" s="359"/>
    </row>
    <row r="211" ht="12.75" customHeight="1" spans="3:9">
      <c r="C211" s="359"/>
      <c r="F211" s="359"/>
      <c r="I211" s="359"/>
    </row>
    <row r="212" ht="12.75" customHeight="1" spans="3:9">
      <c r="C212" s="359"/>
      <c r="F212" s="359"/>
      <c r="I212" s="359"/>
    </row>
    <row r="213" ht="12.75" customHeight="1" spans="3:9">
      <c r="C213" s="359"/>
      <c r="F213" s="359"/>
      <c r="I213" s="359"/>
    </row>
    <row r="214" ht="12.75" customHeight="1" spans="3:9">
      <c r="C214" s="359"/>
      <c r="F214" s="359"/>
      <c r="I214" s="359"/>
    </row>
    <row r="215" ht="12.75" customHeight="1" spans="3:9">
      <c r="C215" s="359"/>
      <c r="F215" s="359"/>
      <c r="I215" s="359"/>
    </row>
    <row r="216" ht="12.75" customHeight="1" spans="3:9">
      <c r="C216" s="359"/>
      <c r="F216" s="359"/>
      <c r="I216" s="359"/>
    </row>
    <row r="217" ht="12.75" customHeight="1" spans="3:9">
      <c r="C217" s="359"/>
      <c r="F217" s="359"/>
      <c r="I217" s="359"/>
    </row>
    <row r="218" ht="12.75" customHeight="1" spans="3:9">
      <c r="C218" s="359"/>
      <c r="F218" s="359"/>
      <c r="I218" s="359"/>
    </row>
    <row r="219" ht="12.75" customHeight="1" spans="3:9">
      <c r="C219" s="359"/>
      <c r="F219" s="359"/>
      <c r="I219" s="359"/>
    </row>
    <row r="220" ht="12.75" customHeight="1" spans="3:9">
      <c r="C220" s="359"/>
      <c r="F220" s="359"/>
      <c r="I220" s="359"/>
    </row>
    <row r="221" ht="12.75" customHeight="1" spans="3:9">
      <c r="C221" s="359"/>
      <c r="F221" s="359"/>
      <c r="I221" s="359"/>
    </row>
    <row r="222" ht="12.75" customHeight="1" spans="3:9">
      <c r="C222" s="359"/>
      <c r="F222" s="359"/>
      <c r="I222" s="359"/>
    </row>
    <row r="223" ht="12.75" customHeight="1" spans="3:9">
      <c r="C223" s="359"/>
      <c r="F223" s="359"/>
      <c r="I223" s="359"/>
    </row>
    <row r="224" ht="12.75" customHeight="1" spans="3:9">
      <c r="C224" s="359"/>
      <c r="F224" s="359"/>
      <c r="I224" s="359"/>
    </row>
    <row r="225" ht="12.75" customHeight="1" spans="3:9">
      <c r="C225" s="359"/>
      <c r="F225" s="359"/>
      <c r="I225" s="359"/>
    </row>
    <row r="226" ht="12.75" customHeight="1" spans="3:9">
      <c r="C226" s="359"/>
      <c r="F226" s="359"/>
      <c r="I226" s="359"/>
    </row>
    <row r="227" ht="12.75" customHeight="1" spans="3:9">
      <c r="C227" s="359"/>
      <c r="F227" s="359"/>
      <c r="I227" s="359"/>
    </row>
    <row r="228" ht="12.75" customHeight="1" spans="3:9">
      <c r="C228" s="359"/>
      <c r="F228" s="359"/>
      <c r="I228" s="359"/>
    </row>
    <row r="229" ht="12.75" customHeight="1" spans="3:9">
      <c r="C229" s="359"/>
      <c r="F229" s="359"/>
      <c r="I229" s="359"/>
    </row>
    <row r="230" ht="12.75" customHeight="1" spans="3:9">
      <c r="C230" s="359"/>
      <c r="F230" s="359"/>
      <c r="I230" s="359"/>
    </row>
    <row r="231" ht="12.75" customHeight="1" spans="3:9">
      <c r="C231" s="359"/>
      <c r="F231" s="359"/>
      <c r="I231" s="359"/>
    </row>
    <row r="232" ht="12.75" customHeight="1" spans="3:9">
      <c r="C232" s="359"/>
      <c r="F232" s="359"/>
      <c r="I232" s="359"/>
    </row>
    <row r="233" ht="12.75" customHeight="1" spans="3:9">
      <c r="C233" s="359"/>
      <c r="F233" s="359"/>
      <c r="I233" s="359"/>
    </row>
    <row r="234" ht="12.75" customHeight="1" spans="3:9">
      <c r="C234" s="359"/>
      <c r="F234" s="359"/>
      <c r="I234" s="359"/>
    </row>
    <row r="235" ht="12.75" customHeight="1" spans="3:9">
      <c r="C235" s="359"/>
      <c r="F235" s="359"/>
      <c r="I235" s="359"/>
    </row>
    <row r="236" ht="12.75" customHeight="1" spans="3:9">
      <c r="C236" s="359"/>
      <c r="F236" s="359"/>
      <c r="I236" s="359"/>
    </row>
    <row r="237" ht="12.75" customHeight="1" spans="3:9">
      <c r="C237" s="359"/>
      <c r="F237" s="359"/>
      <c r="I237" s="359"/>
    </row>
    <row r="238" ht="12.75" customHeight="1" spans="3:9">
      <c r="C238" s="359"/>
      <c r="F238" s="359"/>
      <c r="I238" s="359"/>
    </row>
    <row r="239" ht="12.75" customHeight="1" spans="3:9">
      <c r="C239" s="359"/>
      <c r="F239" s="359"/>
      <c r="I239" s="359"/>
    </row>
    <row r="240" ht="12.75" customHeight="1" spans="3:9">
      <c r="C240" s="359"/>
      <c r="F240" s="359"/>
      <c r="I240" s="359"/>
    </row>
    <row r="241" ht="12.75" customHeight="1" spans="3:9">
      <c r="C241" s="359"/>
      <c r="F241" s="359"/>
      <c r="I241" s="359"/>
    </row>
    <row r="242" ht="12.75" customHeight="1" spans="3:9">
      <c r="C242" s="359"/>
      <c r="F242" s="359"/>
      <c r="I242" s="359"/>
    </row>
    <row r="243" ht="12.75" customHeight="1" spans="3:9">
      <c r="C243" s="359"/>
      <c r="F243" s="359"/>
      <c r="I243" s="359"/>
    </row>
    <row r="244" ht="12.75" customHeight="1" spans="3:9">
      <c r="C244" s="359"/>
      <c r="F244" s="359"/>
      <c r="I244" s="359"/>
    </row>
    <row r="245" ht="12.75" customHeight="1" spans="3:9">
      <c r="C245" s="359"/>
      <c r="F245" s="359"/>
      <c r="I245" s="359"/>
    </row>
    <row r="246" ht="12.75" customHeight="1" spans="3:9">
      <c r="C246" s="359"/>
      <c r="F246" s="359"/>
      <c r="I246" s="359"/>
    </row>
    <row r="247" ht="12.75" customHeight="1" spans="3:9">
      <c r="C247" s="359"/>
      <c r="F247" s="359"/>
      <c r="I247" s="359"/>
    </row>
    <row r="248" ht="12.75" customHeight="1" spans="3:9">
      <c r="C248" s="359"/>
      <c r="F248" s="359"/>
      <c r="I248" s="359"/>
    </row>
    <row r="249" ht="12.75" customHeight="1" spans="3:9">
      <c r="C249" s="359"/>
      <c r="F249" s="359"/>
      <c r="I249" s="359"/>
    </row>
    <row r="250" ht="12.75" customHeight="1" spans="3:9">
      <c r="C250" s="359"/>
      <c r="F250" s="359"/>
      <c r="I250" s="359"/>
    </row>
    <row r="251" ht="12.75" customHeight="1" spans="3:9">
      <c r="C251" s="359"/>
      <c r="F251" s="359"/>
      <c r="I251" s="359"/>
    </row>
    <row r="252" ht="12.75" customHeight="1" spans="3:9">
      <c r="C252" s="359"/>
      <c r="F252" s="359"/>
      <c r="I252" s="359"/>
    </row>
    <row r="253" ht="12.75" customHeight="1" spans="3:9">
      <c r="C253" s="359"/>
      <c r="F253" s="359"/>
      <c r="I253" s="359"/>
    </row>
    <row r="254" ht="12.75" customHeight="1" spans="3:9">
      <c r="C254" s="359"/>
      <c r="F254" s="359"/>
      <c r="I254" s="359"/>
    </row>
    <row r="255" ht="12.75" customHeight="1" spans="3:9">
      <c r="C255" s="359"/>
      <c r="F255" s="359"/>
      <c r="I255" s="359"/>
    </row>
    <row r="256" ht="12.75" customHeight="1" spans="3:9">
      <c r="C256" s="359"/>
      <c r="F256" s="359"/>
      <c r="I256" s="359"/>
    </row>
    <row r="257" ht="12.75" customHeight="1" spans="3:9">
      <c r="C257" s="359"/>
      <c r="F257" s="359"/>
      <c r="I257" s="359"/>
    </row>
    <row r="258" ht="12.75" customHeight="1" spans="3:9">
      <c r="C258" s="359"/>
      <c r="F258" s="359"/>
      <c r="I258" s="359"/>
    </row>
    <row r="259" ht="12.75" customHeight="1" spans="3:9">
      <c r="C259" s="359"/>
      <c r="F259" s="359"/>
      <c r="I259" s="359"/>
    </row>
    <row r="260" ht="12.75" customHeight="1" spans="3:9">
      <c r="C260" s="359"/>
      <c r="F260" s="359"/>
      <c r="I260" s="359"/>
    </row>
    <row r="261" ht="12.75" customHeight="1" spans="3:9">
      <c r="C261" s="359"/>
      <c r="F261" s="359"/>
      <c r="I261" s="359"/>
    </row>
    <row r="262" ht="12.75" customHeight="1" spans="3:9">
      <c r="C262" s="359"/>
      <c r="F262" s="359"/>
      <c r="I262" s="359"/>
    </row>
    <row r="263" ht="12.75" customHeight="1" spans="3:9">
      <c r="C263" s="359"/>
      <c r="F263" s="359"/>
      <c r="I263" s="359"/>
    </row>
    <row r="264" ht="12.75" customHeight="1" spans="3:9">
      <c r="C264" s="359"/>
      <c r="F264" s="359"/>
      <c r="I264" s="359"/>
    </row>
    <row r="265" ht="12.75" customHeight="1" spans="3:9">
      <c r="C265" s="359"/>
      <c r="F265" s="359"/>
      <c r="I265" s="359"/>
    </row>
    <row r="266" ht="12.75" customHeight="1" spans="3:9">
      <c r="C266" s="359"/>
      <c r="F266" s="359"/>
      <c r="I266" s="359"/>
    </row>
    <row r="267" ht="12.75" customHeight="1" spans="3:9">
      <c r="C267" s="359"/>
      <c r="F267" s="359"/>
      <c r="I267" s="359"/>
    </row>
    <row r="268" ht="12.75" customHeight="1" spans="3:9">
      <c r="C268" s="359"/>
      <c r="F268" s="359"/>
      <c r="I268" s="359"/>
    </row>
    <row r="269" ht="12.75" customHeight="1" spans="3:9">
      <c r="C269" s="359"/>
      <c r="F269" s="359"/>
      <c r="I269" s="359"/>
    </row>
    <row r="270" ht="12.75" customHeight="1" spans="3:9">
      <c r="C270" s="359"/>
      <c r="F270" s="359"/>
      <c r="I270" s="359"/>
    </row>
    <row r="271" ht="12.75" customHeight="1" spans="3:9">
      <c r="C271" s="359"/>
      <c r="F271" s="359"/>
      <c r="I271" s="359"/>
    </row>
    <row r="272" ht="12.75" customHeight="1" spans="3:9">
      <c r="C272" s="359"/>
      <c r="F272" s="359"/>
      <c r="I272" s="359"/>
    </row>
    <row r="273" ht="12.75" customHeight="1" spans="3:9">
      <c r="C273" s="359"/>
      <c r="F273" s="359"/>
      <c r="I273" s="359"/>
    </row>
    <row r="274" ht="12.75" customHeight="1" spans="3:9">
      <c r="C274" s="359"/>
      <c r="F274" s="359"/>
      <c r="I274" s="359"/>
    </row>
    <row r="275" ht="12.75" customHeight="1" spans="3:9">
      <c r="C275" s="359"/>
      <c r="F275" s="359"/>
      <c r="I275" s="359"/>
    </row>
    <row r="276" ht="12.75" customHeight="1" spans="3:9">
      <c r="C276" s="359"/>
      <c r="F276" s="359"/>
      <c r="I276" s="359"/>
    </row>
    <row r="277" ht="12.75" customHeight="1" spans="3:9">
      <c r="C277" s="359"/>
      <c r="F277" s="359"/>
      <c r="I277" s="359"/>
    </row>
    <row r="278" ht="12.75" customHeight="1" spans="3:9">
      <c r="C278" s="359"/>
      <c r="F278" s="359"/>
      <c r="I278" s="359"/>
    </row>
    <row r="279" ht="12.75" customHeight="1" spans="3:9">
      <c r="C279" s="359"/>
      <c r="F279" s="359"/>
      <c r="I279" s="359"/>
    </row>
    <row r="280" ht="12.75" customHeight="1" spans="3:9">
      <c r="C280" s="359"/>
      <c r="F280" s="359"/>
      <c r="I280" s="359"/>
    </row>
    <row r="281" ht="12.75" customHeight="1" spans="3:9">
      <c r="C281" s="359"/>
      <c r="F281" s="359"/>
      <c r="I281" s="359"/>
    </row>
    <row r="282" ht="12.75" customHeight="1" spans="3:9">
      <c r="C282" s="359"/>
      <c r="F282" s="359"/>
      <c r="I282" s="359"/>
    </row>
    <row r="283" ht="12.75" customHeight="1" spans="3:9">
      <c r="C283" s="359"/>
      <c r="F283" s="359"/>
      <c r="I283" s="359"/>
    </row>
    <row r="284" ht="12.75" customHeight="1" spans="3:9">
      <c r="C284" s="359"/>
      <c r="F284" s="359"/>
      <c r="I284" s="359"/>
    </row>
    <row r="285" ht="12.75" customHeight="1" spans="3:9">
      <c r="C285" s="359"/>
      <c r="F285" s="359"/>
      <c r="I285" s="359"/>
    </row>
    <row r="286" ht="12.75" customHeight="1" spans="3:9">
      <c r="C286" s="359"/>
      <c r="F286" s="359"/>
      <c r="I286" s="359"/>
    </row>
    <row r="287" ht="12.75" customHeight="1" spans="3:9">
      <c r="C287" s="359"/>
      <c r="F287" s="359"/>
      <c r="I287" s="359"/>
    </row>
    <row r="288" ht="12.75" customHeight="1" spans="3:9">
      <c r="C288" s="359"/>
      <c r="F288" s="359"/>
      <c r="I288" s="359"/>
    </row>
    <row r="289" ht="12.75" customHeight="1" spans="3:9">
      <c r="C289" s="359"/>
      <c r="F289" s="359"/>
      <c r="I289" s="359"/>
    </row>
    <row r="290" ht="12.75" customHeight="1" spans="3:9">
      <c r="C290" s="359"/>
      <c r="F290" s="359"/>
      <c r="I290" s="359"/>
    </row>
    <row r="291" ht="12.75" customHeight="1" spans="3:9">
      <c r="C291" s="359"/>
      <c r="F291" s="359"/>
      <c r="I291" s="359"/>
    </row>
    <row r="292" ht="12.75" customHeight="1" spans="3:9">
      <c r="C292" s="359"/>
      <c r="F292" s="359"/>
      <c r="I292" s="359"/>
    </row>
    <row r="293" ht="12.75" customHeight="1" spans="3:9">
      <c r="C293" s="359"/>
      <c r="F293" s="359"/>
      <c r="I293" s="359"/>
    </row>
    <row r="294" ht="12.75" customHeight="1" spans="3:9">
      <c r="C294" s="359"/>
      <c r="F294" s="359"/>
      <c r="I294" s="359"/>
    </row>
    <row r="295" ht="12.75" customHeight="1" spans="3:9">
      <c r="C295" s="359"/>
      <c r="F295" s="359"/>
      <c r="I295" s="359"/>
    </row>
    <row r="296" ht="12.75" customHeight="1" spans="3:9">
      <c r="C296" s="359"/>
      <c r="F296" s="359"/>
      <c r="I296" s="359"/>
    </row>
    <row r="297" ht="12.75" customHeight="1" spans="3:9">
      <c r="C297" s="359"/>
      <c r="F297" s="359"/>
      <c r="I297" s="359"/>
    </row>
    <row r="298" ht="12.75" customHeight="1" spans="3:9">
      <c r="C298" s="359"/>
      <c r="F298" s="359"/>
      <c r="I298" s="359"/>
    </row>
    <row r="299" ht="12.75" customHeight="1" spans="3:9">
      <c r="C299" s="359"/>
      <c r="F299" s="359"/>
      <c r="I299" s="359"/>
    </row>
    <row r="300" ht="12.75" customHeight="1" spans="3:9">
      <c r="C300" s="359"/>
      <c r="F300" s="359"/>
      <c r="I300" s="359"/>
    </row>
    <row r="301" ht="12.75" customHeight="1" spans="3:9">
      <c r="C301" s="359"/>
      <c r="F301" s="359"/>
      <c r="I301" s="359"/>
    </row>
    <row r="302" ht="12.75" customHeight="1" spans="3:9">
      <c r="C302" s="359"/>
      <c r="F302" s="359"/>
      <c r="I302" s="359"/>
    </row>
    <row r="303" ht="12.75" customHeight="1" spans="3:9">
      <c r="C303" s="359"/>
      <c r="F303" s="359"/>
      <c r="I303" s="359"/>
    </row>
    <row r="304" ht="12.75" customHeight="1" spans="3:9">
      <c r="C304" s="359"/>
      <c r="F304" s="359"/>
      <c r="I304" s="359"/>
    </row>
    <row r="305" ht="12.75" customHeight="1" spans="3:9">
      <c r="C305" s="359"/>
      <c r="F305" s="359"/>
      <c r="I305" s="359"/>
    </row>
    <row r="306" ht="12.75" customHeight="1" spans="3:9">
      <c r="C306" s="359"/>
      <c r="F306" s="359"/>
      <c r="I306" s="359"/>
    </row>
    <row r="307" ht="12.75" customHeight="1" spans="3:9">
      <c r="C307" s="359"/>
      <c r="F307" s="359"/>
      <c r="I307" s="359"/>
    </row>
    <row r="308" ht="12.75" customHeight="1" spans="3:9">
      <c r="C308" s="359"/>
      <c r="F308" s="359"/>
      <c r="I308" s="359"/>
    </row>
    <row r="309" ht="12.75" customHeight="1" spans="3:9">
      <c r="C309" s="359"/>
      <c r="F309" s="359"/>
      <c r="I309" s="359"/>
    </row>
    <row r="310" ht="12.75" customHeight="1" spans="3:9">
      <c r="C310" s="359"/>
      <c r="F310" s="359"/>
      <c r="I310" s="359"/>
    </row>
    <row r="311" ht="12.75" customHeight="1" spans="3:9">
      <c r="C311" s="359"/>
      <c r="F311" s="359"/>
      <c r="I311" s="359"/>
    </row>
    <row r="312" ht="12.75" customHeight="1" spans="3:9">
      <c r="C312" s="359"/>
      <c r="F312" s="359"/>
      <c r="I312" s="359"/>
    </row>
    <row r="313" ht="12.75" customHeight="1" spans="3:9">
      <c r="C313" s="359"/>
      <c r="F313" s="359"/>
      <c r="I313" s="359"/>
    </row>
    <row r="314" ht="12.75" customHeight="1" spans="3:9">
      <c r="C314" s="359"/>
      <c r="F314" s="359"/>
      <c r="I314" s="359"/>
    </row>
    <row r="315" ht="12.75" customHeight="1" spans="3:9">
      <c r="C315" s="359"/>
      <c r="F315" s="359"/>
      <c r="I315" s="359"/>
    </row>
    <row r="316" ht="12.75" customHeight="1" spans="3:9">
      <c r="C316" s="359"/>
      <c r="F316" s="359"/>
      <c r="I316" s="359"/>
    </row>
    <row r="317" ht="12.75" customHeight="1" spans="3:9">
      <c r="C317" s="359"/>
      <c r="F317" s="359"/>
      <c r="I317" s="359"/>
    </row>
    <row r="318" ht="12.75" customHeight="1" spans="3:9">
      <c r="C318" s="359"/>
      <c r="F318" s="359"/>
      <c r="I318" s="359"/>
    </row>
    <row r="319" ht="12.75" customHeight="1" spans="3:9">
      <c r="C319" s="359"/>
      <c r="F319" s="359"/>
      <c r="I319" s="359"/>
    </row>
    <row r="320" ht="12.75" customHeight="1" spans="3:9">
      <c r="C320" s="359"/>
      <c r="F320" s="359"/>
      <c r="I320" s="359"/>
    </row>
    <row r="321" ht="12.75" customHeight="1" spans="3:9">
      <c r="C321" s="359"/>
      <c r="F321" s="359"/>
      <c r="I321" s="359"/>
    </row>
    <row r="322" ht="12.75" customHeight="1" spans="3:9">
      <c r="C322" s="359"/>
      <c r="F322" s="359"/>
      <c r="I322" s="359"/>
    </row>
    <row r="323" ht="12.75" customHeight="1" spans="3:9">
      <c r="C323" s="359"/>
      <c r="F323" s="359"/>
      <c r="I323" s="359"/>
    </row>
    <row r="324" ht="12.75" customHeight="1" spans="3:9">
      <c r="C324" s="359"/>
      <c r="F324" s="359"/>
      <c r="I324" s="359"/>
    </row>
    <row r="325" ht="12.75" customHeight="1" spans="3:9">
      <c r="C325" s="359"/>
      <c r="F325" s="359"/>
      <c r="I325" s="359"/>
    </row>
    <row r="326" ht="12.75" customHeight="1" spans="3:9">
      <c r="C326" s="359"/>
      <c r="F326" s="359"/>
      <c r="I326" s="359"/>
    </row>
    <row r="327" ht="12.75" customHeight="1" spans="3:9">
      <c r="C327" s="359"/>
      <c r="F327" s="359"/>
      <c r="I327" s="359"/>
    </row>
    <row r="328" ht="12.75" customHeight="1" spans="3:9">
      <c r="C328" s="359"/>
      <c r="F328" s="359"/>
      <c r="I328" s="359"/>
    </row>
    <row r="329" ht="12.75" customHeight="1" spans="3:9">
      <c r="C329" s="359"/>
      <c r="F329" s="359"/>
      <c r="I329" s="359"/>
    </row>
    <row r="330" ht="12.75" customHeight="1" spans="3:9">
      <c r="C330" s="359"/>
      <c r="F330" s="359"/>
      <c r="I330" s="359"/>
    </row>
    <row r="331" ht="12.75" customHeight="1" spans="3:9">
      <c r="C331" s="359"/>
      <c r="F331" s="359"/>
      <c r="I331" s="359"/>
    </row>
    <row r="332" ht="12.75" customHeight="1" spans="3:9">
      <c r="C332" s="359"/>
      <c r="F332" s="359"/>
      <c r="I332" s="359"/>
    </row>
    <row r="333" ht="12.75" customHeight="1" spans="3:9">
      <c r="C333" s="359"/>
      <c r="F333" s="359"/>
      <c r="I333" s="359"/>
    </row>
    <row r="334" ht="12.75" customHeight="1" spans="3:9">
      <c r="C334" s="359"/>
      <c r="F334" s="359"/>
      <c r="I334" s="359"/>
    </row>
    <row r="335" ht="12.75" customHeight="1" spans="3:9">
      <c r="C335" s="359"/>
      <c r="F335" s="359"/>
      <c r="I335" s="359"/>
    </row>
    <row r="336" ht="12.75" customHeight="1" spans="3:9">
      <c r="C336" s="359"/>
      <c r="F336" s="359"/>
      <c r="I336" s="359"/>
    </row>
    <row r="337" ht="12.75" customHeight="1" spans="3:9">
      <c r="C337" s="359"/>
      <c r="F337" s="359"/>
      <c r="I337" s="359"/>
    </row>
    <row r="338" ht="12.75" customHeight="1" spans="3:9">
      <c r="C338" s="359"/>
      <c r="F338" s="359"/>
      <c r="I338" s="359"/>
    </row>
    <row r="339" ht="12.75" customHeight="1" spans="3:9">
      <c r="C339" s="359"/>
      <c r="F339" s="359"/>
      <c r="I339" s="359"/>
    </row>
    <row r="340" ht="12.75" customHeight="1" spans="3:9">
      <c r="C340" s="359"/>
      <c r="F340" s="359"/>
      <c r="I340" s="359"/>
    </row>
    <row r="341" ht="12.75" customHeight="1" spans="3:9">
      <c r="C341" s="359"/>
      <c r="F341" s="359"/>
      <c r="I341" s="359"/>
    </row>
    <row r="342" ht="12.75" customHeight="1" spans="3:9">
      <c r="C342" s="359"/>
      <c r="F342" s="359"/>
      <c r="I342" s="359"/>
    </row>
    <row r="343" ht="12.75" customHeight="1" spans="3:9">
      <c r="C343" s="359"/>
      <c r="F343" s="359"/>
      <c r="I343" s="359"/>
    </row>
    <row r="344" ht="12.75" customHeight="1" spans="3:9">
      <c r="C344" s="359"/>
      <c r="F344" s="359"/>
      <c r="I344" s="359"/>
    </row>
    <row r="345" ht="12.75" customHeight="1" spans="3:9">
      <c r="C345" s="359"/>
      <c r="F345" s="359"/>
      <c r="I345" s="359"/>
    </row>
    <row r="346" ht="12.75" customHeight="1" spans="3:9">
      <c r="C346" s="359"/>
      <c r="F346" s="359"/>
      <c r="I346" s="359"/>
    </row>
    <row r="347" ht="12.75" customHeight="1" spans="3:9">
      <c r="C347" s="359"/>
      <c r="F347" s="359"/>
      <c r="I347" s="359"/>
    </row>
    <row r="348" ht="12.75" customHeight="1" spans="3:9">
      <c r="C348" s="359"/>
      <c r="F348" s="359"/>
      <c r="I348" s="359"/>
    </row>
    <row r="349" ht="12.75" customHeight="1" spans="3:9">
      <c r="C349" s="359"/>
      <c r="F349" s="359"/>
      <c r="I349" s="359"/>
    </row>
    <row r="350" ht="12.75" customHeight="1" spans="3:9">
      <c r="C350" s="359"/>
      <c r="F350" s="359"/>
      <c r="I350" s="359"/>
    </row>
    <row r="351" ht="12.75" customHeight="1" spans="3:9">
      <c r="C351" s="359"/>
      <c r="F351" s="359"/>
      <c r="I351" s="359"/>
    </row>
    <row r="352" ht="12.75" customHeight="1" spans="3:9">
      <c r="C352" s="359"/>
      <c r="F352" s="359"/>
      <c r="I352" s="359"/>
    </row>
    <row r="353" ht="12.75" customHeight="1" spans="3:9">
      <c r="C353" s="359"/>
      <c r="F353" s="359"/>
      <c r="I353" s="359"/>
    </row>
    <row r="354" ht="12.75" customHeight="1" spans="3:9">
      <c r="C354" s="359"/>
      <c r="F354" s="359"/>
      <c r="I354" s="359"/>
    </row>
    <row r="355" ht="12.75" customHeight="1" spans="3:9">
      <c r="C355" s="359"/>
      <c r="F355" s="359"/>
      <c r="I355" s="359"/>
    </row>
    <row r="356" ht="12.75" customHeight="1" spans="3:9">
      <c r="C356" s="359"/>
      <c r="F356" s="359"/>
      <c r="I356" s="359"/>
    </row>
    <row r="357" ht="12.75" customHeight="1" spans="3:9">
      <c r="C357" s="359"/>
      <c r="F357" s="359"/>
      <c r="I357" s="359"/>
    </row>
    <row r="358" ht="12.75" customHeight="1" spans="3:9">
      <c r="C358" s="359"/>
      <c r="F358" s="359"/>
      <c r="I358" s="359"/>
    </row>
    <row r="359" ht="12.75" customHeight="1" spans="3:9">
      <c r="C359" s="359"/>
      <c r="F359" s="359"/>
      <c r="I359" s="359"/>
    </row>
    <row r="360" ht="12.75" customHeight="1" spans="3:9">
      <c r="C360" s="359"/>
      <c r="F360" s="359"/>
      <c r="I360" s="359"/>
    </row>
    <row r="361" ht="12.75" customHeight="1" spans="3:9">
      <c r="C361" s="359"/>
      <c r="F361" s="359"/>
      <c r="I361" s="359"/>
    </row>
    <row r="362" ht="12.75" customHeight="1" spans="3:9">
      <c r="C362" s="359"/>
      <c r="F362" s="359"/>
      <c r="I362" s="359"/>
    </row>
    <row r="363" ht="12.75" customHeight="1" spans="3:9">
      <c r="C363" s="359"/>
      <c r="F363" s="359"/>
      <c r="I363" s="359"/>
    </row>
    <row r="364" ht="12.75" customHeight="1" spans="3:9">
      <c r="C364" s="359"/>
      <c r="F364" s="359"/>
      <c r="I364" s="359"/>
    </row>
    <row r="365" ht="12.75" customHeight="1" spans="3:9">
      <c r="C365" s="359"/>
      <c r="F365" s="359"/>
      <c r="I365" s="359"/>
    </row>
    <row r="366" ht="12.75" customHeight="1" spans="3:9">
      <c r="C366" s="359"/>
      <c r="F366" s="359"/>
      <c r="I366" s="359"/>
    </row>
    <row r="367" ht="12.75" customHeight="1" spans="3:9">
      <c r="C367" s="359"/>
      <c r="F367" s="359"/>
      <c r="I367" s="359"/>
    </row>
    <row r="368" ht="12.75" customHeight="1" spans="3:9">
      <c r="C368" s="359"/>
      <c r="F368" s="359"/>
      <c r="I368" s="359"/>
    </row>
    <row r="369" ht="12.75" customHeight="1" spans="3:9">
      <c r="C369" s="359"/>
      <c r="F369" s="359"/>
      <c r="I369" s="359"/>
    </row>
    <row r="370" ht="12.75" customHeight="1" spans="3:9">
      <c r="C370" s="359"/>
      <c r="F370" s="359"/>
      <c r="I370" s="359"/>
    </row>
    <row r="371" ht="12.75" customHeight="1" spans="3:9">
      <c r="C371" s="359"/>
      <c r="F371" s="359"/>
      <c r="I371" s="359"/>
    </row>
    <row r="372" ht="12.75" customHeight="1" spans="3:9">
      <c r="C372" s="359"/>
      <c r="F372" s="359"/>
      <c r="I372" s="359"/>
    </row>
    <row r="373" ht="12.75" customHeight="1" spans="3:9">
      <c r="C373" s="359"/>
      <c r="F373" s="359"/>
      <c r="I373" s="359"/>
    </row>
    <row r="374" ht="12.75" customHeight="1" spans="3:9">
      <c r="C374" s="359"/>
      <c r="F374" s="359"/>
      <c r="I374" s="359"/>
    </row>
    <row r="375" ht="12.75" customHeight="1" spans="3:9">
      <c r="C375" s="359"/>
      <c r="F375" s="359"/>
      <c r="I375" s="359"/>
    </row>
    <row r="376" ht="12.75" customHeight="1" spans="3:9">
      <c r="C376" s="359"/>
      <c r="F376" s="359"/>
      <c r="I376" s="359"/>
    </row>
    <row r="377" ht="12.75" customHeight="1" spans="3:9">
      <c r="C377" s="359"/>
      <c r="F377" s="359"/>
      <c r="I377" s="359"/>
    </row>
    <row r="378" ht="12.75" customHeight="1" spans="3:9">
      <c r="C378" s="359"/>
      <c r="F378" s="359"/>
      <c r="I378" s="359"/>
    </row>
    <row r="379" ht="12.75" customHeight="1" spans="3:9">
      <c r="C379" s="359"/>
      <c r="F379" s="359"/>
      <c r="I379" s="359"/>
    </row>
    <row r="380" ht="12.75" customHeight="1" spans="3:9">
      <c r="C380" s="359"/>
      <c r="F380" s="359"/>
      <c r="I380" s="359"/>
    </row>
    <row r="381" ht="12.75" customHeight="1" spans="3:9">
      <c r="C381" s="359"/>
      <c r="F381" s="359"/>
      <c r="I381" s="359"/>
    </row>
    <row r="382" ht="12.75" customHeight="1" spans="3:9">
      <c r="C382" s="359"/>
      <c r="F382" s="359"/>
      <c r="I382" s="359"/>
    </row>
    <row r="383" ht="12.75" customHeight="1" spans="3:9">
      <c r="C383" s="359"/>
      <c r="F383" s="359"/>
      <c r="I383" s="359"/>
    </row>
    <row r="384" ht="12.75" customHeight="1" spans="3:9">
      <c r="C384" s="359"/>
      <c r="F384" s="359"/>
      <c r="I384" s="359"/>
    </row>
    <row r="385" ht="12.75" customHeight="1" spans="3:9">
      <c r="C385" s="359"/>
      <c r="F385" s="359"/>
      <c r="I385" s="359"/>
    </row>
    <row r="386" ht="12.75" customHeight="1" spans="3:9">
      <c r="C386" s="359"/>
      <c r="F386" s="359"/>
      <c r="I386" s="359"/>
    </row>
    <row r="387" ht="12.75" customHeight="1" spans="3:9">
      <c r="C387" s="359"/>
      <c r="F387" s="359"/>
      <c r="I387" s="359"/>
    </row>
    <row r="388" ht="12.75" customHeight="1" spans="3:9">
      <c r="C388" s="359"/>
      <c r="F388" s="359"/>
      <c r="I388" s="359"/>
    </row>
    <row r="389" ht="12.75" customHeight="1" spans="3:9">
      <c r="C389" s="359"/>
      <c r="F389" s="359"/>
      <c r="I389" s="359"/>
    </row>
    <row r="390" ht="12.75" customHeight="1" spans="3:9">
      <c r="C390" s="359"/>
      <c r="F390" s="359"/>
      <c r="I390" s="359"/>
    </row>
    <row r="391" ht="12.75" customHeight="1" spans="3:9">
      <c r="C391" s="359"/>
      <c r="F391" s="359"/>
      <c r="I391" s="359"/>
    </row>
    <row r="392" ht="12.75" customHeight="1" spans="3:9">
      <c r="C392" s="359"/>
      <c r="F392" s="359"/>
      <c r="I392" s="359"/>
    </row>
    <row r="393" ht="12.75" customHeight="1" spans="3:9">
      <c r="C393" s="359"/>
      <c r="F393" s="359"/>
      <c r="I393" s="359"/>
    </row>
    <row r="394" ht="12.75" customHeight="1" spans="3:9">
      <c r="C394" s="359"/>
      <c r="F394" s="359"/>
      <c r="I394" s="359"/>
    </row>
    <row r="395" ht="12.75" customHeight="1" spans="3:9">
      <c r="C395" s="359"/>
      <c r="F395" s="359"/>
      <c r="I395" s="359"/>
    </row>
    <row r="396" ht="12.75" customHeight="1" spans="3:9">
      <c r="C396" s="359"/>
      <c r="F396" s="359"/>
      <c r="I396" s="359"/>
    </row>
    <row r="397" ht="12.75" customHeight="1" spans="3:9">
      <c r="C397" s="359"/>
      <c r="F397" s="359"/>
      <c r="I397" s="359"/>
    </row>
    <row r="398" ht="12.75" customHeight="1" spans="3:9">
      <c r="C398" s="359"/>
      <c r="F398" s="359"/>
      <c r="I398" s="359"/>
    </row>
    <row r="399" ht="12.75" customHeight="1" spans="3:9">
      <c r="C399" s="359"/>
      <c r="F399" s="359"/>
      <c r="I399" s="359"/>
    </row>
    <row r="400" ht="12.75" customHeight="1" spans="3:9">
      <c r="C400" s="359"/>
      <c r="F400" s="359"/>
      <c r="I400" s="359"/>
    </row>
    <row r="401" ht="12.75" customHeight="1" spans="3:9">
      <c r="C401" s="359"/>
      <c r="F401" s="359"/>
      <c r="I401" s="359"/>
    </row>
    <row r="402" ht="12.75" customHeight="1" spans="3:9">
      <c r="C402" s="359"/>
      <c r="F402" s="359"/>
      <c r="I402" s="359"/>
    </row>
    <row r="403" ht="12.75" customHeight="1" spans="3:9">
      <c r="C403" s="359"/>
      <c r="F403" s="359"/>
      <c r="I403" s="359"/>
    </row>
    <row r="404" ht="12.75" customHeight="1" spans="3:9">
      <c r="C404" s="359"/>
      <c r="F404" s="359"/>
      <c r="I404" s="359"/>
    </row>
    <row r="405" ht="12.75" customHeight="1" spans="3:9">
      <c r="C405" s="359"/>
      <c r="F405" s="359"/>
      <c r="I405" s="359"/>
    </row>
    <row r="406" ht="12.75" customHeight="1" spans="3:9">
      <c r="C406" s="359"/>
      <c r="F406" s="359"/>
      <c r="I406" s="359"/>
    </row>
    <row r="407" ht="12.75" customHeight="1" spans="3:9">
      <c r="C407" s="359"/>
      <c r="F407" s="359"/>
      <c r="I407" s="359"/>
    </row>
    <row r="408" ht="12.75" customHeight="1" spans="3:9">
      <c r="C408" s="359"/>
      <c r="F408" s="359"/>
      <c r="I408" s="359"/>
    </row>
    <row r="409" ht="12.75" customHeight="1" spans="3:9">
      <c r="C409" s="359"/>
      <c r="F409" s="359"/>
      <c r="I409" s="359"/>
    </row>
    <row r="410" ht="12.75" customHeight="1" spans="3:9">
      <c r="C410" s="359"/>
      <c r="F410" s="359"/>
      <c r="I410" s="359"/>
    </row>
    <row r="411" ht="12.75" customHeight="1" spans="3:9">
      <c r="C411" s="359"/>
      <c r="F411" s="359"/>
      <c r="I411" s="359"/>
    </row>
    <row r="412" ht="12.75" customHeight="1" spans="3:9">
      <c r="C412" s="359"/>
      <c r="F412" s="359"/>
      <c r="I412" s="359"/>
    </row>
    <row r="413" ht="12.75" customHeight="1" spans="3:9">
      <c r="C413" s="359"/>
      <c r="F413" s="359"/>
      <c r="I413" s="359"/>
    </row>
    <row r="414" ht="12.75" customHeight="1" spans="3:9">
      <c r="C414" s="359"/>
      <c r="F414" s="359"/>
      <c r="I414" s="359"/>
    </row>
    <row r="415" ht="12.75" customHeight="1" spans="3:9">
      <c r="C415" s="359"/>
      <c r="F415" s="359"/>
      <c r="I415" s="359"/>
    </row>
    <row r="416" ht="12.75" customHeight="1" spans="3:9">
      <c r="C416" s="359"/>
      <c r="F416" s="359"/>
      <c r="I416" s="359"/>
    </row>
    <row r="417" ht="12.75" customHeight="1" spans="3:9">
      <c r="C417" s="359"/>
      <c r="F417" s="359"/>
      <c r="I417" s="359"/>
    </row>
    <row r="418" ht="12.75" customHeight="1" spans="3:9">
      <c r="C418" s="359"/>
      <c r="F418" s="359"/>
      <c r="I418" s="359"/>
    </row>
    <row r="419" ht="12.75" customHeight="1" spans="3:9">
      <c r="C419" s="359"/>
      <c r="F419" s="359"/>
      <c r="I419" s="359"/>
    </row>
    <row r="420" ht="12.75" customHeight="1" spans="3:9">
      <c r="C420" s="359"/>
      <c r="F420" s="359"/>
      <c r="I420" s="359"/>
    </row>
    <row r="421" ht="12.75" customHeight="1" spans="3:9">
      <c r="C421" s="359"/>
      <c r="F421" s="359"/>
      <c r="I421" s="359"/>
    </row>
    <row r="422" ht="12.75" customHeight="1" spans="3:9">
      <c r="C422" s="359"/>
      <c r="F422" s="359"/>
      <c r="I422" s="359"/>
    </row>
    <row r="423" ht="12.75" customHeight="1" spans="3:9">
      <c r="C423" s="359"/>
      <c r="F423" s="359"/>
      <c r="I423" s="359"/>
    </row>
    <row r="424" ht="12.75" customHeight="1" spans="3:9">
      <c r="C424" s="359"/>
      <c r="F424" s="359"/>
      <c r="I424" s="359"/>
    </row>
    <row r="425" ht="12.75" customHeight="1" spans="3:9">
      <c r="C425" s="359"/>
      <c r="F425" s="359"/>
      <c r="I425" s="359"/>
    </row>
    <row r="426" ht="12.75" customHeight="1" spans="3:9">
      <c r="C426" s="359"/>
      <c r="F426" s="359"/>
      <c r="I426" s="359"/>
    </row>
    <row r="427" ht="12.75" customHeight="1" spans="3:9">
      <c r="C427" s="359"/>
      <c r="F427" s="359"/>
      <c r="I427" s="359"/>
    </row>
    <row r="428" ht="12.75" customHeight="1" spans="3:9">
      <c r="C428" s="359"/>
      <c r="F428" s="359"/>
      <c r="I428" s="359"/>
    </row>
    <row r="429" ht="12.75" customHeight="1" spans="3:9">
      <c r="C429" s="359"/>
      <c r="F429" s="359"/>
      <c r="I429" s="359"/>
    </row>
    <row r="430" ht="12.75" customHeight="1" spans="3:9">
      <c r="C430" s="359"/>
      <c r="F430" s="359"/>
      <c r="I430" s="359"/>
    </row>
    <row r="431" ht="12.75" customHeight="1" spans="3:9">
      <c r="C431" s="359"/>
      <c r="F431" s="359"/>
      <c r="I431" s="359"/>
    </row>
    <row r="432" ht="12.75" customHeight="1" spans="3:9">
      <c r="C432" s="359"/>
      <c r="F432" s="359"/>
      <c r="I432" s="359"/>
    </row>
    <row r="433" ht="12.75" customHeight="1" spans="3:9">
      <c r="C433" s="359"/>
      <c r="F433" s="359"/>
      <c r="I433" s="359"/>
    </row>
    <row r="434" ht="12.75" customHeight="1" spans="3:9">
      <c r="C434" s="359"/>
      <c r="F434" s="359"/>
      <c r="I434" s="359"/>
    </row>
    <row r="435" ht="12.75" customHeight="1" spans="3:9">
      <c r="C435" s="359"/>
      <c r="F435" s="359"/>
      <c r="I435" s="359"/>
    </row>
    <row r="436" ht="12.75" customHeight="1" spans="3:9">
      <c r="C436" s="359"/>
      <c r="F436" s="359"/>
      <c r="I436" s="359"/>
    </row>
    <row r="437" ht="12.75" customHeight="1" spans="3:9">
      <c r="C437" s="359"/>
      <c r="F437" s="359"/>
      <c r="I437" s="359"/>
    </row>
    <row r="438" ht="12.75" customHeight="1" spans="3:9">
      <c r="C438" s="359"/>
      <c r="F438" s="359"/>
      <c r="I438" s="359"/>
    </row>
    <row r="439" ht="12.75" customHeight="1" spans="3:9">
      <c r="C439" s="359"/>
      <c r="F439" s="359"/>
      <c r="I439" s="359"/>
    </row>
    <row r="440" ht="12.75" customHeight="1" spans="3:9">
      <c r="C440" s="359"/>
      <c r="F440" s="359"/>
      <c r="I440" s="359"/>
    </row>
    <row r="441" ht="12.75" customHeight="1" spans="3:9">
      <c r="C441" s="359"/>
      <c r="F441" s="359"/>
      <c r="I441" s="359"/>
    </row>
    <row r="442" ht="12.75" customHeight="1" spans="3:9">
      <c r="C442" s="359"/>
      <c r="F442" s="359"/>
      <c r="I442" s="359"/>
    </row>
    <row r="443" ht="12.75" customHeight="1" spans="3:9">
      <c r="C443" s="359"/>
      <c r="F443" s="359"/>
      <c r="I443" s="359"/>
    </row>
    <row r="444" ht="12.75" customHeight="1" spans="3:9">
      <c r="C444" s="359"/>
      <c r="F444" s="359"/>
      <c r="I444" s="359"/>
    </row>
    <row r="445" ht="12.75" customHeight="1" spans="3:9">
      <c r="C445" s="359"/>
      <c r="F445" s="359"/>
      <c r="I445" s="359"/>
    </row>
    <row r="446" ht="12.75" customHeight="1" spans="3:9">
      <c r="C446" s="359"/>
      <c r="F446" s="359"/>
      <c r="I446" s="359"/>
    </row>
    <row r="447" ht="12.75" customHeight="1" spans="3:9">
      <c r="C447" s="359"/>
      <c r="F447" s="359"/>
      <c r="I447" s="359"/>
    </row>
    <row r="448" ht="12.75" customHeight="1" spans="3:9">
      <c r="C448" s="359"/>
      <c r="F448" s="359"/>
      <c r="I448" s="359"/>
    </row>
    <row r="449" ht="12.75" customHeight="1" spans="3:9">
      <c r="C449" s="359"/>
      <c r="F449" s="359"/>
      <c r="I449" s="359"/>
    </row>
    <row r="450" ht="12.75" customHeight="1" spans="3:9">
      <c r="C450" s="359"/>
      <c r="F450" s="359"/>
      <c r="I450" s="359"/>
    </row>
    <row r="451" ht="12.75" customHeight="1" spans="3:9">
      <c r="C451" s="359"/>
      <c r="F451" s="359"/>
      <c r="I451" s="359"/>
    </row>
    <row r="452" ht="12.75" customHeight="1" spans="3:9">
      <c r="C452" s="359"/>
      <c r="F452" s="359"/>
      <c r="I452" s="359"/>
    </row>
    <row r="453" ht="12.75" customHeight="1" spans="3:9">
      <c r="C453" s="359"/>
      <c r="F453" s="359"/>
      <c r="I453" s="359"/>
    </row>
    <row r="454" ht="12.75" customHeight="1" spans="3:9">
      <c r="C454" s="359"/>
      <c r="F454" s="359"/>
      <c r="I454" s="359"/>
    </row>
    <row r="455" ht="12.75" customHeight="1" spans="3:9">
      <c r="C455" s="359"/>
      <c r="F455" s="359"/>
      <c r="I455" s="359"/>
    </row>
    <row r="456" ht="12.75" customHeight="1" spans="3:9">
      <c r="C456" s="359"/>
      <c r="F456" s="359"/>
      <c r="I456" s="359"/>
    </row>
    <row r="457" ht="12.75" customHeight="1" spans="3:9">
      <c r="C457" s="359"/>
      <c r="F457" s="359"/>
      <c r="I457" s="359"/>
    </row>
    <row r="458" ht="12.75" customHeight="1" spans="3:9">
      <c r="C458" s="359"/>
      <c r="F458" s="359"/>
      <c r="I458" s="359"/>
    </row>
    <row r="459" ht="12.75" customHeight="1" spans="3:9">
      <c r="C459" s="359"/>
      <c r="F459" s="359"/>
      <c r="I459" s="359"/>
    </row>
    <row r="460" ht="12.75" customHeight="1" spans="3:9">
      <c r="C460" s="359"/>
      <c r="F460" s="359"/>
      <c r="I460" s="359"/>
    </row>
    <row r="461" ht="12.75" customHeight="1" spans="3:9">
      <c r="C461" s="359"/>
      <c r="F461" s="359"/>
      <c r="I461" s="359"/>
    </row>
    <row r="462" ht="12.75" customHeight="1" spans="3:9">
      <c r="C462" s="359"/>
      <c r="F462" s="359"/>
      <c r="I462" s="359"/>
    </row>
    <row r="463" ht="12.75" customHeight="1" spans="3:9">
      <c r="C463" s="359"/>
      <c r="F463" s="359"/>
      <c r="I463" s="359"/>
    </row>
    <row r="464" ht="12.75" customHeight="1" spans="3:9">
      <c r="C464" s="359"/>
      <c r="F464" s="359"/>
      <c r="I464" s="359"/>
    </row>
    <row r="465" ht="12.75" customHeight="1" spans="3:9">
      <c r="C465" s="359"/>
      <c r="F465" s="359"/>
      <c r="I465" s="359"/>
    </row>
    <row r="466" ht="12.75" customHeight="1" spans="3:9">
      <c r="C466" s="359"/>
      <c r="F466" s="359"/>
      <c r="I466" s="359"/>
    </row>
    <row r="467" ht="12.75" customHeight="1" spans="3:9">
      <c r="C467" s="359"/>
      <c r="F467" s="359"/>
      <c r="I467" s="359"/>
    </row>
    <row r="468" ht="12.75" customHeight="1" spans="3:9">
      <c r="C468" s="359"/>
      <c r="F468" s="359"/>
      <c r="I468" s="359"/>
    </row>
    <row r="469" ht="12.75" customHeight="1" spans="3:9">
      <c r="C469" s="359"/>
      <c r="F469" s="359"/>
      <c r="I469" s="359"/>
    </row>
    <row r="470" ht="12.75" customHeight="1" spans="3:9">
      <c r="C470" s="359"/>
      <c r="F470" s="359"/>
      <c r="I470" s="359"/>
    </row>
    <row r="471" ht="12.75" customHeight="1" spans="3:9">
      <c r="C471" s="359"/>
      <c r="F471" s="359"/>
      <c r="I471" s="359"/>
    </row>
    <row r="472" ht="12.75" customHeight="1" spans="3:9">
      <c r="C472" s="359"/>
      <c r="F472" s="359"/>
      <c r="I472" s="359"/>
    </row>
    <row r="473" ht="12.75" customHeight="1" spans="3:9">
      <c r="C473" s="359"/>
      <c r="F473" s="359"/>
      <c r="I473" s="359"/>
    </row>
    <row r="474" ht="12.75" customHeight="1" spans="3:9">
      <c r="C474" s="359"/>
      <c r="F474" s="359"/>
      <c r="I474" s="359"/>
    </row>
    <row r="475" ht="12.75" customHeight="1" spans="3:9">
      <c r="C475" s="359"/>
      <c r="F475" s="359"/>
      <c r="I475" s="359"/>
    </row>
    <row r="476" ht="12.75" customHeight="1" spans="3:9">
      <c r="C476" s="359"/>
      <c r="F476" s="359"/>
      <c r="I476" s="359"/>
    </row>
    <row r="477" ht="12.75" customHeight="1" spans="3:9">
      <c r="C477" s="359"/>
      <c r="F477" s="359"/>
      <c r="I477" s="359"/>
    </row>
    <row r="478" ht="12.75" customHeight="1" spans="3:9">
      <c r="C478" s="359"/>
      <c r="F478" s="359"/>
      <c r="I478" s="359"/>
    </row>
    <row r="479" ht="12.75" customHeight="1" spans="3:9">
      <c r="C479" s="359"/>
      <c r="F479" s="359"/>
      <c r="I479" s="359"/>
    </row>
    <row r="480" ht="12.75" customHeight="1" spans="3:9">
      <c r="C480" s="359"/>
      <c r="F480" s="359"/>
      <c r="I480" s="359"/>
    </row>
    <row r="481" ht="12.75" customHeight="1" spans="3:9">
      <c r="C481" s="359"/>
      <c r="F481" s="359"/>
      <c r="I481" s="359"/>
    </row>
    <row r="482" ht="12.75" customHeight="1" spans="3:9">
      <c r="C482" s="359"/>
      <c r="F482" s="359"/>
      <c r="I482" s="359"/>
    </row>
    <row r="483" ht="12.75" customHeight="1" spans="3:9">
      <c r="C483" s="359"/>
      <c r="F483" s="359"/>
      <c r="I483" s="359"/>
    </row>
    <row r="484" ht="12.75" customHeight="1" spans="3:9">
      <c r="C484" s="359"/>
      <c r="F484" s="359"/>
      <c r="I484" s="359"/>
    </row>
    <row r="485" ht="12.75" customHeight="1" spans="3:9">
      <c r="C485" s="359"/>
      <c r="F485" s="359"/>
      <c r="I485" s="359"/>
    </row>
    <row r="486" ht="12.75" customHeight="1" spans="3:9">
      <c r="C486" s="359"/>
      <c r="F486" s="359"/>
      <c r="I486" s="359"/>
    </row>
    <row r="487" ht="12.75" customHeight="1" spans="3:9">
      <c r="C487" s="359"/>
      <c r="F487" s="359"/>
      <c r="I487" s="359"/>
    </row>
    <row r="488" ht="12.75" customHeight="1" spans="3:9">
      <c r="C488" s="359"/>
      <c r="F488" s="359"/>
      <c r="I488" s="359"/>
    </row>
    <row r="489" ht="12.75" customHeight="1" spans="3:9">
      <c r="C489" s="359"/>
      <c r="F489" s="359"/>
      <c r="I489" s="359"/>
    </row>
    <row r="490" ht="12.75" customHeight="1" spans="3:9">
      <c r="C490" s="359"/>
      <c r="F490" s="359"/>
      <c r="I490" s="359"/>
    </row>
    <row r="491" ht="12.75" customHeight="1" spans="3:9">
      <c r="C491" s="359"/>
      <c r="F491" s="359"/>
      <c r="I491" s="359"/>
    </row>
    <row r="492" ht="12.75" customHeight="1" spans="3:9">
      <c r="C492" s="359"/>
      <c r="F492" s="359"/>
      <c r="I492" s="359"/>
    </row>
    <row r="493" ht="12.75" customHeight="1" spans="3:9">
      <c r="C493" s="359"/>
      <c r="F493" s="359"/>
      <c r="I493" s="359"/>
    </row>
    <row r="494" ht="12.75" customHeight="1" spans="3:9">
      <c r="C494" s="359"/>
      <c r="F494" s="359"/>
      <c r="I494" s="359"/>
    </row>
    <row r="495" ht="12.75" customHeight="1" spans="3:9">
      <c r="C495" s="359"/>
      <c r="F495" s="359"/>
      <c r="I495" s="359"/>
    </row>
    <row r="496" ht="12.75" customHeight="1" spans="3:9">
      <c r="C496" s="359"/>
      <c r="F496" s="359"/>
      <c r="I496" s="359"/>
    </row>
    <row r="497" ht="12.75" customHeight="1" spans="3:9">
      <c r="C497" s="359"/>
      <c r="F497" s="359"/>
      <c r="I497" s="359"/>
    </row>
    <row r="498" ht="12.75" customHeight="1" spans="3:9">
      <c r="C498" s="359"/>
      <c r="F498" s="359"/>
      <c r="I498" s="359"/>
    </row>
    <row r="499" ht="12.75" customHeight="1" spans="3:9">
      <c r="C499" s="359"/>
      <c r="F499" s="359"/>
      <c r="I499" s="359"/>
    </row>
    <row r="500" ht="12.75" customHeight="1" spans="3:9">
      <c r="C500" s="359"/>
      <c r="F500" s="359"/>
      <c r="I500" s="359"/>
    </row>
    <row r="501" ht="12.75" customHeight="1" spans="3:9">
      <c r="C501" s="359"/>
      <c r="F501" s="359"/>
      <c r="I501" s="359"/>
    </row>
    <row r="502" ht="12.75" customHeight="1" spans="3:9">
      <c r="C502" s="359"/>
      <c r="F502" s="359"/>
      <c r="I502" s="359"/>
    </row>
    <row r="503" ht="12.75" customHeight="1" spans="3:9">
      <c r="C503" s="359"/>
      <c r="F503" s="359"/>
      <c r="I503" s="359"/>
    </row>
    <row r="504" ht="12.75" customHeight="1" spans="3:9">
      <c r="C504" s="359"/>
      <c r="F504" s="359"/>
      <c r="I504" s="359"/>
    </row>
    <row r="505" ht="12.75" customHeight="1" spans="3:9">
      <c r="C505" s="359"/>
      <c r="F505" s="359"/>
      <c r="I505" s="359"/>
    </row>
    <row r="506" ht="12.75" customHeight="1" spans="3:9">
      <c r="C506" s="359"/>
      <c r="F506" s="359"/>
      <c r="I506" s="359"/>
    </row>
    <row r="507" ht="12.75" customHeight="1" spans="3:9">
      <c r="C507" s="359"/>
      <c r="F507" s="359"/>
      <c r="I507" s="359"/>
    </row>
    <row r="508" ht="12.75" customHeight="1" spans="3:9">
      <c r="C508" s="359"/>
      <c r="F508" s="359"/>
      <c r="I508" s="359"/>
    </row>
    <row r="509" ht="12.75" customHeight="1" spans="3:9">
      <c r="C509" s="359"/>
      <c r="F509" s="359"/>
      <c r="I509" s="359"/>
    </row>
    <row r="510" ht="12.75" customHeight="1" spans="3:9">
      <c r="C510" s="359"/>
      <c r="F510" s="359"/>
      <c r="I510" s="359"/>
    </row>
    <row r="511" ht="12.75" customHeight="1" spans="3:9">
      <c r="C511" s="359"/>
      <c r="F511" s="359"/>
      <c r="I511" s="359"/>
    </row>
    <row r="512" ht="12.75" customHeight="1" spans="3:9">
      <c r="C512" s="359"/>
      <c r="F512" s="359"/>
      <c r="I512" s="359"/>
    </row>
    <row r="513" ht="12.75" customHeight="1" spans="3:9">
      <c r="C513" s="359"/>
      <c r="F513" s="359"/>
      <c r="I513" s="359"/>
    </row>
    <row r="514" ht="12.75" customHeight="1" spans="3:9">
      <c r="C514" s="359"/>
      <c r="F514" s="359"/>
      <c r="I514" s="359"/>
    </row>
    <row r="515" ht="12.75" customHeight="1" spans="3:9">
      <c r="C515" s="359"/>
      <c r="F515" s="359"/>
      <c r="I515" s="359"/>
    </row>
    <row r="516" ht="12.75" customHeight="1" spans="3:9">
      <c r="C516" s="359"/>
      <c r="F516" s="359"/>
      <c r="I516" s="359"/>
    </row>
    <row r="517" ht="12.75" customHeight="1" spans="3:9">
      <c r="C517" s="359"/>
      <c r="F517" s="359"/>
      <c r="I517" s="359"/>
    </row>
    <row r="518" ht="12.75" customHeight="1" spans="3:9">
      <c r="C518" s="359"/>
      <c r="F518" s="359"/>
      <c r="I518" s="359"/>
    </row>
    <row r="519" ht="12.75" customHeight="1" spans="3:9">
      <c r="C519" s="359"/>
      <c r="F519" s="359"/>
      <c r="I519" s="359"/>
    </row>
    <row r="520" ht="12.75" customHeight="1" spans="3:9">
      <c r="C520" s="359"/>
      <c r="F520" s="359"/>
      <c r="I520" s="359"/>
    </row>
    <row r="521" ht="12.75" customHeight="1" spans="3:9">
      <c r="C521" s="359"/>
      <c r="F521" s="359"/>
      <c r="I521" s="359"/>
    </row>
    <row r="522" ht="12.75" customHeight="1" spans="3:9">
      <c r="C522" s="359"/>
      <c r="F522" s="359"/>
      <c r="I522" s="359"/>
    </row>
    <row r="523" ht="12.75" customHeight="1" spans="3:9">
      <c r="C523" s="359"/>
      <c r="F523" s="359"/>
      <c r="I523" s="359"/>
    </row>
    <row r="524" ht="12.75" customHeight="1" spans="3:9">
      <c r="C524" s="359"/>
      <c r="F524" s="359"/>
      <c r="I524" s="359"/>
    </row>
    <row r="525" ht="12.75" customHeight="1" spans="3:9">
      <c r="C525" s="359"/>
      <c r="F525" s="359"/>
      <c r="I525" s="359"/>
    </row>
    <row r="526" ht="12.75" customHeight="1" spans="3:9">
      <c r="C526" s="359"/>
      <c r="F526" s="359"/>
      <c r="I526" s="359"/>
    </row>
    <row r="527" ht="12.75" customHeight="1" spans="3:9">
      <c r="C527" s="359"/>
      <c r="F527" s="359"/>
      <c r="I527" s="359"/>
    </row>
    <row r="528" ht="12.75" customHeight="1" spans="3:9">
      <c r="C528" s="359"/>
      <c r="F528" s="359"/>
      <c r="I528" s="359"/>
    </row>
    <row r="529" ht="12.75" customHeight="1" spans="3:9">
      <c r="C529" s="359"/>
      <c r="F529" s="359"/>
      <c r="I529" s="359"/>
    </row>
    <row r="530" ht="12.75" customHeight="1" spans="3:9">
      <c r="C530" s="359"/>
      <c r="F530" s="359"/>
      <c r="I530" s="359"/>
    </row>
    <row r="531" ht="12.75" customHeight="1" spans="3:9">
      <c r="C531" s="359"/>
      <c r="F531" s="359"/>
      <c r="I531" s="359"/>
    </row>
    <row r="532" ht="12.75" customHeight="1" spans="3:9">
      <c r="C532" s="359"/>
      <c r="F532" s="359"/>
      <c r="I532" s="359"/>
    </row>
    <row r="533" ht="12.75" customHeight="1" spans="3:9">
      <c r="C533" s="359"/>
      <c r="F533" s="359"/>
      <c r="I533" s="359"/>
    </row>
    <row r="534" ht="12.75" customHeight="1" spans="3:9">
      <c r="C534" s="359"/>
      <c r="F534" s="359"/>
      <c r="I534" s="359"/>
    </row>
    <row r="535" ht="12.75" customHeight="1" spans="3:9">
      <c r="C535" s="359"/>
      <c r="F535" s="359"/>
      <c r="I535" s="359"/>
    </row>
    <row r="536" ht="12.75" customHeight="1" spans="3:9">
      <c r="C536" s="359"/>
      <c r="F536" s="359"/>
      <c r="I536" s="359"/>
    </row>
    <row r="537" ht="12.75" customHeight="1" spans="3:9">
      <c r="C537" s="359"/>
      <c r="F537" s="359"/>
      <c r="I537" s="359"/>
    </row>
    <row r="538" ht="12.75" customHeight="1" spans="3:9">
      <c r="C538" s="359"/>
      <c r="F538" s="359"/>
      <c r="I538" s="359"/>
    </row>
    <row r="539" ht="12.75" customHeight="1" spans="3:9">
      <c r="C539" s="359"/>
      <c r="F539" s="359"/>
      <c r="I539" s="359"/>
    </row>
    <row r="540" ht="12.75" customHeight="1" spans="3:9">
      <c r="C540" s="359"/>
      <c r="F540" s="359"/>
      <c r="I540" s="359"/>
    </row>
    <row r="541" ht="12.75" customHeight="1" spans="3:9">
      <c r="C541" s="359"/>
      <c r="F541" s="359"/>
      <c r="I541" s="359"/>
    </row>
    <row r="542" ht="12.75" customHeight="1" spans="3:9">
      <c r="C542" s="359"/>
      <c r="F542" s="359"/>
      <c r="I542" s="359"/>
    </row>
    <row r="543" ht="12.75" customHeight="1" spans="3:9">
      <c r="C543" s="359"/>
      <c r="F543" s="359"/>
      <c r="I543" s="359"/>
    </row>
    <row r="544" ht="12.75" customHeight="1" spans="3:9">
      <c r="C544" s="359"/>
      <c r="F544" s="359"/>
      <c r="I544" s="359"/>
    </row>
    <row r="545" ht="12.75" customHeight="1" spans="3:9">
      <c r="C545" s="359"/>
      <c r="F545" s="359"/>
      <c r="I545" s="359"/>
    </row>
    <row r="546" ht="12.75" customHeight="1" spans="3:9">
      <c r="C546" s="359"/>
      <c r="F546" s="359"/>
      <c r="I546" s="359"/>
    </row>
    <row r="547" ht="12.75" customHeight="1" spans="3:9">
      <c r="C547" s="359"/>
      <c r="F547" s="359"/>
      <c r="I547" s="359"/>
    </row>
    <row r="548" ht="12.75" customHeight="1" spans="3:9">
      <c r="C548" s="359"/>
      <c r="F548" s="359"/>
      <c r="I548" s="359"/>
    </row>
    <row r="549" ht="12.75" customHeight="1" spans="3:9">
      <c r="C549" s="359"/>
      <c r="F549" s="359"/>
      <c r="I549" s="359"/>
    </row>
    <row r="550" ht="12.75" customHeight="1" spans="3:9">
      <c r="C550" s="359"/>
      <c r="F550" s="359"/>
      <c r="I550" s="359"/>
    </row>
    <row r="551" ht="12.75" customHeight="1" spans="3:9">
      <c r="C551" s="359"/>
      <c r="F551" s="359"/>
      <c r="I551" s="359"/>
    </row>
    <row r="552" ht="12.75" customHeight="1" spans="3:9">
      <c r="C552" s="359"/>
      <c r="F552" s="359"/>
      <c r="I552" s="359"/>
    </row>
    <row r="553" ht="12.75" customHeight="1" spans="3:9">
      <c r="C553" s="359"/>
      <c r="F553" s="359"/>
      <c r="I553" s="359"/>
    </row>
    <row r="554" ht="12.75" customHeight="1" spans="3:9">
      <c r="C554" s="359"/>
      <c r="F554" s="359"/>
      <c r="I554" s="359"/>
    </row>
    <row r="555" ht="12.75" customHeight="1" spans="3:9">
      <c r="C555" s="359"/>
      <c r="F555" s="359"/>
      <c r="I555" s="359"/>
    </row>
    <row r="556" ht="12.75" customHeight="1" spans="3:9">
      <c r="C556" s="359"/>
      <c r="F556" s="359"/>
      <c r="I556" s="359"/>
    </row>
    <row r="557" ht="12.75" customHeight="1" spans="3:9">
      <c r="C557" s="359"/>
      <c r="F557" s="359"/>
      <c r="I557" s="359"/>
    </row>
    <row r="558" ht="12.75" customHeight="1" spans="3:9">
      <c r="C558" s="359"/>
      <c r="F558" s="359"/>
      <c r="I558" s="359"/>
    </row>
    <row r="559" ht="12.75" customHeight="1" spans="3:9">
      <c r="C559" s="359"/>
      <c r="F559" s="359"/>
      <c r="I559" s="359"/>
    </row>
    <row r="560" ht="12.75" customHeight="1" spans="3:9">
      <c r="C560" s="359"/>
      <c r="F560" s="359"/>
      <c r="I560" s="359"/>
    </row>
    <row r="561" ht="12.75" customHeight="1" spans="3:9">
      <c r="C561" s="359"/>
      <c r="F561" s="359"/>
      <c r="I561" s="359"/>
    </row>
    <row r="562" ht="12.75" customHeight="1" spans="3:9">
      <c r="C562" s="359"/>
      <c r="F562" s="359"/>
      <c r="I562" s="359"/>
    </row>
    <row r="563" ht="12.75" customHeight="1" spans="3:9">
      <c r="C563" s="359"/>
      <c r="F563" s="359"/>
      <c r="I563" s="359"/>
    </row>
    <row r="564" ht="12.75" customHeight="1" spans="3:9">
      <c r="C564" s="359"/>
      <c r="F564" s="359"/>
      <c r="I564" s="359"/>
    </row>
    <row r="565" ht="12.75" customHeight="1" spans="3:9">
      <c r="C565" s="359"/>
      <c r="F565" s="359"/>
      <c r="I565" s="359"/>
    </row>
    <row r="566" ht="12.75" customHeight="1" spans="3:9">
      <c r="C566" s="359"/>
      <c r="F566" s="359"/>
      <c r="I566" s="359"/>
    </row>
    <row r="567" ht="12.75" customHeight="1" spans="3:9">
      <c r="C567" s="359"/>
      <c r="F567" s="359"/>
      <c r="I567" s="359"/>
    </row>
    <row r="568" ht="12.75" customHeight="1" spans="3:9">
      <c r="C568" s="359"/>
      <c r="F568" s="359"/>
      <c r="I568" s="359"/>
    </row>
    <row r="569" ht="12.75" customHeight="1" spans="3:9">
      <c r="C569" s="359"/>
      <c r="F569" s="359"/>
      <c r="I569" s="359"/>
    </row>
    <row r="570" ht="12.75" customHeight="1" spans="3:9">
      <c r="C570" s="359"/>
      <c r="F570" s="359"/>
      <c r="I570" s="359"/>
    </row>
    <row r="571" ht="12.75" customHeight="1" spans="3:9">
      <c r="C571" s="359"/>
      <c r="F571" s="359"/>
      <c r="I571" s="359"/>
    </row>
    <row r="572" ht="12.75" customHeight="1" spans="3:9">
      <c r="C572" s="359"/>
      <c r="F572" s="359"/>
      <c r="I572" s="359"/>
    </row>
    <row r="573" ht="12.75" customHeight="1" spans="3:9">
      <c r="C573" s="359"/>
      <c r="F573" s="359"/>
      <c r="I573" s="359"/>
    </row>
    <row r="574" ht="12.75" customHeight="1" spans="3:9">
      <c r="C574" s="359"/>
      <c r="F574" s="359"/>
      <c r="I574" s="359"/>
    </row>
    <row r="575" ht="12.75" customHeight="1" spans="3:9">
      <c r="C575" s="359"/>
      <c r="F575" s="359"/>
      <c r="I575" s="359"/>
    </row>
    <row r="576" ht="12.75" customHeight="1" spans="3:9">
      <c r="C576" s="359"/>
      <c r="F576" s="359"/>
      <c r="I576" s="359"/>
    </row>
    <row r="577" ht="12.75" customHeight="1" spans="3:9">
      <c r="C577" s="359"/>
      <c r="F577" s="359"/>
      <c r="I577" s="359"/>
    </row>
    <row r="578" ht="12.75" customHeight="1" spans="3:9">
      <c r="C578" s="359"/>
      <c r="F578" s="359"/>
      <c r="I578" s="359"/>
    </row>
    <row r="579" ht="12.75" customHeight="1" spans="3:9">
      <c r="C579" s="359"/>
      <c r="F579" s="359"/>
      <c r="I579" s="359"/>
    </row>
    <row r="580" ht="12.75" customHeight="1" spans="3:9">
      <c r="C580" s="359"/>
      <c r="F580" s="359"/>
      <c r="I580" s="359"/>
    </row>
    <row r="581" ht="12.75" customHeight="1" spans="3:9">
      <c r="C581" s="359"/>
      <c r="F581" s="359"/>
      <c r="I581" s="359"/>
    </row>
    <row r="582" ht="12.75" customHeight="1" spans="3:9">
      <c r="C582" s="359"/>
      <c r="F582" s="359"/>
      <c r="I582" s="359"/>
    </row>
    <row r="583" ht="12.75" customHeight="1" spans="3:9">
      <c r="C583" s="359"/>
      <c r="F583" s="359"/>
      <c r="I583" s="359"/>
    </row>
    <row r="584" ht="12.75" customHeight="1" spans="3:9">
      <c r="C584" s="359"/>
      <c r="F584" s="359"/>
      <c r="I584" s="359"/>
    </row>
    <row r="585" ht="12.75" customHeight="1" spans="3:9">
      <c r="C585" s="359"/>
      <c r="F585" s="359"/>
      <c r="I585" s="359"/>
    </row>
    <row r="586" ht="12.75" customHeight="1" spans="3:9">
      <c r="C586" s="359"/>
      <c r="F586" s="359"/>
      <c r="I586" s="359"/>
    </row>
    <row r="587" ht="12.75" customHeight="1" spans="3:9">
      <c r="C587" s="359"/>
      <c r="F587" s="359"/>
      <c r="I587" s="359"/>
    </row>
    <row r="588" ht="12.75" customHeight="1" spans="3:9">
      <c r="C588" s="359"/>
      <c r="F588" s="359"/>
      <c r="I588" s="359"/>
    </row>
    <row r="589" ht="12.75" customHeight="1" spans="3:9">
      <c r="C589" s="359"/>
      <c r="F589" s="359"/>
      <c r="I589" s="359"/>
    </row>
    <row r="590" ht="12.75" customHeight="1" spans="3:9">
      <c r="C590" s="359"/>
      <c r="F590" s="359"/>
      <c r="I590" s="359"/>
    </row>
    <row r="591" ht="12.75" customHeight="1" spans="3:9">
      <c r="C591" s="359"/>
      <c r="F591" s="359"/>
      <c r="I591" s="359"/>
    </row>
    <row r="592" ht="12.75" customHeight="1" spans="3:9">
      <c r="C592" s="359"/>
      <c r="F592" s="359"/>
      <c r="I592" s="359"/>
    </row>
    <row r="593" ht="12.75" customHeight="1" spans="3:9">
      <c r="C593" s="359"/>
      <c r="F593" s="359"/>
      <c r="I593" s="359"/>
    </row>
    <row r="594" ht="12.75" customHeight="1" spans="3:9">
      <c r="C594" s="359"/>
      <c r="F594" s="359"/>
      <c r="I594" s="359"/>
    </row>
    <row r="595" ht="12.75" customHeight="1" spans="3:9">
      <c r="C595" s="359"/>
      <c r="F595" s="359"/>
      <c r="I595" s="359"/>
    </row>
    <row r="596" ht="12.75" customHeight="1" spans="3:9">
      <c r="C596" s="359"/>
      <c r="F596" s="359"/>
      <c r="I596" s="359"/>
    </row>
    <row r="597" ht="12.75" customHeight="1" spans="3:9">
      <c r="C597" s="359"/>
      <c r="F597" s="359"/>
      <c r="I597" s="359"/>
    </row>
    <row r="598" ht="12.75" customHeight="1" spans="3:9">
      <c r="C598" s="359"/>
      <c r="F598" s="359"/>
      <c r="I598" s="359"/>
    </row>
    <row r="599" ht="12.75" customHeight="1" spans="3:9">
      <c r="C599" s="359"/>
      <c r="F599" s="359"/>
      <c r="I599" s="359"/>
    </row>
    <row r="600" ht="12.75" customHeight="1" spans="3:9">
      <c r="C600" s="359"/>
      <c r="F600" s="359"/>
      <c r="I600" s="359"/>
    </row>
    <row r="601" ht="12.75" customHeight="1" spans="3:9">
      <c r="C601" s="359"/>
      <c r="F601" s="359"/>
      <c r="I601" s="359"/>
    </row>
    <row r="602" ht="12.75" customHeight="1" spans="3:9">
      <c r="C602" s="359"/>
      <c r="F602" s="359"/>
      <c r="I602" s="359"/>
    </row>
    <row r="603" ht="12.75" customHeight="1" spans="3:9">
      <c r="C603" s="359"/>
      <c r="F603" s="359"/>
      <c r="I603" s="359"/>
    </row>
    <row r="604" ht="12.75" customHeight="1" spans="3:9">
      <c r="C604" s="359"/>
      <c r="F604" s="359"/>
      <c r="I604" s="359"/>
    </row>
    <row r="605" ht="12.75" customHeight="1" spans="3:9">
      <c r="C605" s="359"/>
      <c r="F605" s="359"/>
      <c r="I605" s="359"/>
    </row>
    <row r="606" ht="12.75" customHeight="1" spans="3:9">
      <c r="C606" s="359"/>
      <c r="F606" s="359"/>
      <c r="I606" s="359"/>
    </row>
    <row r="607" ht="12.75" customHeight="1" spans="3:9">
      <c r="C607" s="359"/>
      <c r="F607" s="359"/>
      <c r="I607" s="359"/>
    </row>
    <row r="608" ht="12.75" customHeight="1" spans="3:9">
      <c r="C608" s="359"/>
      <c r="F608" s="359"/>
      <c r="I608" s="359"/>
    </row>
    <row r="609" ht="12.75" customHeight="1" spans="3:9">
      <c r="C609" s="359"/>
      <c r="F609" s="359"/>
      <c r="I609" s="359"/>
    </row>
    <row r="610" ht="12.75" customHeight="1" spans="3:9">
      <c r="C610" s="359"/>
      <c r="F610" s="359"/>
      <c r="I610" s="359"/>
    </row>
    <row r="611" ht="12.75" customHeight="1" spans="3:9">
      <c r="C611" s="359"/>
      <c r="F611" s="359"/>
      <c r="I611" s="359"/>
    </row>
    <row r="612" ht="12.75" customHeight="1" spans="3:9">
      <c r="C612" s="359"/>
      <c r="F612" s="359"/>
      <c r="I612" s="359"/>
    </row>
    <row r="613" ht="12.75" customHeight="1" spans="3:9">
      <c r="C613" s="359"/>
      <c r="F613" s="359"/>
      <c r="I613" s="359"/>
    </row>
    <row r="614" ht="12.75" customHeight="1" spans="3:9">
      <c r="C614" s="359"/>
      <c r="F614" s="359"/>
      <c r="I614" s="359"/>
    </row>
    <row r="615" ht="12.75" customHeight="1" spans="3:9">
      <c r="C615" s="359"/>
      <c r="F615" s="359"/>
      <c r="I615" s="359"/>
    </row>
    <row r="616" ht="12.75" customHeight="1" spans="3:9">
      <c r="C616" s="359"/>
      <c r="F616" s="359"/>
      <c r="I616" s="359"/>
    </row>
    <row r="617" ht="12.75" customHeight="1" spans="3:9">
      <c r="C617" s="359"/>
      <c r="F617" s="359"/>
      <c r="I617" s="359"/>
    </row>
    <row r="618" ht="12.75" customHeight="1" spans="3:9">
      <c r="C618" s="359"/>
      <c r="F618" s="359"/>
      <c r="I618" s="359"/>
    </row>
    <row r="619" ht="12.75" customHeight="1" spans="3:9">
      <c r="C619" s="359"/>
      <c r="F619" s="359"/>
      <c r="I619" s="359"/>
    </row>
    <row r="620" ht="12.75" customHeight="1" spans="3:9">
      <c r="C620" s="359"/>
      <c r="F620" s="359"/>
      <c r="I620" s="359"/>
    </row>
    <row r="621" ht="12.75" customHeight="1" spans="3:9">
      <c r="C621" s="359"/>
      <c r="F621" s="359"/>
      <c r="I621" s="359"/>
    </row>
    <row r="622" ht="12.75" customHeight="1" spans="3:9">
      <c r="C622" s="359"/>
      <c r="F622" s="359"/>
      <c r="I622" s="359"/>
    </row>
    <row r="623" ht="12.75" customHeight="1" spans="3:9">
      <c r="C623" s="359"/>
      <c r="F623" s="359"/>
      <c r="I623" s="359"/>
    </row>
    <row r="624" ht="12.75" customHeight="1" spans="3:9">
      <c r="C624" s="359"/>
      <c r="F624" s="359"/>
      <c r="I624" s="359"/>
    </row>
    <row r="625" ht="12.75" customHeight="1" spans="3:9">
      <c r="C625" s="359"/>
      <c r="F625" s="359"/>
      <c r="I625" s="359"/>
    </row>
    <row r="626" ht="12.75" customHeight="1" spans="3:9">
      <c r="C626" s="359"/>
      <c r="F626" s="359"/>
      <c r="I626" s="359"/>
    </row>
    <row r="627" ht="12.75" customHeight="1" spans="3:9">
      <c r="C627" s="359"/>
      <c r="F627" s="359"/>
      <c r="I627" s="359"/>
    </row>
    <row r="628" ht="12.75" customHeight="1" spans="3:9">
      <c r="C628" s="359"/>
      <c r="F628" s="359"/>
      <c r="I628" s="359"/>
    </row>
    <row r="629" ht="12.75" customHeight="1" spans="3:9">
      <c r="C629" s="359"/>
      <c r="F629" s="359"/>
      <c r="I629" s="359"/>
    </row>
    <row r="630" ht="12.75" customHeight="1" spans="3:9">
      <c r="C630" s="359"/>
      <c r="F630" s="359"/>
      <c r="I630" s="359"/>
    </row>
    <row r="631" ht="12.75" customHeight="1" spans="3:9">
      <c r="C631" s="359"/>
      <c r="F631" s="359"/>
      <c r="I631" s="359"/>
    </row>
    <row r="632" ht="12.75" customHeight="1" spans="3:9">
      <c r="C632" s="359"/>
      <c r="F632" s="359"/>
      <c r="I632" s="359"/>
    </row>
    <row r="633" ht="12.75" customHeight="1" spans="3:9">
      <c r="C633" s="359"/>
      <c r="F633" s="359"/>
      <c r="I633" s="359"/>
    </row>
    <row r="634" ht="12.75" customHeight="1" spans="3:9">
      <c r="C634" s="359"/>
      <c r="F634" s="359"/>
      <c r="I634" s="359"/>
    </row>
    <row r="635" ht="12.75" customHeight="1" spans="3:9">
      <c r="C635" s="359"/>
      <c r="F635" s="359"/>
      <c r="I635" s="359"/>
    </row>
    <row r="636" ht="12.75" customHeight="1" spans="3:9">
      <c r="C636" s="359"/>
      <c r="F636" s="359"/>
      <c r="I636" s="359"/>
    </row>
    <row r="637" ht="12.75" customHeight="1" spans="3:9">
      <c r="C637" s="359"/>
      <c r="F637" s="359"/>
      <c r="I637" s="359"/>
    </row>
    <row r="638" ht="12.75" customHeight="1" spans="3:9">
      <c r="C638" s="359"/>
      <c r="F638" s="359"/>
      <c r="I638" s="359"/>
    </row>
    <row r="639" ht="12.75" customHeight="1" spans="3:9">
      <c r="C639" s="359"/>
      <c r="F639" s="359"/>
      <c r="I639" s="359"/>
    </row>
    <row r="640" ht="12.75" customHeight="1" spans="3:9">
      <c r="C640" s="359"/>
      <c r="F640" s="359"/>
      <c r="I640" s="359"/>
    </row>
    <row r="641" ht="12.75" customHeight="1" spans="3:9">
      <c r="C641" s="359"/>
      <c r="F641" s="359"/>
      <c r="I641" s="359"/>
    </row>
    <row r="642" ht="12.75" customHeight="1" spans="3:9">
      <c r="C642" s="359"/>
      <c r="F642" s="359"/>
      <c r="I642" s="359"/>
    </row>
    <row r="643" ht="12.75" customHeight="1" spans="3:9">
      <c r="C643" s="359"/>
      <c r="F643" s="359"/>
      <c r="I643" s="359"/>
    </row>
    <row r="644" ht="12.75" customHeight="1" spans="3:9">
      <c r="C644" s="359"/>
      <c r="F644" s="359"/>
      <c r="I644" s="359"/>
    </row>
    <row r="645" ht="12.75" customHeight="1" spans="3:9">
      <c r="C645" s="359"/>
      <c r="F645" s="359"/>
      <c r="I645" s="359"/>
    </row>
    <row r="646" ht="12.75" customHeight="1" spans="3:9">
      <c r="C646" s="359"/>
      <c r="F646" s="359"/>
      <c r="I646" s="359"/>
    </row>
    <row r="647" ht="12.75" customHeight="1" spans="3:9">
      <c r="C647" s="359"/>
      <c r="F647" s="359"/>
      <c r="I647" s="359"/>
    </row>
    <row r="648" ht="12.75" customHeight="1" spans="3:9">
      <c r="C648" s="359"/>
      <c r="F648" s="359"/>
      <c r="I648" s="359"/>
    </row>
    <row r="649" ht="12.75" customHeight="1" spans="3:9">
      <c r="C649" s="359"/>
      <c r="F649" s="359"/>
      <c r="I649" s="359"/>
    </row>
    <row r="650" ht="12.75" customHeight="1" spans="3:9">
      <c r="C650" s="359"/>
      <c r="F650" s="359"/>
      <c r="I650" s="359"/>
    </row>
    <row r="651" ht="12.75" customHeight="1" spans="3:9">
      <c r="C651" s="359"/>
      <c r="F651" s="359"/>
      <c r="I651" s="359"/>
    </row>
    <row r="652" ht="12.75" customHeight="1" spans="3:9">
      <c r="C652" s="359"/>
      <c r="F652" s="359"/>
      <c r="I652" s="359"/>
    </row>
    <row r="653" ht="12.75" customHeight="1" spans="3:9">
      <c r="C653" s="359"/>
      <c r="F653" s="359"/>
      <c r="I653" s="359"/>
    </row>
    <row r="654" ht="12.75" customHeight="1" spans="3:9">
      <c r="C654" s="359"/>
      <c r="F654" s="359"/>
      <c r="I654" s="359"/>
    </row>
    <row r="655" ht="12.75" customHeight="1" spans="3:9">
      <c r="C655" s="359"/>
      <c r="F655" s="359"/>
      <c r="I655" s="359"/>
    </row>
    <row r="656" ht="12.75" customHeight="1" spans="3:9">
      <c r="C656" s="359"/>
      <c r="F656" s="359"/>
      <c r="I656" s="359"/>
    </row>
    <row r="657" ht="12.75" customHeight="1" spans="3:9">
      <c r="C657" s="359"/>
      <c r="F657" s="359"/>
      <c r="I657" s="359"/>
    </row>
    <row r="658" ht="12.75" customHeight="1" spans="3:9">
      <c r="C658" s="359"/>
      <c r="F658" s="359"/>
      <c r="I658" s="359"/>
    </row>
    <row r="659" ht="12.75" customHeight="1" spans="3:9">
      <c r="C659" s="359"/>
      <c r="F659" s="359"/>
      <c r="I659" s="359"/>
    </row>
    <row r="660" ht="12.75" customHeight="1" spans="3:9">
      <c r="C660" s="359"/>
      <c r="F660" s="359"/>
      <c r="I660" s="359"/>
    </row>
    <row r="661" ht="12.75" customHeight="1" spans="3:9">
      <c r="C661" s="359"/>
      <c r="F661" s="359"/>
      <c r="I661" s="359"/>
    </row>
    <row r="662" ht="12.75" customHeight="1" spans="3:9">
      <c r="C662" s="359"/>
      <c r="F662" s="359"/>
      <c r="I662" s="359"/>
    </row>
    <row r="663" ht="12.75" customHeight="1" spans="3:9">
      <c r="C663" s="359"/>
      <c r="F663" s="359"/>
      <c r="I663" s="359"/>
    </row>
    <row r="664" ht="12.75" customHeight="1" spans="3:9">
      <c r="C664" s="359"/>
      <c r="F664" s="359"/>
      <c r="I664" s="359"/>
    </row>
    <row r="665" ht="12.75" customHeight="1" spans="3:9">
      <c r="C665" s="359"/>
      <c r="F665" s="359"/>
      <c r="I665" s="359"/>
    </row>
    <row r="666" ht="12.75" customHeight="1" spans="3:9">
      <c r="C666" s="359"/>
      <c r="F666" s="359"/>
      <c r="I666" s="359"/>
    </row>
    <row r="667" ht="12.75" customHeight="1" spans="3:9">
      <c r="C667" s="359"/>
      <c r="F667" s="359"/>
      <c r="I667" s="359"/>
    </row>
    <row r="668" ht="12.75" customHeight="1" spans="3:9">
      <c r="C668" s="359"/>
      <c r="F668" s="359"/>
      <c r="I668" s="359"/>
    </row>
    <row r="669" ht="12.75" customHeight="1" spans="3:9">
      <c r="C669" s="359"/>
      <c r="F669" s="359"/>
      <c r="I669" s="359"/>
    </row>
    <row r="670" ht="12.75" customHeight="1" spans="3:9">
      <c r="C670" s="359"/>
      <c r="F670" s="359"/>
      <c r="I670" s="359"/>
    </row>
    <row r="671" ht="12.75" customHeight="1" spans="3:9">
      <c r="C671" s="359"/>
      <c r="F671" s="359"/>
      <c r="I671" s="359"/>
    </row>
    <row r="672" ht="12.75" customHeight="1" spans="3:9">
      <c r="C672" s="359"/>
      <c r="F672" s="359"/>
      <c r="I672" s="359"/>
    </row>
    <row r="673" ht="12.75" customHeight="1" spans="3:9">
      <c r="C673" s="359"/>
      <c r="F673" s="359"/>
      <c r="I673" s="359"/>
    </row>
    <row r="674" ht="12.75" customHeight="1" spans="3:9">
      <c r="C674" s="359"/>
      <c r="F674" s="359"/>
      <c r="I674" s="359"/>
    </row>
    <row r="675" ht="12.75" customHeight="1" spans="3:9">
      <c r="C675" s="359"/>
      <c r="F675" s="359"/>
      <c r="I675" s="359"/>
    </row>
    <row r="676" ht="12.75" customHeight="1" spans="3:9">
      <c r="C676" s="359"/>
      <c r="F676" s="359"/>
      <c r="I676" s="359"/>
    </row>
    <row r="677" ht="12.75" customHeight="1" spans="3:9">
      <c r="C677" s="359"/>
      <c r="F677" s="359"/>
      <c r="I677" s="359"/>
    </row>
    <row r="678" ht="12.75" customHeight="1" spans="3:9">
      <c r="C678" s="359"/>
      <c r="F678" s="359"/>
      <c r="I678" s="359"/>
    </row>
    <row r="679" ht="12.75" customHeight="1" spans="3:9">
      <c r="C679" s="359"/>
      <c r="F679" s="359"/>
      <c r="I679" s="359"/>
    </row>
    <row r="680" ht="12.75" customHeight="1" spans="3:9">
      <c r="C680" s="359"/>
      <c r="F680" s="359"/>
      <c r="I680" s="359"/>
    </row>
    <row r="681" ht="12.75" customHeight="1" spans="3:9">
      <c r="C681" s="359"/>
      <c r="F681" s="359"/>
      <c r="I681" s="359"/>
    </row>
    <row r="682" ht="12.75" customHeight="1" spans="3:9">
      <c r="C682" s="359"/>
      <c r="F682" s="359"/>
      <c r="I682" s="359"/>
    </row>
    <row r="683" ht="12.75" customHeight="1" spans="3:9">
      <c r="C683" s="359"/>
      <c r="F683" s="359"/>
      <c r="I683" s="359"/>
    </row>
    <row r="684" ht="12.75" customHeight="1" spans="3:9">
      <c r="C684" s="359"/>
      <c r="F684" s="359"/>
      <c r="I684" s="359"/>
    </row>
    <row r="685" ht="12.75" customHeight="1" spans="3:9">
      <c r="C685" s="359"/>
      <c r="F685" s="359"/>
      <c r="I685" s="359"/>
    </row>
    <row r="686" ht="12.75" customHeight="1" spans="3:9">
      <c r="C686" s="359"/>
      <c r="F686" s="359"/>
      <c r="I686" s="359"/>
    </row>
    <row r="687" ht="12.75" customHeight="1" spans="3:9">
      <c r="C687" s="359"/>
      <c r="F687" s="359"/>
      <c r="I687" s="359"/>
    </row>
    <row r="688" ht="12.75" customHeight="1" spans="3:9">
      <c r="C688" s="359"/>
      <c r="F688" s="359"/>
      <c r="I688" s="359"/>
    </row>
    <row r="689" ht="12.75" customHeight="1" spans="3:9">
      <c r="C689" s="359"/>
      <c r="F689" s="359"/>
      <c r="I689" s="359"/>
    </row>
    <row r="690" ht="12.75" customHeight="1" spans="3:9">
      <c r="C690" s="359"/>
      <c r="F690" s="359"/>
      <c r="I690" s="359"/>
    </row>
    <row r="691" ht="12.75" customHeight="1" spans="3:9">
      <c r="C691" s="359"/>
      <c r="F691" s="359"/>
      <c r="I691" s="359"/>
    </row>
    <row r="692" ht="12.75" customHeight="1" spans="3:9">
      <c r="C692" s="359"/>
      <c r="F692" s="359"/>
      <c r="I692" s="359"/>
    </row>
    <row r="693" ht="12.75" customHeight="1" spans="3:9">
      <c r="C693" s="359"/>
      <c r="F693" s="359"/>
      <c r="I693" s="359"/>
    </row>
    <row r="694" ht="12.75" customHeight="1" spans="3:9">
      <c r="C694" s="359"/>
      <c r="F694" s="359"/>
      <c r="I694" s="359"/>
    </row>
    <row r="695" ht="12.75" customHeight="1" spans="3:9">
      <c r="C695" s="359"/>
      <c r="F695" s="359"/>
      <c r="I695" s="359"/>
    </row>
    <row r="696" ht="12.75" customHeight="1" spans="3:9">
      <c r="C696" s="359"/>
      <c r="F696" s="359"/>
      <c r="I696" s="359"/>
    </row>
    <row r="697" ht="12.75" customHeight="1" spans="3:9">
      <c r="C697" s="359"/>
      <c r="F697" s="359"/>
      <c r="I697" s="359"/>
    </row>
    <row r="698" ht="12.75" customHeight="1" spans="3:9">
      <c r="C698" s="359"/>
      <c r="F698" s="359"/>
      <c r="I698" s="359"/>
    </row>
    <row r="699" ht="12.75" customHeight="1" spans="3:9">
      <c r="C699" s="359"/>
      <c r="F699" s="359"/>
      <c r="I699" s="359"/>
    </row>
    <row r="700" ht="12.75" customHeight="1" spans="3:9">
      <c r="C700" s="359"/>
      <c r="F700" s="359"/>
      <c r="I700" s="359"/>
    </row>
    <row r="701" ht="12.75" customHeight="1" spans="3:9">
      <c r="C701" s="359"/>
      <c r="F701" s="359"/>
      <c r="I701" s="359"/>
    </row>
    <row r="702" ht="12.75" customHeight="1" spans="3:9">
      <c r="C702" s="359"/>
      <c r="F702" s="359"/>
      <c r="I702" s="359"/>
    </row>
    <row r="703" ht="12.75" customHeight="1" spans="3:9">
      <c r="C703" s="359"/>
      <c r="F703" s="359"/>
      <c r="I703" s="359"/>
    </row>
    <row r="704" ht="12.75" customHeight="1" spans="3:9">
      <c r="C704" s="359"/>
      <c r="F704" s="359"/>
      <c r="I704" s="359"/>
    </row>
    <row r="705" ht="12.75" customHeight="1" spans="3:9">
      <c r="C705" s="359"/>
      <c r="F705" s="359"/>
      <c r="I705" s="359"/>
    </row>
    <row r="706" ht="12.75" customHeight="1" spans="3:9">
      <c r="C706" s="359"/>
      <c r="F706" s="359"/>
      <c r="I706" s="359"/>
    </row>
    <row r="707" ht="12.75" customHeight="1" spans="3:9">
      <c r="C707" s="359"/>
      <c r="F707" s="359"/>
      <c r="I707" s="359"/>
    </row>
    <row r="708" ht="12.75" customHeight="1" spans="3:9">
      <c r="C708" s="359"/>
      <c r="F708" s="359"/>
      <c r="I708" s="359"/>
    </row>
    <row r="709" ht="12.75" customHeight="1" spans="3:9">
      <c r="C709" s="359"/>
      <c r="F709" s="359"/>
      <c r="I709" s="359"/>
    </row>
    <row r="710" ht="12.75" customHeight="1" spans="3:9">
      <c r="C710" s="359"/>
      <c r="F710" s="359"/>
      <c r="I710" s="359"/>
    </row>
    <row r="711" ht="12.75" customHeight="1" spans="3:9">
      <c r="C711" s="359"/>
      <c r="F711" s="359"/>
      <c r="I711" s="359"/>
    </row>
    <row r="712" ht="12.75" customHeight="1" spans="3:9">
      <c r="C712" s="359"/>
      <c r="F712" s="359"/>
      <c r="I712" s="359"/>
    </row>
    <row r="713" ht="12.75" customHeight="1" spans="3:9">
      <c r="C713" s="359"/>
      <c r="F713" s="359"/>
      <c r="I713" s="359"/>
    </row>
    <row r="714" ht="12.75" customHeight="1" spans="3:9">
      <c r="C714" s="359"/>
      <c r="F714" s="359"/>
      <c r="I714" s="359"/>
    </row>
    <row r="715" ht="12.75" customHeight="1" spans="3:9">
      <c r="C715" s="359"/>
      <c r="F715" s="359"/>
      <c r="I715" s="359"/>
    </row>
    <row r="716" ht="12.75" customHeight="1" spans="3:9">
      <c r="C716" s="359"/>
      <c r="F716" s="359"/>
      <c r="I716" s="359"/>
    </row>
    <row r="717" ht="12.75" customHeight="1" spans="3:9">
      <c r="C717" s="359"/>
      <c r="F717" s="359"/>
      <c r="I717" s="359"/>
    </row>
    <row r="718" ht="12.75" customHeight="1" spans="3:9">
      <c r="C718" s="359"/>
      <c r="F718" s="359"/>
      <c r="I718" s="359"/>
    </row>
    <row r="719" ht="12.75" customHeight="1" spans="3:9">
      <c r="C719" s="359"/>
      <c r="F719" s="359"/>
      <c r="I719" s="359"/>
    </row>
    <row r="720" ht="12.75" customHeight="1" spans="3:9">
      <c r="C720" s="359"/>
      <c r="F720" s="359"/>
      <c r="I720" s="359"/>
    </row>
    <row r="721" ht="12.75" customHeight="1" spans="3:9">
      <c r="C721" s="359"/>
      <c r="F721" s="359"/>
      <c r="I721" s="359"/>
    </row>
    <row r="722" ht="12.75" customHeight="1" spans="3:9">
      <c r="C722" s="359"/>
      <c r="F722" s="359"/>
      <c r="I722" s="359"/>
    </row>
    <row r="723" ht="12.75" customHeight="1" spans="3:9">
      <c r="C723" s="359"/>
      <c r="F723" s="359"/>
      <c r="I723" s="359"/>
    </row>
    <row r="724" ht="12.75" customHeight="1" spans="3:9">
      <c r="C724" s="359"/>
      <c r="F724" s="359"/>
      <c r="I724" s="359"/>
    </row>
    <row r="725" ht="12.75" customHeight="1" spans="3:9">
      <c r="C725" s="359"/>
      <c r="F725" s="359"/>
      <c r="I725" s="359"/>
    </row>
    <row r="726" ht="12.75" customHeight="1" spans="3:9">
      <c r="C726" s="359"/>
      <c r="F726" s="359"/>
      <c r="I726" s="359"/>
    </row>
    <row r="727" ht="12.75" customHeight="1" spans="3:9">
      <c r="C727" s="359"/>
      <c r="F727" s="359"/>
      <c r="I727" s="359"/>
    </row>
    <row r="728" ht="12.75" customHeight="1" spans="3:9">
      <c r="C728" s="359"/>
      <c r="F728" s="359"/>
      <c r="I728" s="359"/>
    </row>
    <row r="729" ht="12.75" customHeight="1" spans="3:9">
      <c r="C729" s="359"/>
      <c r="F729" s="359"/>
      <c r="I729" s="359"/>
    </row>
    <row r="730" ht="12.75" customHeight="1" spans="3:9">
      <c r="C730" s="359"/>
      <c r="F730" s="359"/>
      <c r="I730" s="359"/>
    </row>
    <row r="731" ht="12.75" customHeight="1" spans="3:9">
      <c r="C731" s="359"/>
      <c r="F731" s="359"/>
      <c r="I731" s="359"/>
    </row>
    <row r="732" ht="12.75" customHeight="1" spans="3:9">
      <c r="C732" s="359"/>
      <c r="F732" s="359"/>
      <c r="I732" s="359"/>
    </row>
    <row r="733" ht="12.75" customHeight="1" spans="3:9">
      <c r="C733" s="359"/>
      <c r="F733" s="359"/>
      <c r="I733" s="359"/>
    </row>
    <row r="734" ht="12.75" customHeight="1" spans="3:9">
      <c r="C734" s="359"/>
      <c r="F734" s="359"/>
      <c r="I734" s="359"/>
    </row>
    <row r="735" ht="12.75" customHeight="1" spans="3:9">
      <c r="C735" s="359"/>
      <c r="F735" s="359"/>
      <c r="I735" s="359"/>
    </row>
    <row r="736" ht="12.75" customHeight="1" spans="3:9">
      <c r="C736" s="359"/>
      <c r="F736" s="359"/>
      <c r="I736" s="359"/>
    </row>
    <row r="737" ht="12.75" customHeight="1" spans="3:9">
      <c r="C737" s="359"/>
      <c r="F737" s="359"/>
      <c r="I737" s="359"/>
    </row>
    <row r="738" ht="12.75" customHeight="1" spans="3:9">
      <c r="C738" s="359"/>
      <c r="F738" s="359"/>
      <c r="I738" s="359"/>
    </row>
    <row r="739" ht="12.75" customHeight="1" spans="3:9">
      <c r="C739" s="359"/>
      <c r="F739" s="359"/>
      <c r="I739" s="359"/>
    </row>
    <row r="740" ht="12.75" customHeight="1" spans="3:9">
      <c r="C740" s="359"/>
      <c r="F740" s="359"/>
      <c r="I740" s="359"/>
    </row>
    <row r="741" ht="12.75" customHeight="1" spans="3:9">
      <c r="C741" s="359"/>
      <c r="F741" s="359"/>
      <c r="I741" s="359"/>
    </row>
    <row r="742" ht="12.75" customHeight="1" spans="3:9">
      <c r="C742" s="359"/>
      <c r="F742" s="359"/>
      <c r="I742" s="359"/>
    </row>
    <row r="743" ht="12.75" customHeight="1" spans="3:9">
      <c r="C743" s="359"/>
      <c r="F743" s="359"/>
      <c r="I743" s="359"/>
    </row>
    <row r="744" ht="12.75" customHeight="1" spans="3:9">
      <c r="C744" s="359"/>
      <c r="F744" s="359"/>
      <c r="I744" s="359"/>
    </row>
    <row r="745" ht="12.75" customHeight="1" spans="3:9">
      <c r="C745" s="359"/>
      <c r="F745" s="359"/>
      <c r="I745" s="359"/>
    </row>
    <row r="746" ht="12.75" customHeight="1" spans="3:9">
      <c r="C746" s="359"/>
      <c r="F746" s="359"/>
      <c r="I746" s="359"/>
    </row>
    <row r="747" ht="12.75" customHeight="1" spans="3:9">
      <c r="C747" s="359"/>
      <c r="F747" s="359"/>
      <c r="I747" s="359"/>
    </row>
    <row r="748" ht="12.75" customHeight="1" spans="3:9">
      <c r="C748" s="359"/>
      <c r="F748" s="359"/>
      <c r="I748" s="359"/>
    </row>
    <row r="749" ht="12.75" customHeight="1" spans="3:9">
      <c r="C749" s="359"/>
      <c r="F749" s="359"/>
      <c r="I749" s="359"/>
    </row>
    <row r="750" ht="12.75" customHeight="1" spans="3:9">
      <c r="C750" s="359"/>
      <c r="F750" s="359"/>
      <c r="I750" s="359"/>
    </row>
    <row r="751" ht="12.75" customHeight="1" spans="3:9">
      <c r="C751" s="359"/>
      <c r="F751" s="359"/>
      <c r="I751" s="359"/>
    </row>
    <row r="752" ht="12.75" customHeight="1" spans="3:9">
      <c r="C752" s="359"/>
      <c r="F752" s="359"/>
      <c r="I752" s="359"/>
    </row>
    <row r="753" ht="12.75" customHeight="1" spans="3:9">
      <c r="C753" s="359"/>
      <c r="F753" s="359"/>
      <c r="I753" s="359"/>
    </row>
    <row r="754" ht="12.75" customHeight="1" spans="3:9">
      <c r="C754" s="359"/>
      <c r="F754" s="359"/>
      <c r="I754" s="359"/>
    </row>
    <row r="755" ht="12.75" customHeight="1" spans="3:9">
      <c r="C755" s="359"/>
      <c r="F755" s="359"/>
      <c r="I755" s="359"/>
    </row>
    <row r="756" ht="12.75" customHeight="1" spans="3:9">
      <c r="C756" s="359"/>
      <c r="F756" s="359"/>
      <c r="I756" s="359"/>
    </row>
    <row r="757" ht="12.75" customHeight="1" spans="3:9">
      <c r="C757" s="359"/>
      <c r="F757" s="359"/>
      <c r="I757" s="359"/>
    </row>
    <row r="758" ht="12.75" customHeight="1" spans="3:9">
      <c r="C758" s="359"/>
      <c r="F758" s="359"/>
      <c r="I758" s="359"/>
    </row>
    <row r="759" ht="12.75" customHeight="1" spans="3:9">
      <c r="C759" s="359"/>
      <c r="F759" s="359"/>
      <c r="I759" s="359"/>
    </row>
    <row r="760" ht="12.75" customHeight="1" spans="3:9">
      <c r="C760" s="359"/>
      <c r="F760" s="359"/>
      <c r="I760" s="359"/>
    </row>
    <row r="761" ht="12.75" customHeight="1" spans="3:9">
      <c r="C761" s="359"/>
      <c r="F761" s="359"/>
      <c r="I761" s="359"/>
    </row>
    <row r="762" ht="12.75" customHeight="1" spans="3:9">
      <c r="C762" s="359"/>
      <c r="F762" s="359"/>
      <c r="I762" s="359"/>
    </row>
    <row r="763" ht="12.75" customHeight="1" spans="3:9">
      <c r="C763" s="359"/>
      <c r="F763" s="359"/>
      <c r="I763" s="359"/>
    </row>
    <row r="764" ht="12.75" customHeight="1" spans="3:9">
      <c r="C764" s="359"/>
      <c r="F764" s="359"/>
      <c r="I764" s="359"/>
    </row>
    <row r="765" ht="12.75" customHeight="1" spans="3:9">
      <c r="C765" s="359"/>
      <c r="F765" s="359"/>
      <c r="I765" s="359"/>
    </row>
    <row r="766" ht="12.75" customHeight="1" spans="3:9">
      <c r="C766" s="359"/>
      <c r="F766" s="359"/>
      <c r="I766" s="359"/>
    </row>
    <row r="767" ht="12.75" customHeight="1" spans="3:9">
      <c r="C767" s="359"/>
      <c r="F767" s="359"/>
      <c r="I767" s="359"/>
    </row>
    <row r="768" ht="12.75" customHeight="1" spans="3:9">
      <c r="C768" s="359"/>
      <c r="F768" s="359"/>
      <c r="I768" s="359"/>
    </row>
    <row r="769" ht="12.75" customHeight="1" spans="3:9">
      <c r="C769" s="359"/>
      <c r="F769" s="359"/>
      <c r="I769" s="359"/>
    </row>
    <row r="770" ht="12.75" customHeight="1" spans="3:9">
      <c r="C770" s="359"/>
      <c r="F770" s="359"/>
      <c r="I770" s="359"/>
    </row>
    <row r="771" ht="12.75" customHeight="1" spans="3:9">
      <c r="C771" s="359"/>
      <c r="F771" s="359"/>
      <c r="I771" s="359"/>
    </row>
    <row r="772" ht="12.75" customHeight="1" spans="3:9">
      <c r="C772" s="359"/>
      <c r="F772" s="359"/>
      <c r="I772" s="359"/>
    </row>
    <row r="773" ht="12.75" customHeight="1" spans="3:9">
      <c r="C773" s="359"/>
      <c r="F773" s="359"/>
      <c r="I773" s="359"/>
    </row>
    <row r="774" ht="12.75" customHeight="1" spans="3:9">
      <c r="C774" s="359"/>
      <c r="F774" s="359"/>
      <c r="I774" s="359"/>
    </row>
    <row r="775" ht="12.75" customHeight="1" spans="3:9">
      <c r="C775" s="359"/>
      <c r="F775" s="359"/>
      <c r="I775" s="359"/>
    </row>
    <row r="776" ht="12.75" customHeight="1" spans="3:9">
      <c r="C776" s="359"/>
      <c r="F776" s="359"/>
      <c r="I776" s="359"/>
    </row>
    <row r="777" ht="12.75" customHeight="1" spans="3:9">
      <c r="C777" s="359"/>
      <c r="F777" s="359"/>
      <c r="I777" s="359"/>
    </row>
    <row r="778" ht="12.75" customHeight="1" spans="3:9">
      <c r="C778" s="359"/>
      <c r="F778" s="359"/>
      <c r="I778" s="359"/>
    </row>
    <row r="779" ht="12.75" customHeight="1" spans="3:9">
      <c r="C779" s="359"/>
      <c r="F779" s="359"/>
      <c r="I779" s="359"/>
    </row>
    <row r="780" ht="12.75" customHeight="1" spans="3:9">
      <c r="C780" s="359"/>
      <c r="F780" s="359"/>
      <c r="I780" s="359"/>
    </row>
    <row r="781" ht="12.75" customHeight="1" spans="3:9">
      <c r="C781" s="359"/>
      <c r="F781" s="359"/>
      <c r="I781" s="359"/>
    </row>
    <row r="782" ht="12.75" customHeight="1" spans="3:9">
      <c r="C782" s="359"/>
      <c r="F782" s="359"/>
      <c r="I782" s="359"/>
    </row>
    <row r="783" ht="12.75" customHeight="1" spans="3:9">
      <c r="C783" s="359"/>
      <c r="F783" s="359"/>
      <c r="I783" s="359"/>
    </row>
    <row r="784" ht="12.75" customHeight="1" spans="3:9">
      <c r="C784" s="359"/>
      <c r="F784" s="359"/>
      <c r="I784" s="359"/>
    </row>
    <row r="785" ht="12.75" customHeight="1" spans="3:9">
      <c r="C785" s="359"/>
      <c r="F785" s="359"/>
      <c r="I785" s="359"/>
    </row>
    <row r="786" ht="12.75" customHeight="1" spans="3:9">
      <c r="C786" s="359"/>
      <c r="F786" s="359"/>
      <c r="I786" s="359"/>
    </row>
    <row r="787" ht="12.75" customHeight="1" spans="3:9">
      <c r="C787" s="359"/>
      <c r="F787" s="359"/>
      <c r="I787" s="359"/>
    </row>
    <row r="788" ht="12.75" customHeight="1" spans="3:9">
      <c r="C788" s="359"/>
      <c r="F788" s="359"/>
      <c r="I788" s="359"/>
    </row>
    <row r="789" ht="12.75" customHeight="1" spans="3:9">
      <c r="C789" s="359"/>
      <c r="F789" s="359"/>
      <c r="I789" s="359"/>
    </row>
    <row r="790" ht="12.75" customHeight="1" spans="3:9">
      <c r="C790" s="359"/>
      <c r="F790" s="359"/>
      <c r="I790" s="359"/>
    </row>
    <row r="791" ht="12.75" customHeight="1" spans="3:9">
      <c r="C791" s="359"/>
      <c r="F791" s="359"/>
      <c r="I791" s="359"/>
    </row>
    <row r="792" ht="12.75" customHeight="1" spans="3:9">
      <c r="C792" s="359"/>
      <c r="F792" s="359"/>
      <c r="I792" s="359"/>
    </row>
    <row r="793" ht="12.75" customHeight="1" spans="3:9">
      <c r="C793" s="359"/>
      <c r="F793" s="359"/>
      <c r="I793" s="359"/>
    </row>
    <row r="794" ht="12.75" customHeight="1" spans="3:9">
      <c r="C794" s="359"/>
      <c r="F794" s="359"/>
      <c r="I794" s="359"/>
    </row>
    <row r="795" ht="12.75" customHeight="1" spans="3:9">
      <c r="C795" s="359"/>
      <c r="F795" s="359"/>
      <c r="I795" s="359"/>
    </row>
    <row r="796" ht="12.75" customHeight="1" spans="3:9">
      <c r="C796" s="359"/>
      <c r="F796" s="359"/>
      <c r="I796" s="359"/>
    </row>
    <row r="797" ht="12.75" customHeight="1" spans="3:9">
      <c r="C797" s="359"/>
      <c r="F797" s="359"/>
      <c r="I797" s="359"/>
    </row>
    <row r="798" ht="12.75" customHeight="1" spans="3:9">
      <c r="C798" s="359"/>
      <c r="F798" s="359"/>
      <c r="I798" s="359"/>
    </row>
    <row r="799" ht="12.75" customHeight="1" spans="3:9">
      <c r="C799" s="359"/>
      <c r="F799" s="359"/>
      <c r="I799" s="359"/>
    </row>
    <row r="800" ht="12.75" customHeight="1" spans="3:9">
      <c r="C800" s="359"/>
      <c r="F800" s="359"/>
      <c r="I800" s="359"/>
    </row>
    <row r="801" ht="12.75" customHeight="1" spans="3:9">
      <c r="C801" s="359"/>
      <c r="F801" s="359"/>
      <c r="I801" s="359"/>
    </row>
    <row r="802" ht="12.75" customHeight="1" spans="3:9">
      <c r="C802" s="359"/>
      <c r="F802" s="359"/>
      <c r="I802" s="359"/>
    </row>
    <row r="803" ht="12.75" customHeight="1" spans="3:9">
      <c r="C803" s="359"/>
      <c r="F803" s="359"/>
      <c r="I803" s="359"/>
    </row>
    <row r="804" ht="12.75" customHeight="1" spans="3:9">
      <c r="C804" s="359"/>
      <c r="F804" s="359"/>
      <c r="I804" s="359"/>
    </row>
    <row r="805" ht="12.75" customHeight="1" spans="3:9">
      <c r="C805" s="359"/>
      <c r="F805" s="359"/>
      <c r="I805" s="359"/>
    </row>
    <row r="806" ht="12.75" customHeight="1" spans="3:9">
      <c r="C806" s="359"/>
      <c r="F806" s="359"/>
      <c r="I806" s="359"/>
    </row>
    <row r="807" ht="12.75" customHeight="1" spans="3:9">
      <c r="C807" s="359"/>
      <c r="F807" s="359"/>
      <c r="I807" s="359"/>
    </row>
    <row r="808" ht="12.75" customHeight="1" spans="3:9">
      <c r="C808" s="359"/>
      <c r="F808" s="359"/>
      <c r="I808" s="359"/>
    </row>
    <row r="809" ht="12.75" customHeight="1" spans="3:9">
      <c r="C809" s="359"/>
      <c r="F809" s="359"/>
      <c r="I809" s="359"/>
    </row>
    <row r="810" ht="12.75" customHeight="1" spans="3:9">
      <c r="C810" s="359"/>
      <c r="F810" s="359"/>
      <c r="I810" s="359"/>
    </row>
    <row r="811" ht="12.75" customHeight="1" spans="3:9">
      <c r="C811" s="359"/>
      <c r="F811" s="359"/>
      <c r="I811" s="359"/>
    </row>
    <row r="812" ht="12.75" customHeight="1" spans="3:9">
      <c r="C812" s="359"/>
      <c r="F812" s="359"/>
      <c r="I812" s="359"/>
    </row>
    <row r="813" ht="12.75" customHeight="1" spans="3:9">
      <c r="C813" s="359"/>
      <c r="F813" s="359"/>
      <c r="I813" s="359"/>
    </row>
    <row r="814" ht="12.75" customHeight="1" spans="3:9">
      <c r="C814" s="359"/>
      <c r="F814" s="359"/>
      <c r="I814" s="359"/>
    </row>
    <row r="815" ht="12.75" customHeight="1" spans="3:9">
      <c r="C815" s="359"/>
      <c r="F815" s="359"/>
      <c r="I815" s="359"/>
    </row>
    <row r="816" ht="12.75" customHeight="1" spans="3:9">
      <c r="C816" s="359"/>
      <c r="F816" s="359"/>
      <c r="I816" s="359"/>
    </row>
    <row r="817" ht="12.75" customHeight="1" spans="3:9">
      <c r="C817" s="359"/>
      <c r="F817" s="359"/>
      <c r="I817" s="359"/>
    </row>
    <row r="818" ht="12.75" customHeight="1" spans="3:9">
      <c r="C818" s="359"/>
      <c r="F818" s="359"/>
      <c r="I818" s="359"/>
    </row>
    <row r="819" ht="12.75" customHeight="1" spans="3:9">
      <c r="C819" s="359"/>
      <c r="F819" s="359"/>
      <c r="I819" s="359"/>
    </row>
    <row r="820" ht="12.75" customHeight="1" spans="3:9">
      <c r="C820" s="359"/>
      <c r="F820" s="359"/>
      <c r="I820" s="359"/>
    </row>
    <row r="821" ht="12.75" customHeight="1" spans="3:9">
      <c r="C821" s="359"/>
      <c r="F821" s="359"/>
      <c r="I821" s="359"/>
    </row>
    <row r="822" ht="12.75" customHeight="1" spans="3:9">
      <c r="C822" s="359"/>
      <c r="F822" s="359"/>
      <c r="I822" s="359"/>
    </row>
    <row r="823" ht="12.75" customHeight="1" spans="3:9">
      <c r="C823" s="359"/>
      <c r="F823" s="359"/>
      <c r="I823" s="359"/>
    </row>
    <row r="824" ht="12.75" customHeight="1" spans="3:9">
      <c r="C824" s="359"/>
      <c r="F824" s="359"/>
      <c r="I824" s="359"/>
    </row>
    <row r="825" ht="12.75" customHeight="1" spans="3:9">
      <c r="C825" s="359"/>
      <c r="F825" s="359"/>
      <c r="I825" s="359"/>
    </row>
    <row r="826" ht="12.75" customHeight="1" spans="3:9">
      <c r="C826" s="359"/>
      <c r="F826" s="359"/>
      <c r="I826" s="359"/>
    </row>
    <row r="827" ht="12.75" customHeight="1" spans="3:9">
      <c r="C827" s="359"/>
      <c r="F827" s="359"/>
      <c r="I827" s="359"/>
    </row>
    <row r="828" ht="12.75" customHeight="1" spans="3:9">
      <c r="C828" s="359"/>
      <c r="F828" s="359"/>
      <c r="I828" s="359"/>
    </row>
    <row r="829" ht="12.75" customHeight="1" spans="3:9">
      <c r="C829" s="359"/>
      <c r="F829" s="359"/>
      <c r="I829" s="359"/>
    </row>
    <row r="830" ht="12.75" customHeight="1" spans="3:9">
      <c r="C830" s="359"/>
      <c r="F830" s="359"/>
      <c r="I830" s="359"/>
    </row>
    <row r="831" ht="12.75" customHeight="1" spans="3:9">
      <c r="C831" s="359"/>
      <c r="F831" s="359"/>
      <c r="I831" s="359"/>
    </row>
    <row r="832" ht="12.75" customHeight="1" spans="3:9">
      <c r="C832" s="359"/>
      <c r="F832" s="359"/>
      <c r="I832" s="359"/>
    </row>
    <row r="833" ht="12.75" customHeight="1" spans="3:9">
      <c r="C833" s="359"/>
      <c r="F833" s="359"/>
      <c r="I833" s="359"/>
    </row>
    <row r="834" ht="12.75" customHeight="1" spans="3:9">
      <c r="C834" s="359"/>
      <c r="F834" s="359"/>
      <c r="I834" s="359"/>
    </row>
    <row r="835" ht="12.75" customHeight="1" spans="3:9">
      <c r="C835" s="359"/>
      <c r="F835" s="359"/>
      <c r="I835" s="359"/>
    </row>
    <row r="836" ht="12.75" customHeight="1" spans="3:9">
      <c r="C836" s="359"/>
      <c r="F836" s="359"/>
      <c r="I836" s="359"/>
    </row>
    <row r="837" ht="12.75" customHeight="1" spans="3:9">
      <c r="C837" s="359"/>
      <c r="F837" s="359"/>
      <c r="I837" s="359"/>
    </row>
    <row r="838" ht="12.75" customHeight="1" spans="3:9">
      <c r="C838" s="359"/>
      <c r="F838" s="359"/>
      <c r="I838" s="359"/>
    </row>
    <row r="839" ht="12.75" customHeight="1" spans="3:9">
      <c r="C839" s="359"/>
      <c r="F839" s="359"/>
      <c r="I839" s="359"/>
    </row>
    <row r="840" ht="12.75" customHeight="1" spans="3:9">
      <c r="C840" s="359"/>
      <c r="F840" s="359"/>
      <c r="I840" s="359"/>
    </row>
    <row r="841" ht="12.75" customHeight="1" spans="3:9">
      <c r="C841" s="359"/>
      <c r="F841" s="359"/>
      <c r="I841" s="359"/>
    </row>
    <row r="842" ht="12.75" customHeight="1" spans="3:9">
      <c r="C842" s="359"/>
      <c r="F842" s="359"/>
      <c r="I842" s="359"/>
    </row>
    <row r="843" ht="12.75" customHeight="1" spans="3:9">
      <c r="C843" s="359"/>
      <c r="F843" s="359"/>
      <c r="I843" s="359"/>
    </row>
    <row r="844" ht="12.75" customHeight="1" spans="3:9">
      <c r="C844" s="359"/>
      <c r="F844" s="359"/>
      <c r="I844" s="359"/>
    </row>
    <row r="845" ht="12.75" customHeight="1" spans="3:9">
      <c r="C845" s="359"/>
      <c r="F845" s="359"/>
      <c r="I845" s="359"/>
    </row>
    <row r="846" ht="12.75" customHeight="1" spans="3:9">
      <c r="C846" s="359"/>
      <c r="F846" s="359"/>
      <c r="I846" s="359"/>
    </row>
    <row r="847" ht="12.75" customHeight="1" spans="3:9">
      <c r="C847" s="359"/>
      <c r="F847" s="359"/>
      <c r="I847" s="359"/>
    </row>
    <row r="848" ht="12.75" customHeight="1" spans="3:9">
      <c r="C848" s="359"/>
      <c r="F848" s="359"/>
      <c r="I848" s="359"/>
    </row>
    <row r="849" ht="12.75" customHeight="1" spans="3:9">
      <c r="C849" s="359"/>
      <c r="F849" s="359"/>
      <c r="I849" s="359"/>
    </row>
    <row r="850" ht="12.75" customHeight="1" spans="3:9">
      <c r="C850" s="359"/>
      <c r="F850" s="359"/>
      <c r="I850" s="359"/>
    </row>
    <row r="851" ht="12.75" customHeight="1" spans="3:9">
      <c r="C851" s="359"/>
      <c r="F851" s="359"/>
      <c r="I851" s="359"/>
    </row>
    <row r="852" ht="12.75" customHeight="1" spans="3:9">
      <c r="C852" s="359"/>
      <c r="F852" s="359"/>
      <c r="I852" s="359"/>
    </row>
    <row r="853" ht="12.75" customHeight="1" spans="3:9">
      <c r="C853" s="359"/>
      <c r="F853" s="359"/>
      <c r="I853" s="359"/>
    </row>
    <row r="854" ht="12.75" customHeight="1" spans="3:9">
      <c r="C854" s="359"/>
      <c r="F854" s="359"/>
      <c r="I854" s="359"/>
    </row>
    <row r="855" ht="12.75" customHeight="1" spans="3:9">
      <c r="C855" s="359"/>
      <c r="F855" s="359"/>
      <c r="I855" s="359"/>
    </row>
    <row r="856" ht="12.75" customHeight="1" spans="3:9">
      <c r="C856" s="359"/>
      <c r="F856" s="359"/>
      <c r="I856" s="359"/>
    </row>
    <row r="857" ht="12.75" customHeight="1" spans="3:9">
      <c r="C857" s="359"/>
      <c r="F857" s="359"/>
      <c r="I857" s="359"/>
    </row>
    <row r="858" ht="12.75" customHeight="1" spans="3:9">
      <c r="C858" s="359"/>
      <c r="F858" s="359"/>
      <c r="I858" s="359"/>
    </row>
    <row r="859" ht="12.75" customHeight="1" spans="3:9">
      <c r="C859" s="359"/>
      <c r="F859" s="359"/>
      <c r="I859" s="359"/>
    </row>
    <row r="860" ht="12.75" customHeight="1" spans="3:9">
      <c r="C860" s="359"/>
      <c r="F860" s="359"/>
      <c r="I860" s="359"/>
    </row>
    <row r="861" ht="12.75" customHeight="1" spans="3:9">
      <c r="C861" s="359"/>
      <c r="F861" s="359"/>
      <c r="I861" s="359"/>
    </row>
    <row r="862" ht="12.75" customHeight="1" spans="3:9">
      <c r="C862" s="359"/>
      <c r="F862" s="359"/>
      <c r="I862" s="359"/>
    </row>
    <row r="863" ht="12.75" customHeight="1" spans="3:9">
      <c r="C863" s="359"/>
      <c r="F863" s="359"/>
      <c r="I863" s="359"/>
    </row>
    <row r="864" ht="12.75" customHeight="1" spans="3:9">
      <c r="C864" s="359"/>
      <c r="F864" s="359"/>
      <c r="I864" s="359"/>
    </row>
    <row r="865" ht="12.75" customHeight="1" spans="3:9">
      <c r="C865" s="359"/>
      <c r="F865" s="359"/>
      <c r="I865" s="359"/>
    </row>
    <row r="866" ht="12.75" customHeight="1" spans="3:9">
      <c r="C866" s="359"/>
      <c r="F866" s="359"/>
      <c r="I866" s="359"/>
    </row>
    <row r="867" ht="12.75" customHeight="1" spans="3:9">
      <c r="C867" s="359"/>
      <c r="F867" s="359"/>
      <c r="I867" s="359"/>
    </row>
    <row r="868" ht="12.75" customHeight="1" spans="3:9">
      <c r="C868" s="359"/>
      <c r="F868" s="359"/>
      <c r="I868" s="359"/>
    </row>
    <row r="869" ht="12.75" customHeight="1" spans="3:9">
      <c r="C869" s="359"/>
      <c r="F869" s="359"/>
      <c r="I869" s="359"/>
    </row>
    <row r="870" ht="12.75" customHeight="1" spans="3:9">
      <c r="C870" s="359"/>
      <c r="F870" s="359"/>
      <c r="I870" s="359"/>
    </row>
    <row r="871" ht="12.75" customHeight="1" spans="3:9">
      <c r="C871" s="359"/>
      <c r="F871" s="359"/>
      <c r="I871" s="359"/>
    </row>
    <row r="872" ht="12.75" customHeight="1" spans="3:9">
      <c r="C872" s="359"/>
      <c r="F872" s="359"/>
      <c r="I872" s="359"/>
    </row>
    <row r="873" ht="12.75" customHeight="1" spans="3:9">
      <c r="C873" s="359"/>
      <c r="F873" s="359"/>
      <c r="I873" s="359"/>
    </row>
    <row r="874" ht="12.75" customHeight="1" spans="3:9">
      <c r="C874" s="359"/>
      <c r="F874" s="359"/>
      <c r="I874" s="359"/>
    </row>
    <row r="875" ht="12.75" customHeight="1" spans="3:9">
      <c r="C875" s="359"/>
      <c r="F875" s="359"/>
      <c r="I875" s="359"/>
    </row>
    <row r="876" ht="12.75" customHeight="1" spans="3:9">
      <c r="C876" s="359"/>
      <c r="F876" s="359"/>
      <c r="I876" s="359"/>
    </row>
    <row r="877" ht="12.75" customHeight="1" spans="3:9">
      <c r="C877" s="359"/>
      <c r="F877" s="359"/>
      <c r="I877" s="359"/>
    </row>
    <row r="878" ht="12.75" customHeight="1" spans="3:9">
      <c r="C878" s="359"/>
      <c r="F878" s="359"/>
      <c r="I878" s="359"/>
    </row>
    <row r="879" ht="12.75" customHeight="1" spans="3:9">
      <c r="C879" s="359"/>
      <c r="F879" s="359"/>
      <c r="I879" s="359"/>
    </row>
    <row r="880" ht="12.75" customHeight="1" spans="3:9">
      <c r="C880" s="359"/>
      <c r="F880" s="359"/>
      <c r="I880" s="359"/>
    </row>
    <row r="881" ht="12.75" customHeight="1" spans="3:9">
      <c r="C881" s="359"/>
      <c r="F881" s="359"/>
      <c r="I881" s="359"/>
    </row>
    <row r="882" ht="12.75" customHeight="1" spans="3:9">
      <c r="C882" s="359"/>
      <c r="F882" s="359"/>
      <c r="I882" s="359"/>
    </row>
    <row r="883" ht="12.75" customHeight="1" spans="3:9">
      <c r="C883" s="359"/>
      <c r="F883" s="359"/>
      <c r="I883" s="359"/>
    </row>
    <row r="884" ht="12.75" customHeight="1" spans="3:9">
      <c r="C884" s="359"/>
      <c r="F884" s="359"/>
      <c r="I884" s="359"/>
    </row>
    <row r="885" ht="12.75" customHeight="1" spans="3:9">
      <c r="C885" s="359"/>
      <c r="F885" s="359"/>
      <c r="I885" s="359"/>
    </row>
    <row r="886" ht="12.75" customHeight="1" spans="3:9">
      <c r="C886" s="359"/>
      <c r="F886" s="359"/>
      <c r="I886" s="359"/>
    </row>
    <row r="887" ht="12.75" customHeight="1" spans="3:9">
      <c r="C887" s="359"/>
      <c r="F887" s="359"/>
      <c r="I887" s="359"/>
    </row>
    <row r="888" ht="12.75" customHeight="1" spans="3:9">
      <c r="C888" s="359"/>
      <c r="F888" s="359"/>
      <c r="I888" s="359"/>
    </row>
    <row r="889" ht="12.75" customHeight="1" spans="3:9">
      <c r="C889" s="359"/>
      <c r="F889" s="359"/>
      <c r="I889" s="359"/>
    </row>
    <row r="890" ht="12.75" customHeight="1" spans="3:9">
      <c r="C890" s="359"/>
      <c r="F890" s="359"/>
      <c r="I890" s="359"/>
    </row>
    <row r="891" ht="12.75" customHeight="1" spans="3:9">
      <c r="C891" s="359"/>
      <c r="F891" s="359"/>
      <c r="I891" s="359"/>
    </row>
    <row r="892" ht="12.75" customHeight="1" spans="3:9">
      <c r="C892" s="359"/>
      <c r="F892" s="359"/>
      <c r="I892" s="359"/>
    </row>
    <row r="893" ht="12.75" customHeight="1" spans="3:9">
      <c r="C893" s="359"/>
      <c r="F893" s="359"/>
      <c r="I893" s="359"/>
    </row>
    <row r="894" ht="12.75" customHeight="1" spans="3:9">
      <c r="C894" s="359"/>
      <c r="F894" s="359"/>
      <c r="I894" s="359"/>
    </row>
    <row r="895" ht="12.75" customHeight="1" spans="3:9">
      <c r="C895" s="359"/>
      <c r="F895" s="359"/>
      <c r="I895" s="359"/>
    </row>
    <row r="896" ht="12.75" customHeight="1" spans="3:9">
      <c r="C896" s="359"/>
      <c r="F896" s="359"/>
      <c r="I896" s="359"/>
    </row>
    <row r="897" ht="12.75" customHeight="1" spans="3:9">
      <c r="C897" s="359"/>
      <c r="F897" s="359"/>
      <c r="I897" s="359"/>
    </row>
    <row r="898" ht="12.75" customHeight="1" spans="3:9">
      <c r="C898" s="359"/>
      <c r="F898" s="359"/>
      <c r="I898" s="359"/>
    </row>
    <row r="899" ht="12.75" customHeight="1" spans="3:9">
      <c r="C899" s="359"/>
      <c r="F899" s="359"/>
      <c r="I899" s="359"/>
    </row>
    <row r="900" ht="12.75" customHeight="1" spans="3:9">
      <c r="C900" s="359"/>
      <c r="F900" s="359"/>
      <c r="I900" s="359"/>
    </row>
    <row r="901" ht="12.75" customHeight="1" spans="3:9">
      <c r="C901" s="359"/>
      <c r="F901" s="359"/>
      <c r="I901" s="359"/>
    </row>
    <row r="902" ht="12.75" customHeight="1" spans="3:9">
      <c r="C902" s="359"/>
      <c r="F902" s="359"/>
      <c r="I902" s="359"/>
    </row>
    <row r="903" ht="12.75" customHeight="1" spans="3:9">
      <c r="C903" s="359"/>
      <c r="F903" s="359"/>
      <c r="I903" s="359"/>
    </row>
    <row r="904" ht="12.75" customHeight="1" spans="3:9">
      <c r="C904" s="359"/>
      <c r="F904" s="359"/>
      <c r="I904" s="359"/>
    </row>
    <row r="905" ht="12.75" customHeight="1" spans="3:9">
      <c r="C905" s="359"/>
      <c r="F905" s="359"/>
      <c r="I905" s="359"/>
    </row>
    <row r="906" ht="12.75" customHeight="1" spans="3:9">
      <c r="C906" s="359"/>
      <c r="F906" s="359"/>
      <c r="I906" s="359"/>
    </row>
    <row r="907" ht="12.75" customHeight="1" spans="3:9">
      <c r="C907" s="359"/>
      <c r="F907" s="359"/>
      <c r="I907" s="359"/>
    </row>
    <row r="908" ht="12.75" customHeight="1" spans="3:9">
      <c r="C908" s="359"/>
      <c r="F908" s="359"/>
      <c r="I908" s="359"/>
    </row>
    <row r="909" ht="12.75" customHeight="1" spans="3:9">
      <c r="C909" s="359"/>
      <c r="F909" s="359"/>
      <c r="I909" s="359"/>
    </row>
    <row r="910" ht="12.75" customHeight="1" spans="3:9">
      <c r="C910" s="359"/>
      <c r="F910" s="359"/>
      <c r="I910" s="359"/>
    </row>
    <row r="911" ht="12.75" customHeight="1" spans="3:9">
      <c r="C911" s="359"/>
      <c r="F911" s="359"/>
      <c r="I911" s="359"/>
    </row>
    <row r="912" ht="12.75" customHeight="1" spans="3:9">
      <c r="C912" s="359"/>
      <c r="F912" s="359"/>
      <c r="I912" s="359"/>
    </row>
    <row r="913" ht="12.75" customHeight="1" spans="3:9">
      <c r="C913" s="359"/>
      <c r="F913" s="359"/>
      <c r="I913" s="359"/>
    </row>
    <row r="914" ht="12.75" customHeight="1" spans="3:9">
      <c r="C914" s="359"/>
      <c r="F914" s="359"/>
      <c r="I914" s="359"/>
    </row>
    <row r="915" ht="12.75" customHeight="1" spans="3:9">
      <c r="C915" s="359"/>
      <c r="F915" s="359"/>
      <c r="I915" s="359"/>
    </row>
    <row r="916" ht="12.75" customHeight="1" spans="3:9">
      <c r="C916" s="359"/>
      <c r="F916" s="359"/>
      <c r="I916" s="359"/>
    </row>
    <row r="917" ht="12.75" customHeight="1" spans="3:9">
      <c r="C917" s="359"/>
      <c r="F917" s="359"/>
      <c r="I917" s="359"/>
    </row>
    <row r="918" ht="12.75" customHeight="1" spans="3:9">
      <c r="C918" s="359"/>
      <c r="F918" s="359"/>
      <c r="I918" s="359"/>
    </row>
    <row r="919" ht="12.75" customHeight="1" spans="3:9">
      <c r="C919" s="359"/>
      <c r="F919" s="359"/>
      <c r="I919" s="359"/>
    </row>
    <row r="920" ht="12.75" customHeight="1" spans="3:9">
      <c r="C920" s="359"/>
      <c r="F920" s="359"/>
      <c r="I920" s="359"/>
    </row>
    <row r="921" ht="12.75" customHeight="1" spans="3:9">
      <c r="C921" s="359"/>
      <c r="F921" s="359"/>
      <c r="I921" s="359"/>
    </row>
    <row r="922" ht="12.75" customHeight="1" spans="3:9">
      <c r="C922" s="359"/>
      <c r="F922" s="359"/>
      <c r="I922" s="359"/>
    </row>
    <row r="923" ht="12.75" customHeight="1" spans="3:9">
      <c r="C923" s="359"/>
      <c r="F923" s="359"/>
      <c r="I923" s="359"/>
    </row>
    <row r="924" ht="12.75" customHeight="1" spans="3:9">
      <c r="C924" s="359"/>
      <c r="F924" s="359"/>
      <c r="I924" s="359"/>
    </row>
    <row r="925" ht="12.75" customHeight="1" spans="3:9">
      <c r="C925" s="359"/>
      <c r="F925" s="359"/>
      <c r="I925" s="359"/>
    </row>
    <row r="926" ht="12.75" customHeight="1" spans="3:9">
      <c r="C926" s="359"/>
      <c r="F926" s="359"/>
      <c r="I926" s="359"/>
    </row>
    <row r="927" ht="12.75" customHeight="1" spans="3:9">
      <c r="C927" s="359"/>
      <c r="F927" s="359"/>
      <c r="I927" s="359"/>
    </row>
    <row r="928" ht="12.75" customHeight="1" spans="3:9">
      <c r="C928" s="359"/>
      <c r="F928" s="359"/>
      <c r="I928" s="359"/>
    </row>
    <row r="929" ht="12.75" customHeight="1" spans="3:9">
      <c r="C929" s="359"/>
      <c r="F929" s="359"/>
      <c r="I929" s="359"/>
    </row>
    <row r="930" ht="12.75" customHeight="1" spans="3:9">
      <c r="C930" s="359"/>
      <c r="F930" s="359"/>
      <c r="I930" s="359"/>
    </row>
    <row r="931" ht="12.75" customHeight="1" spans="3:9">
      <c r="C931" s="359"/>
      <c r="F931" s="359"/>
      <c r="I931" s="359"/>
    </row>
    <row r="932" ht="12.75" customHeight="1" spans="3:9">
      <c r="C932" s="359"/>
      <c r="F932" s="359"/>
      <c r="I932" s="359"/>
    </row>
    <row r="933" ht="12.75" customHeight="1" spans="3:9">
      <c r="C933" s="359"/>
      <c r="F933" s="359"/>
      <c r="I933" s="359"/>
    </row>
    <row r="934" ht="12.75" customHeight="1" spans="3:9">
      <c r="C934" s="359"/>
      <c r="F934" s="359"/>
      <c r="I934" s="359"/>
    </row>
    <row r="935" ht="12.75" customHeight="1" spans="3:9">
      <c r="C935" s="359"/>
      <c r="F935" s="359"/>
      <c r="I935" s="359"/>
    </row>
    <row r="936" ht="12.75" customHeight="1" spans="3:9">
      <c r="C936" s="359"/>
      <c r="F936" s="359"/>
      <c r="I936" s="359"/>
    </row>
    <row r="937" ht="12.75" customHeight="1" spans="3:9">
      <c r="C937" s="359"/>
      <c r="F937" s="359"/>
      <c r="I937" s="359"/>
    </row>
    <row r="938" ht="12.75" customHeight="1" spans="3:9">
      <c r="C938" s="359"/>
      <c r="F938" s="359"/>
      <c r="I938" s="359"/>
    </row>
    <row r="939" ht="12.75" customHeight="1" spans="3:9">
      <c r="C939" s="359"/>
      <c r="F939" s="359"/>
      <c r="I939" s="359"/>
    </row>
    <row r="940" ht="12.75" customHeight="1" spans="3:9">
      <c r="C940" s="359"/>
      <c r="F940" s="359"/>
      <c r="I940" s="359"/>
    </row>
    <row r="941" ht="12.75" customHeight="1" spans="3:9">
      <c r="C941" s="359"/>
      <c r="F941" s="359"/>
      <c r="I941" s="359"/>
    </row>
    <row r="942" ht="12.75" customHeight="1" spans="3:9">
      <c r="C942" s="359"/>
      <c r="F942" s="359"/>
      <c r="I942" s="359"/>
    </row>
    <row r="943" ht="12.75" customHeight="1" spans="3:9">
      <c r="C943" s="359"/>
      <c r="F943" s="359"/>
      <c r="I943" s="359"/>
    </row>
    <row r="944" ht="12.75" customHeight="1" spans="3:9">
      <c r="C944" s="359"/>
      <c r="F944" s="359"/>
      <c r="I944" s="359"/>
    </row>
    <row r="945" ht="12.75" customHeight="1" spans="3:9">
      <c r="C945" s="359"/>
      <c r="F945" s="359"/>
      <c r="I945" s="359"/>
    </row>
    <row r="946" ht="12.75" customHeight="1" spans="3:9">
      <c r="C946" s="359"/>
      <c r="F946" s="359"/>
      <c r="I946" s="359"/>
    </row>
    <row r="947" ht="12.75" customHeight="1" spans="3:9">
      <c r="C947" s="359"/>
      <c r="F947" s="359"/>
      <c r="I947" s="359"/>
    </row>
    <row r="948" ht="12.75" customHeight="1" spans="3:9">
      <c r="C948" s="359"/>
      <c r="F948" s="359"/>
      <c r="I948" s="359"/>
    </row>
    <row r="949" ht="12.75" customHeight="1" spans="3:9">
      <c r="C949" s="359"/>
      <c r="F949" s="359"/>
      <c r="I949" s="359"/>
    </row>
    <row r="950" ht="12.75" customHeight="1" spans="3:9">
      <c r="C950" s="359"/>
      <c r="F950" s="359"/>
      <c r="I950" s="359"/>
    </row>
    <row r="951" ht="12.75" customHeight="1" spans="3:9">
      <c r="C951" s="359"/>
      <c r="F951" s="359"/>
      <c r="I951" s="359"/>
    </row>
    <row r="952" ht="12.75" customHeight="1" spans="3:9">
      <c r="C952" s="359"/>
      <c r="F952" s="359"/>
      <c r="I952" s="359"/>
    </row>
    <row r="953" ht="12.75" customHeight="1" spans="3:9">
      <c r="C953" s="359"/>
      <c r="F953" s="359"/>
      <c r="I953" s="359"/>
    </row>
    <row r="954" ht="12.75" customHeight="1" spans="3:9">
      <c r="C954" s="359"/>
      <c r="F954" s="359"/>
      <c r="I954" s="359"/>
    </row>
    <row r="955" ht="12.75" customHeight="1" spans="3:9">
      <c r="C955" s="359"/>
      <c r="F955" s="359"/>
      <c r="I955" s="359"/>
    </row>
    <row r="956" ht="12.75" customHeight="1" spans="3:9">
      <c r="C956" s="359"/>
      <c r="F956" s="359"/>
      <c r="I956" s="359"/>
    </row>
    <row r="957" ht="12.75" customHeight="1" spans="3:9">
      <c r="C957" s="359"/>
      <c r="F957" s="359"/>
      <c r="I957" s="359"/>
    </row>
    <row r="958" ht="12.75" customHeight="1" spans="3:9">
      <c r="C958" s="359"/>
      <c r="F958" s="359"/>
      <c r="I958" s="359"/>
    </row>
    <row r="959" ht="12.75" customHeight="1" spans="3:9">
      <c r="C959" s="359"/>
      <c r="F959" s="359"/>
      <c r="I959" s="359"/>
    </row>
    <row r="960" ht="12.75" customHeight="1" spans="3:9">
      <c r="C960" s="359"/>
      <c r="F960" s="359"/>
      <c r="I960" s="359"/>
    </row>
    <row r="961" ht="12.75" customHeight="1" spans="3:9">
      <c r="C961" s="359"/>
      <c r="F961" s="359"/>
      <c r="I961" s="359"/>
    </row>
    <row r="962" ht="12.75" customHeight="1" spans="3:9">
      <c r="C962" s="359"/>
      <c r="F962" s="359"/>
      <c r="I962" s="359"/>
    </row>
    <row r="963" ht="12.75" customHeight="1" spans="3:9">
      <c r="C963" s="359"/>
      <c r="F963" s="359"/>
      <c r="I963" s="359"/>
    </row>
    <row r="964" ht="12.75" customHeight="1" spans="3:9">
      <c r="C964" s="359"/>
      <c r="F964" s="359"/>
      <c r="I964" s="359"/>
    </row>
    <row r="965" ht="12.75" customHeight="1" spans="3:9">
      <c r="C965" s="359"/>
      <c r="F965" s="359"/>
      <c r="I965" s="359"/>
    </row>
    <row r="966" ht="12.75" customHeight="1" spans="3:9">
      <c r="C966" s="359"/>
      <c r="F966" s="359"/>
      <c r="I966" s="359"/>
    </row>
    <row r="967" ht="12.75" customHeight="1" spans="3:9">
      <c r="C967" s="359"/>
      <c r="F967" s="359"/>
      <c r="I967" s="359"/>
    </row>
    <row r="968" ht="12.75" customHeight="1" spans="3:9">
      <c r="C968" s="359"/>
      <c r="F968" s="359"/>
      <c r="I968" s="359"/>
    </row>
    <row r="969" ht="12.75" customHeight="1" spans="3:9">
      <c r="C969" s="359"/>
      <c r="F969" s="359"/>
      <c r="I969" s="359"/>
    </row>
    <row r="970" ht="12.75" customHeight="1" spans="3:9">
      <c r="C970" s="359"/>
      <c r="F970" s="359"/>
      <c r="I970" s="359"/>
    </row>
    <row r="971" ht="12.75" customHeight="1" spans="3:9">
      <c r="C971" s="359"/>
      <c r="F971" s="359"/>
      <c r="I971" s="359"/>
    </row>
    <row r="972" ht="12.75" customHeight="1" spans="3:9">
      <c r="C972" s="359"/>
      <c r="F972" s="359"/>
      <c r="I972" s="359"/>
    </row>
    <row r="973" ht="12.75" customHeight="1" spans="3:9">
      <c r="C973" s="359"/>
      <c r="F973" s="359"/>
      <c r="I973" s="359"/>
    </row>
    <row r="974" ht="12.75" customHeight="1" spans="3:9">
      <c r="C974" s="359"/>
      <c r="F974" s="359"/>
      <c r="I974" s="359"/>
    </row>
    <row r="975" ht="12.75" customHeight="1" spans="3:9">
      <c r="C975" s="359"/>
      <c r="F975" s="359"/>
      <c r="I975" s="359"/>
    </row>
    <row r="976" ht="12.75" customHeight="1" spans="3:9">
      <c r="C976" s="359"/>
      <c r="F976" s="359"/>
      <c r="I976" s="359"/>
    </row>
    <row r="977" ht="12.75" customHeight="1" spans="3:9">
      <c r="C977" s="359"/>
      <c r="F977" s="359"/>
      <c r="I977" s="359"/>
    </row>
    <row r="978" ht="12.75" customHeight="1" spans="3:9">
      <c r="C978" s="359"/>
      <c r="F978" s="359"/>
      <c r="I978" s="359"/>
    </row>
    <row r="979" ht="12.75" customHeight="1" spans="3:9">
      <c r="C979" s="359"/>
      <c r="F979" s="359"/>
      <c r="I979" s="359"/>
    </row>
    <row r="980" ht="12.75" customHeight="1" spans="3:9">
      <c r="C980" s="359"/>
      <c r="F980" s="359"/>
      <c r="I980" s="359"/>
    </row>
    <row r="981" ht="12.75" customHeight="1" spans="3:9">
      <c r="C981" s="359"/>
      <c r="F981" s="359"/>
      <c r="I981" s="359"/>
    </row>
    <row r="982" ht="12.75" customHeight="1" spans="3:9">
      <c r="C982" s="359"/>
      <c r="F982" s="359"/>
      <c r="I982" s="359"/>
    </row>
    <row r="983" ht="12.75" customHeight="1" spans="3:9">
      <c r="C983" s="359"/>
      <c r="F983" s="359"/>
      <c r="I983" s="359"/>
    </row>
    <row r="984" ht="12.75" customHeight="1" spans="3:9">
      <c r="C984" s="359"/>
      <c r="F984" s="359"/>
      <c r="I984" s="359"/>
    </row>
    <row r="985" ht="12.75" customHeight="1" spans="3:9">
      <c r="C985" s="359"/>
      <c r="F985" s="359"/>
      <c r="I985" s="359"/>
    </row>
    <row r="986" ht="12.75" customHeight="1" spans="3:9">
      <c r="C986" s="359"/>
      <c r="F986" s="359"/>
      <c r="I986" s="359"/>
    </row>
    <row r="987" ht="12.75" customHeight="1" spans="3:9">
      <c r="C987" s="359"/>
      <c r="F987" s="359"/>
      <c r="I987" s="359"/>
    </row>
    <row r="988" ht="12.75" customHeight="1" spans="3:9">
      <c r="C988" s="359"/>
      <c r="F988" s="359"/>
      <c r="I988" s="359"/>
    </row>
    <row r="989" ht="12.75" customHeight="1" spans="3:9">
      <c r="C989" s="359"/>
      <c r="F989" s="359"/>
      <c r="I989" s="359"/>
    </row>
    <row r="990" ht="12.75" customHeight="1" spans="3:9">
      <c r="C990" s="359"/>
      <c r="F990" s="359"/>
      <c r="I990" s="359"/>
    </row>
    <row r="991" ht="12.75" customHeight="1" spans="3:9">
      <c r="C991" s="359"/>
      <c r="F991" s="359"/>
      <c r="I991" s="359"/>
    </row>
    <row r="992" ht="12.75" customHeight="1" spans="3:9">
      <c r="C992" s="359"/>
      <c r="F992" s="359"/>
      <c r="I992" s="359"/>
    </row>
    <row r="993" ht="12.75" customHeight="1" spans="3:9">
      <c r="C993" s="359"/>
      <c r="F993" s="359"/>
      <c r="I993" s="359"/>
    </row>
    <row r="994" ht="12.75" customHeight="1" spans="3:9">
      <c r="C994" s="359"/>
      <c r="F994" s="359"/>
      <c r="I994" s="359"/>
    </row>
    <row r="995" ht="12.75" customHeight="1" spans="3:9">
      <c r="C995" s="359"/>
      <c r="F995" s="359"/>
      <c r="I995" s="359"/>
    </row>
    <row r="996" ht="12.75" customHeight="1" spans="3:9">
      <c r="C996" s="359"/>
      <c r="F996" s="359"/>
      <c r="I996" s="359"/>
    </row>
    <row r="997" ht="12.75" customHeight="1" spans="3:9">
      <c r="C997" s="359"/>
      <c r="F997" s="359"/>
      <c r="I997" s="359"/>
    </row>
    <row r="998" ht="12.75" customHeight="1" spans="3:9">
      <c r="C998" s="359"/>
      <c r="F998" s="359"/>
      <c r="I998" s="359"/>
    </row>
    <row r="999" ht="12.75" customHeight="1" spans="3:9">
      <c r="C999" s="359"/>
      <c r="F999" s="359"/>
      <c r="I999" s="359"/>
    </row>
    <row r="1000" ht="12.75" customHeight="1" spans="3:9">
      <c r="C1000" s="359"/>
      <c r="F1000" s="359"/>
      <c r="I1000" s="359"/>
    </row>
  </sheetData>
  <mergeCells count="4">
    <mergeCell ref="B10:C10"/>
    <mergeCell ref="E10:F10"/>
    <mergeCell ref="H10:I10"/>
    <mergeCell ref="N10:O10"/>
  </mergeCell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931"/>
  <sheetViews>
    <sheetView showGridLines="0" topLeftCell="A64" workbookViewId="0">
      <selection activeCell="H20" sqref="H20"/>
    </sheetView>
  </sheetViews>
  <sheetFormatPr defaultColWidth="12.5714285714286" defaultRowHeight="15" customHeight="1"/>
  <cols>
    <col min="1" max="2" width="16.8571428571429" customWidth="1"/>
    <col min="3" max="3" width="15.2857142857143" customWidth="1"/>
    <col min="4" max="4" width="14.4285714285714" customWidth="1"/>
    <col min="5" max="5" width="16.1428571428571" customWidth="1"/>
    <col min="6" max="14" width="14.4285714285714" customWidth="1"/>
    <col min="15" max="18" width="15.2857142857143" customWidth="1"/>
    <col min="19" max="19" width="16.7142857142857" customWidth="1"/>
    <col min="20" max="24" width="14.4285714285714" customWidth="1"/>
    <col min="25" max="25" width="16.8571428571429" customWidth="1"/>
    <col min="26" max="26" width="14.4285714285714" customWidth="1"/>
  </cols>
  <sheetData>
    <row r="1" customHeight="1" spans="1:26">
      <c r="A1" s="293" t="s">
        <v>115</v>
      </c>
      <c r="B1" s="294" t="s">
        <v>116</v>
      </c>
      <c r="C1" s="295" t="s">
        <v>117</v>
      </c>
      <c r="D1" s="296" t="s">
        <v>43</v>
      </c>
      <c r="E1" s="297" t="s">
        <v>42</v>
      </c>
      <c r="F1" s="297" t="s">
        <v>118</v>
      </c>
      <c r="G1" s="298" t="s">
        <v>41</v>
      </c>
      <c r="H1" s="298" t="s">
        <v>119</v>
      </c>
      <c r="I1" s="298" t="s">
        <v>120</v>
      </c>
      <c r="J1" s="298" t="s">
        <v>121</v>
      </c>
      <c r="K1" s="327" t="s">
        <v>122</v>
      </c>
      <c r="L1" s="327" t="s">
        <v>123</v>
      </c>
      <c r="M1" s="327" t="s">
        <v>124</v>
      </c>
      <c r="N1" s="327" t="s">
        <v>125</v>
      </c>
      <c r="O1" s="327" t="s">
        <v>126</v>
      </c>
      <c r="P1" s="327" t="s">
        <v>127</v>
      </c>
      <c r="Q1" s="327" t="s">
        <v>128</v>
      </c>
      <c r="R1" s="327" t="s">
        <v>129</v>
      </c>
      <c r="S1" s="327" t="s">
        <v>130</v>
      </c>
      <c r="T1" s="327" t="s">
        <v>131</v>
      </c>
      <c r="U1" s="327" t="s">
        <v>132</v>
      </c>
      <c r="V1" s="327" t="s">
        <v>133</v>
      </c>
      <c r="W1" s="328" t="s">
        <v>134</v>
      </c>
      <c r="X1" s="328" t="s">
        <v>135</v>
      </c>
      <c r="Y1" s="338" t="s">
        <v>136</v>
      </c>
      <c r="Z1" s="133"/>
    </row>
    <row r="2" ht="17.25" customHeight="1" spans="1:26">
      <c r="A2" s="299"/>
      <c r="B2" s="300"/>
      <c r="C2" s="301"/>
      <c r="D2" s="301"/>
      <c r="E2" s="302" t="s">
        <v>137</v>
      </c>
      <c r="F2" s="301"/>
      <c r="G2" s="301"/>
      <c r="H2" s="301"/>
      <c r="I2" s="301"/>
      <c r="J2" s="301"/>
      <c r="K2" s="301"/>
      <c r="L2" s="301"/>
      <c r="M2" s="301"/>
      <c r="N2" s="301"/>
      <c r="O2" s="301"/>
      <c r="P2" s="301"/>
      <c r="Q2" s="301"/>
      <c r="R2" s="301"/>
      <c r="S2" s="301"/>
      <c r="T2" s="301"/>
      <c r="U2" s="329"/>
      <c r="V2" s="301"/>
      <c r="W2" s="301"/>
      <c r="X2" s="301"/>
      <c r="Y2" s="339"/>
      <c r="Z2" s="133"/>
    </row>
    <row r="3" ht="14.25" customHeight="1" spans="1:26">
      <c r="A3" s="30" t="s">
        <v>138</v>
      </c>
      <c r="B3" s="31">
        <v>45037</v>
      </c>
      <c r="C3" s="194">
        <v>250000</v>
      </c>
      <c r="D3" s="194"/>
      <c r="E3" s="194"/>
      <c r="F3" s="194"/>
      <c r="G3" s="194"/>
      <c r="H3" s="194"/>
      <c r="I3" s="194"/>
      <c r="J3" s="194"/>
      <c r="K3" s="194"/>
      <c r="L3" s="194"/>
      <c r="M3" s="194">
        <f>40000</f>
        <v>40000</v>
      </c>
      <c r="N3" s="194"/>
      <c r="O3" s="194"/>
      <c r="P3" s="194"/>
      <c r="Q3" s="194"/>
      <c r="R3" s="194"/>
      <c r="S3" s="194"/>
      <c r="T3" s="194"/>
      <c r="U3" s="194"/>
      <c r="V3" s="194"/>
      <c r="W3" s="194"/>
      <c r="X3" s="194"/>
      <c r="Y3" s="340"/>
      <c r="Z3" s="133"/>
    </row>
    <row r="4" ht="13.5" customHeight="1" spans="1:26">
      <c r="A4" s="34" t="s">
        <v>139</v>
      </c>
      <c r="B4" s="35">
        <v>45038</v>
      </c>
      <c r="C4" s="2"/>
      <c r="D4" s="7">
        <v>7700</v>
      </c>
      <c r="E4" s="7">
        <f>50000+10700+30000+7290+6670+5850</f>
        <v>110510</v>
      </c>
      <c r="F4" s="2"/>
      <c r="G4" s="7">
        <f>3000</f>
        <v>3000</v>
      </c>
      <c r="H4" s="2">
        <v>11100</v>
      </c>
      <c r="I4" s="2"/>
      <c r="J4" s="2"/>
      <c r="K4" s="2"/>
      <c r="L4" s="7"/>
      <c r="M4" s="2"/>
      <c r="N4" s="2"/>
      <c r="O4" s="2"/>
      <c r="P4" s="2"/>
      <c r="Q4" s="2"/>
      <c r="R4" s="2"/>
      <c r="S4" s="2">
        <f>7000+1100</f>
        <v>8100</v>
      </c>
      <c r="T4" s="2">
        <f>1800+3000</f>
        <v>4800</v>
      </c>
      <c r="U4" s="2">
        <v>6000</v>
      </c>
      <c r="V4" s="330"/>
      <c r="W4" s="2"/>
      <c r="X4" s="2"/>
      <c r="Y4" s="341">
        <f>SUM(C4:X4)</f>
        <v>151210</v>
      </c>
      <c r="Z4" s="133"/>
    </row>
    <row r="5" ht="14.25" customHeight="1" spans="1:26">
      <c r="A5" s="39" t="s">
        <v>140</v>
      </c>
      <c r="B5" s="40">
        <v>45039</v>
      </c>
      <c r="C5" s="303"/>
      <c r="D5" s="304">
        <v>5000</v>
      </c>
      <c r="E5" s="304">
        <f>4900+39955+7800</f>
        <v>52655</v>
      </c>
      <c r="F5" s="303"/>
      <c r="G5" s="304">
        <f>11200+1800</f>
        <v>13000</v>
      </c>
      <c r="H5" s="303"/>
      <c r="I5" s="303"/>
      <c r="J5" s="303">
        <f>5250+2000+10500</f>
        <v>17750</v>
      </c>
      <c r="K5" s="303"/>
      <c r="L5" s="304"/>
      <c r="M5" s="303"/>
      <c r="N5" s="303"/>
      <c r="O5" s="303"/>
      <c r="P5" s="303"/>
      <c r="Q5" s="303"/>
      <c r="R5" s="303"/>
      <c r="S5" s="303"/>
      <c r="T5" s="303"/>
      <c r="U5" s="303">
        <v>1000</v>
      </c>
      <c r="V5" s="331"/>
      <c r="W5" s="303"/>
      <c r="X5" s="303"/>
      <c r="Y5" s="342">
        <f>SUM(C5:X5)</f>
        <v>89405</v>
      </c>
      <c r="Z5" s="133"/>
    </row>
    <row r="6" ht="14.25" customHeight="1" spans="1:26">
      <c r="A6" s="30" t="s">
        <v>141</v>
      </c>
      <c r="B6" s="31">
        <v>45040</v>
      </c>
      <c r="C6" s="194"/>
      <c r="D6" s="305"/>
      <c r="E6" s="305">
        <f>62000+4800+24500+8400+22500+5000+7200</f>
        <v>134400</v>
      </c>
      <c r="F6" s="194"/>
      <c r="G6" s="305"/>
      <c r="H6" s="194"/>
      <c r="I6" s="194"/>
      <c r="J6" s="194"/>
      <c r="K6" s="194"/>
      <c r="L6" s="305"/>
      <c r="M6" s="194"/>
      <c r="N6" s="194"/>
      <c r="O6" s="194"/>
      <c r="P6" s="194"/>
      <c r="Q6" s="194"/>
      <c r="R6" s="194"/>
      <c r="S6" s="194">
        <v>100</v>
      </c>
      <c r="T6" s="194"/>
      <c r="U6" s="194">
        <v>1000</v>
      </c>
      <c r="V6" s="332"/>
      <c r="W6" s="194"/>
      <c r="X6" s="194">
        <f>15000+15000</f>
        <v>30000</v>
      </c>
      <c r="Y6" s="343">
        <f t="shared" ref="Y6:Y12" si="0">SUM(C6:X6)</f>
        <v>165500</v>
      </c>
      <c r="Z6" s="133"/>
    </row>
    <row r="7" ht="13.5" customHeight="1" spans="1:26">
      <c r="A7" s="34" t="s">
        <v>142</v>
      </c>
      <c r="B7" s="35">
        <v>45041</v>
      </c>
      <c r="C7" s="2"/>
      <c r="D7" s="7"/>
      <c r="E7" s="7">
        <f>14500+27400</f>
        <v>41900</v>
      </c>
      <c r="F7" s="2"/>
      <c r="G7" s="7">
        <f>52800+11200+1000</f>
        <v>65000</v>
      </c>
      <c r="H7" s="2"/>
      <c r="I7" s="2"/>
      <c r="J7" s="2"/>
      <c r="K7" s="2"/>
      <c r="L7" s="7"/>
      <c r="M7" s="2"/>
      <c r="N7" s="2"/>
      <c r="O7" s="2"/>
      <c r="P7" s="2"/>
      <c r="Q7" s="2"/>
      <c r="R7" s="2">
        <v>2100</v>
      </c>
      <c r="S7" s="2"/>
      <c r="T7" s="2"/>
      <c r="U7" s="2">
        <v>5000</v>
      </c>
      <c r="V7" s="316">
        <v>30000</v>
      </c>
      <c r="W7" s="2">
        <v>30000</v>
      </c>
      <c r="X7" s="2"/>
      <c r="Y7" s="341">
        <f t="shared" si="0"/>
        <v>174000</v>
      </c>
      <c r="Z7" s="133"/>
    </row>
    <row r="8" ht="13.5" customHeight="1" spans="1:26">
      <c r="A8" s="34" t="s">
        <v>143</v>
      </c>
      <c r="B8" s="35">
        <v>45042</v>
      </c>
      <c r="C8" s="2"/>
      <c r="D8" s="7">
        <v>11000</v>
      </c>
      <c r="E8" s="7">
        <f>7500+18225+2000+1800+1800</f>
        <v>31325</v>
      </c>
      <c r="F8" s="2"/>
      <c r="G8" s="7">
        <f>3000+7000</f>
        <v>10000</v>
      </c>
      <c r="H8" s="2"/>
      <c r="I8" s="2"/>
      <c r="J8" s="2"/>
      <c r="K8" s="2"/>
      <c r="L8" s="7"/>
      <c r="M8" s="2"/>
      <c r="N8" s="2"/>
      <c r="O8" s="2"/>
      <c r="P8" s="2"/>
      <c r="Q8" s="2"/>
      <c r="R8" s="2">
        <f>100000+3000</f>
        <v>103000</v>
      </c>
      <c r="S8" s="2"/>
      <c r="T8" s="2"/>
      <c r="U8" s="2">
        <v>3000</v>
      </c>
      <c r="V8" s="316">
        <v>15000</v>
      </c>
      <c r="W8" s="2">
        <v>3000</v>
      </c>
      <c r="X8" s="2"/>
      <c r="Y8" s="341">
        <f t="shared" si="0"/>
        <v>176325</v>
      </c>
      <c r="Z8" s="133"/>
    </row>
    <row r="9" ht="13.5" customHeight="1" spans="1:26">
      <c r="A9" s="34" t="s">
        <v>144</v>
      </c>
      <c r="B9" s="35">
        <v>45043</v>
      </c>
      <c r="C9" s="2"/>
      <c r="D9" s="7">
        <f>6000</f>
        <v>6000</v>
      </c>
      <c r="E9" s="7">
        <f>5500+29100+5200</f>
        <v>39800</v>
      </c>
      <c r="F9" s="2"/>
      <c r="G9" s="7">
        <f>11400+35000+4000</f>
        <v>50400</v>
      </c>
      <c r="H9" s="2"/>
      <c r="I9" s="2"/>
      <c r="J9" s="2">
        <v>12500</v>
      </c>
      <c r="K9" s="2"/>
      <c r="L9" s="7"/>
      <c r="M9" s="2"/>
      <c r="N9" s="2"/>
      <c r="O9" s="2"/>
      <c r="P9" s="2"/>
      <c r="Q9" s="2"/>
      <c r="R9" s="2"/>
      <c r="S9" s="2">
        <v>4000</v>
      </c>
      <c r="T9" s="2"/>
      <c r="U9" s="2">
        <v>1000</v>
      </c>
      <c r="V9" s="330"/>
      <c r="W9" s="2"/>
      <c r="X9" s="2"/>
      <c r="Y9" s="341">
        <f t="shared" si="0"/>
        <v>113700</v>
      </c>
      <c r="Z9" s="133"/>
    </row>
    <row r="10" ht="13.5" customHeight="1" spans="1:26">
      <c r="A10" s="34" t="s">
        <v>145</v>
      </c>
      <c r="B10" s="35">
        <v>45044</v>
      </c>
      <c r="C10" s="2"/>
      <c r="D10" s="7">
        <f>135000</f>
        <v>135000</v>
      </c>
      <c r="E10" s="7">
        <f>4500+2350+33400+2000</f>
        <v>42250</v>
      </c>
      <c r="F10" s="2"/>
      <c r="G10" s="7">
        <f>158500+1000</f>
        <v>159500</v>
      </c>
      <c r="H10" s="2"/>
      <c r="I10" s="2"/>
      <c r="J10" s="2"/>
      <c r="K10" s="2"/>
      <c r="L10" s="7"/>
      <c r="M10" s="2"/>
      <c r="N10" s="2"/>
      <c r="O10" s="2"/>
      <c r="P10" s="2"/>
      <c r="Q10" s="2"/>
      <c r="R10" s="2"/>
      <c r="S10" s="2">
        <f>8400</f>
        <v>8400</v>
      </c>
      <c r="T10" s="2"/>
      <c r="U10" s="2">
        <v>2600</v>
      </c>
      <c r="V10" s="330"/>
      <c r="W10" s="2"/>
      <c r="X10" s="2"/>
      <c r="Y10" s="341">
        <f t="shared" si="0"/>
        <v>347750</v>
      </c>
      <c r="Z10" s="133"/>
    </row>
    <row r="11" ht="13.5" customHeight="1" spans="1:26">
      <c r="A11" s="34" t="s">
        <v>139</v>
      </c>
      <c r="B11" s="35">
        <v>45045</v>
      </c>
      <c r="C11" s="2"/>
      <c r="D11" s="7">
        <f>1500</f>
        <v>1500</v>
      </c>
      <c r="E11" s="7">
        <f>15050+4750+2000</f>
        <v>21800</v>
      </c>
      <c r="F11" s="2"/>
      <c r="G11" s="7">
        <f>14200+13500</f>
        <v>27700</v>
      </c>
      <c r="H11" s="2"/>
      <c r="I11" s="2"/>
      <c r="J11" s="2"/>
      <c r="K11" s="2"/>
      <c r="L11" s="7">
        <v>20000</v>
      </c>
      <c r="M11" s="2"/>
      <c r="N11" s="2"/>
      <c r="O11" s="2"/>
      <c r="P11" s="2"/>
      <c r="Q11" s="2"/>
      <c r="R11" s="2"/>
      <c r="S11" s="2"/>
      <c r="T11" s="2"/>
      <c r="U11" s="2">
        <v>3000</v>
      </c>
      <c r="V11" s="330"/>
      <c r="W11" s="2"/>
      <c r="X11" s="2">
        <f>45000</f>
        <v>45000</v>
      </c>
      <c r="Y11" s="341">
        <f t="shared" si="0"/>
        <v>119000</v>
      </c>
      <c r="Z11" s="133"/>
    </row>
    <row r="12" ht="14.25" customHeight="1" spans="1:26">
      <c r="A12" s="306" t="s">
        <v>140</v>
      </c>
      <c r="B12" s="46">
        <v>45046</v>
      </c>
      <c r="C12" s="303"/>
      <c r="D12" s="304"/>
      <c r="E12" s="304">
        <f>36650+12000+2500</f>
        <v>51150</v>
      </c>
      <c r="F12" s="303"/>
      <c r="G12" s="304">
        <f>13000+118660+16500+114800+98600+436000+402500+15000+1500+14000+636950+5000</f>
        <v>1872510</v>
      </c>
      <c r="H12" s="303"/>
      <c r="I12" s="303">
        <v>37000</v>
      </c>
      <c r="J12" s="303">
        <v>2000</v>
      </c>
      <c r="K12" s="303"/>
      <c r="L12" s="304"/>
      <c r="M12" s="303"/>
      <c r="N12" s="303"/>
      <c r="O12" s="303"/>
      <c r="P12" s="303"/>
      <c r="Q12" s="303"/>
      <c r="R12" s="303"/>
      <c r="S12" s="303">
        <f>12000+4500+4500</f>
        <v>21000</v>
      </c>
      <c r="T12" s="303"/>
      <c r="U12" s="303">
        <f>2000+10000+3000+3000</f>
        <v>18000</v>
      </c>
      <c r="V12" s="331"/>
      <c r="W12" s="303">
        <f>4000+500+1500</f>
        <v>6000</v>
      </c>
      <c r="X12" s="303"/>
      <c r="Y12" s="342">
        <f t="shared" si="0"/>
        <v>2007660</v>
      </c>
      <c r="Z12" s="133"/>
    </row>
    <row r="13" ht="14.25" customHeight="1" spans="1:26">
      <c r="A13" s="307" t="s">
        <v>146</v>
      </c>
      <c r="B13" s="308"/>
      <c r="C13" s="309">
        <f t="shared" ref="C13:Y13" si="1">SUM(C3:C12)</f>
        <v>250000</v>
      </c>
      <c r="D13" s="309">
        <f t="shared" si="1"/>
        <v>166200</v>
      </c>
      <c r="E13" s="309">
        <f t="shared" si="1"/>
        <v>525790</v>
      </c>
      <c r="F13" s="309">
        <f t="shared" si="1"/>
        <v>0</v>
      </c>
      <c r="G13" s="309">
        <f t="shared" si="1"/>
        <v>2201110</v>
      </c>
      <c r="H13" s="309">
        <f t="shared" si="1"/>
        <v>11100</v>
      </c>
      <c r="I13" s="309">
        <f t="shared" si="1"/>
        <v>37000</v>
      </c>
      <c r="J13" s="309">
        <f t="shared" si="1"/>
        <v>32250</v>
      </c>
      <c r="K13" s="309">
        <f t="shared" si="1"/>
        <v>0</v>
      </c>
      <c r="L13" s="309">
        <f t="shared" si="1"/>
        <v>20000</v>
      </c>
      <c r="M13" s="309">
        <f t="shared" si="1"/>
        <v>40000</v>
      </c>
      <c r="N13" s="309">
        <f t="shared" si="1"/>
        <v>0</v>
      </c>
      <c r="O13" s="309">
        <f t="shared" si="1"/>
        <v>0</v>
      </c>
      <c r="P13" s="309">
        <f t="shared" si="1"/>
        <v>0</v>
      </c>
      <c r="Q13" s="309">
        <f t="shared" si="1"/>
        <v>0</v>
      </c>
      <c r="R13" s="309">
        <f t="shared" si="1"/>
        <v>105100</v>
      </c>
      <c r="S13" s="309">
        <f t="shared" si="1"/>
        <v>41600</v>
      </c>
      <c r="T13" s="309">
        <f t="shared" si="1"/>
        <v>4800</v>
      </c>
      <c r="U13" s="309">
        <f t="shared" si="1"/>
        <v>40600</v>
      </c>
      <c r="V13" s="309">
        <f t="shared" si="1"/>
        <v>45000</v>
      </c>
      <c r="W13" s="309">
        <f t="shared" si="1"/>
        <v>39000</v>
      </c>
      <c r="X13" s="309">
        <f t="shared" si="1"/>
        <v>75000</v>
      </c>
      <c r="Y13" s="344">
        <f t="shared" si="1"/>
        <v>3344550</v>
      </c>
      <c r="Z13" s="133"/>
    </row>
    <row r="14" ht="13.5" customHeight="1" spans="1:26">
      <c r="A14" s="310" t="s">
        <v>40</v>
      </c>
      <c r="B14" s="311"/>
      <c r="C14" s="312">
        <f t="shared" ref="C14:X14" si="2">C13/$Y$13</f>
        <v>0.07474847139376</v>
      </c>
      <c r="D14" s="312">
        <f t="shared" si="2"/>
        <v>0.0496927837825716</v>
      </c>
      <c r="E14" s="312">
        <f t="shared" si="2"/>
        <v>0.1572079950965</v>
      </c>
      <c r="F14" s="312">
        <f t="shared" si="2"/>
        <v>0</v>
      </c>
      <c r="G14" s="312">
        <f t="shared" si="2"/>
        <v>0.658118431478076</v>
      </c>
      <c r="H14" s="312">
        <f t="shared" si="2"/>
        <v>0.00331883212988294</v>
      </c>
      <c r="I14" s="312">
        <f t="shared" si="2"/>
        <v>0.0110627737662765</v>
      </c>
      <c r="J14" s="312">
        <f t="shared" si="2"/>
        <v>0.00964255280979504</v>
      </c>
      <c r="K14" s="312">
        <f t="shared" si="2"/>
        <v>0</v>
      </c>
      <c r="L14" s="312">
        <f t="shared" si="2"/>
        <v>0.0059798777115008</v>
      </c>
      <c r="M14" s="312">
        <f t="shared" si="2"/>
        <v>0.0119597554230016</v>
      </c>
      <c r="N14" s="312">
        <f t="shared" si="2"/>
        <v>0</v>
      </c>
      <c r="O14" s="312">
        <f t="shared" si="2"/>
        <v>0</v>
      </c>
      <c r="P14" s="312">
        <f t="shared" si="2"/>
        <v>0</v>
      </c>
      <c r="Q14" s="312">
        <f t="shared" si="2"/>
        <v>0</v>
      </c>
      <c r="R14" s="312">
        <f t="shared" si="2"/>
        <v>0.0314242573739367</v>
      </c>
      <c r="S14" s="312">
        <f t="shared" si="2"/>
        <v>0.0124381456399217</v>
      </c>
      <c r="T14" s="312">
        <f t="shared" si="2"/>
        <v>0.00143517065076019</v>
      </c>
      <c r="U14" s="312">
        <f t="shared" si="2"/>
        <v>0.0121391517543466</v>
      </c>
      <c r="V14" s="312">
        <f t="shared" si="2"/>
        <v>0.0134547248508768</v>
      </c>
      <c r="W14" s="312">
        <f t="shared" si="2"/>
        <v>0.0116607615374266</v>
      </c>
      <c r="X14" s="312">
        <f t="shared" si="2"/>
        <v>0.022424541418128</v>
      </c>
      <c r="Y14" s="345"/>
      <c r="Z14" s="133"/>
    </row>
    <row r="15" ht="15.75" customHeight="1" spans="1:26">
      <c r="A15" s="313">
        <v>655.957</v>
      </c>
      <c r="B15" s="313"/>
      <c r="C15" s="314"/>
      <c r="D15" s="314"/>
      <c r="E15" s="315" t="s">
        <v>147</v>
      </c>
      <c r="F15" s="314"/>
      <c r="G15" s="314"/>
      <c r="H15" s="314"/>
      <c r="I15" s="314"/>
      <c r="J15" s="314"/>
      <c r="K15" s="314"/>
      <c r="L15" s="314"/>
      <c r="M15" s="314"/>
      <c r="N15" s="314"/>
      <c r="O15" s="314"/>
      <c r="P15" s="314"/>
      <c r="Q15" s="314"/>
      <c r="R15" s="314"/>
      <c r="S15" s="314"/>
      <c r="T15" s="314"/>
      <c r="U15" s="333"/>
      <c r="V15" s="314"/>
      <c r="W15" s="314"/>
      <c r="X15" s="314"/>
      <c r="Y15" s="346"/>
      <c r="Z15" s="133"/>
    </row>
    <row r="16" ht="14.25" customHeight="1" spans="1:26">
      <c r="A16" s="30" t="s">
        <v>141</v>
      </c>
      <c r="B16" s="31">
        <v>45047</v>
      </c>
      <c r="C16" s="194"/>
      <c r="D16" s="194">
        <v>0</v>
      </c>
      <c r="E16" s="194">
        <v>111150</v>
      </c>
      <c r="F16" s="194"/>
      <c r="G16" s="33">
        <f>63500-'AVRIL 23'!B24</f>
        <v>470250</v>
      </c>
      <c r="H16" s="194"/>
      <c r="I16" s="194"/>
      <c r="J16" s="194"/>
      <c r="K16" s="194"/>
      <c r="L16" s="194"/>
      <c r="M16" s="194"/>
      <c r="N16" s="194"/>
      <c r="O16" s="194"/>
      <c r="P16" s="194"/>
      <c r="Q16" s="194"/>
      <c r="R16" s="194"/>
      <c r="S16" s="194"/>
      <c r="T16" s="194"/>
      <c r="U16" s="194">
        <v>3000</v>
      </c>
      <c r="V16" s="194"/>
      <c r="W16" s="194"/>
      <c r="X16" s="194"/>
      <c r="Y16" s="347">
        <f t="shared" ref="Y16:Y41" si="3">SUM(C16:X16)</f>
        <v>584400</v>
      </c>
      <c r="Z16" s="133"/>
    </row>
    <row r="17" ht="13.5" customHeight="1" spans="1:26">
      <c r="A17" s="34" t="s">
        <v>142</v>
      </c>
      <c r="B17" s="35">
        <v>45048</v>
      </c>
      <c r="C17" s="2"/>
      <c r="D17" s="2"/>
      <c r="E17" s="2">
        <v>22300</v>
      </c>
      <c r="F17" s="2"/>
      <c r="G17" s="2"/>
      <c r="H17" s="2"/>
      <c r="I17" s="2"/>
      <c r="J17" s="2"/>
      <c r="K17" s="2"/>
      <c r="L17" s="2"/>
      <c r="M17" s="2"/>
      <c r="N17" s="2"/>
      <c r="O17" s="2"/>
      <c r="P17" s="2"/>
      <c r="Q17" s="2"/>
      <c r="R17" s="2">
        <v>1500</v>
      </c>
      <c r="S17" s="2">
        <f>2100</f>
        <v>2100</v>
      </c>
      <c r="T17" s="2">
        <v>1600</v>
      </c>
      <c r="U17" s="2">
        <v>4000</v>
      </c>
      <c r="V17" s="2"/>
      <c r="W17" s="2">
        <v>2000</v>
      </c>
      <c r="X17" s="2">
        <v>97000</v>
      </c>
      <c r="Y17" s="348">
        <f t="shared" si="3"/>
        <v>130500</v>
      </c>
      <c r="Z17" s="133"/>
    </row>
    <row r="18" ht="13.5" customHeight="1" spans="1:26">
      <c r="A18" s="34" t="s">
        <v>143</v>
      </c>
      <c r="B18" s="35">
        <v>45049</v>
      </c>
      <c r="C18" s="2"/>
      <c r="D18" s="2">
        <v>5000</v>
      </c>
      <c r="E18" s="2">
        <v>58150</v>
      </c>
      <c r="F18" s="2"/>
      <c r="G18" s="2">
        <v>2000</v>
      </c>
      <c r="H18" s="2"/>
      <c r="I18" s="2"/>
      <c r="J18" s="2"/>
      <c r="K18" s="2">
        <v>1000</v>
      </c>
      <c r="L18" s="2"/>
      <c r="M18" s="2"/>
      <c r="N18" s="2"/>
      <c r="O18" s="2"/>
      <c r="P18" s="2"/>
      <c r="Q18" s="2"/>
      <c r="R18" s="2">
        <v>1550</v>
      </c>
      <c r="S18" s="2"/>
      <c r="T18" s="2"/>
      <c r="U18" s="2">
        <v>3950</v>
      </c>
      <c r="V18" s="2"/>
      <c r="W18" s="2"/>
      <c r="X18" s="2">
        <v>7000</v>
      </c>
      <c r="Y18" s="348">
        <f t="shared" si="3"/>
        <v>78650</v>
      </c>
      <c r="Z18" s="133"/>
    </row>
    <row r="19" ht="13.5" customHeight="1" spans="1:26">
      <c r="A19" s="34" t="s">
        <v>144</v>
      </c>
      <c r="B19" s="35">
        <v>45050</v>
      </c>
      <c r="C19" s="2"/>
      <c r="D19" s="2"/>
      <c r="E19" s="2">
        <v>50350</v>
      </c>
      <c r="F19" s="2"/>
      <c r="G19" s="2">
        <v>69200</v>
      </c>
      <c r="H19" s="2"/>
      <c r="I19" s="2"/>
      <c r="J19" s="2"/>
      <c r="K19" s="2">
        <v>1000</v>
      </c>
      <c r="L19" s="2"/>
      <c r="M19" s="2"/>
      <c r="N19" s="2"/>
      <c r="O19" s="2"/>
      <c r="P19" s="2"/>
      <c r="Q19" s="2"/>
      <c r="R19" s="2">
        <v>200</v>
      </c>
      <c r="S19" s="2"/>
      <c r="T19" s="2"/>
      <c r="U19" s="2">
        <v>3000</v>
      </c>
      <c r="V19" s="2"/>
      <c r="W19" s="2">
        <v>95000</v>
      </c>
      <c r="X19" s="2"/>
      <c r="Y19" s="348">
        <f t="shared" si="3"/>
        <v>218750</v>
      </c>
      <c r="Z19" s="133"/>
    </row>
    <row r="20" ht="13.5" customHeight="1" spans="1:26">
      <c r="A20" s="34" t="s">
        <v>145</v>
      </c>
      <c r="B20" s="35">
        <v>45051</v>
      </c>
      <c r="C20" s="2"/>
      <c r="D20" s="2"/>
      <c r="E20" s="2">
        <v>47800</v>
      </c>
      <c r="F20" s="2"/>
      <c r="G20" s="2">
        <v>12500</v>
      </c>
      <c r="H20" s="2"/>
      <c r="I20" s="2"/>
      <c r="J20" s="2">
        <v>12500</v>
      </c>
      <c r="K20" s="2">
        <v>1000</v>
      </c>
      <c r="L20" s="2"/>
      <c r="M20" s="2"/>
      <c r="N20" s="2">
        <v>150000</v>
      </c>
      <c r="O20" s="2"/>
      <c r="P20" s="2"/>
      <c r="Q20" s="2"/>
      <c r="R20" s="2"/>
      <c r="S20" s="2">
        <v>1500</v>
      </c>
      <c r="T20" s="2">
        <v>3000</v>
      </c>
      <c r="U20" s="2">
        <v>2000</v>
      </c>
      <c r="V20" s="2"/>
      <c r="W20" s="2"/>
      <c r="X20" s="2"/>
      <c r="Y20" s="348">
        <f t="shared" si="3"/>
        <v>230300</v>
      </c>
      <c r="Z20" s="133"/>
    </row>
    <row r="21" ht="13.5" customHeight="1" spans="1:26">
      <c r="A21" s="34" t="s">
        <v>139</v>
      </c>
      <c r="B21" s="35">
        <v>45052</v>
      </c>
      <c r="C21" s="2"/>
      <c r="D21" s="2">
        <v>1500</v>
      </c>
      <c r="E21" s="2">
        <v>72800</v>
      </c>
      <c r="F21" s="2"/>
      <c r="G21" s="2">
        <v>11200</v>
      </c>
      <c r="H21" s="2"/>
      <c r="I21" s="2"/>
      <c r="J21" s="2">
        <v>1000</v>
      </c>
      <c r="K21" s="2">
        <v>1000</v>
      </c>
      <c r="L21" s="2"/>
      <c r="M21" s="2"/>
      <c r="N21" s="2"/>
      <c r="O21" s="2"/>
      <c r="P21" s="2"/>
      <c r="Q21" s="2"/>
      <c r="R21" s="2"/>
      <c r="S21" s="2"/>
      <c r="T21" s="2"/>
      <c r="U21" s="2">
        <v>4000</v>
      </c>
      <c r="V21" s="2"/>
      <c r="W21" s="2"/>
      <c r="X21" s="2"/>
      <c r="Y21" s="348">
        <f t="shared" si="3"/>
        <v>91500</v>
      </c>
      <c r="Z21" s="133"/>
    </row>
    <row r="22" ht="14.25" customHeight="1" spans="1:26">
      <c r="A22" s="39" t="s">
        <v>140</v>
      </c>
      <c r="B22" s="40">
        <v>45053</v>
      </c>
      <c r="C22" s="303"/>
      <c r="D22" s="303">
        <v>5000</v>
      </c>
      <c r="E22" s="303">
        <v>65800</v>
      </c>
      <c r="F22" s="303"/>
      <c r="G22" s="303">
        <v>75600</v>
      </c>
      <c r="H22" s="303"/>
      <c r="I22" s="303">
        <v>15000</v>
      </c>
      <c r="J22" s="303"/>
      <c r="K22" s="303">
        <v>1000</v>
      </c>
      <c r="L22" s="303"/>
      <c r="M22" s="303"/>
      <c r="N22" s="303"/>
      <c r="O22" s="303"/>
      <c r="P22" s="303"/>
      <c r="Q22" s="303"/>
      <c r="R22" s="303"/>
      <c r="S22" s="303">
        <v>100</v>
      </c>
      <c r="T22" s="303"/>
      <c r="U22" s="303">
        <v>2000</v>
      </c>
      <c r="V22" s="303"/>
      <c r="W22" s="303"/>
      <c r="X22" s="303"/>
      <c r="Y22" s="349">
        <f t="shared" si="3"/>
        <v>164500</v>
      </c>
      <c r="Z22" s="133"/>
    </row>
    <row r="23" ht="14.25" customHeight="1" spans="1:26">
      <c r="A23" s="30" t="s">
        <v>141</v>
      </c>
      <c r="B23" s="31">
        <v>45054</v>
      </c>
      <c r="C23" s="194"/>
      <c r="D23" s="194">
        <v>31000</v>
      </c>
      <c r="E23" s="194">
        <v>77750</v>
      </c>
      <c r="F23" s="194"/>
      <c r="G23" s="194">
        <v>9000</v>
      </c>
      <c r="H23" s="194"/>
      <c r="I23" s="194"/>
      <c r="J23" s="194"/>
      <c r="K23" s="194">
        <v>1000</v>
      </c>
      <c r="L23" s="194"/>
      <c r="M23" s="194"/>
      <c r="N23" s="194"/>
      <c r="O23" s="194"/>
      <c r="P23" s="194"/>
      <c r="Q23" s="194"/>
      <c r="R23" s="194"/>
      <c r="S23" s="194">
        <v>8400</v>
      </c>
      <c r="T23" s="194"/>
      <c r="U23" s="194">
        <v>3000</v>
      </c>
      <c r="V23" s="194"/>
      <c r="W23" s="194"/>
      <c r="X23" s="194">
        <f>25000+20000+2500+9500</f>
        <v>57000</v>
      </c>
      <c r="Y23" s="347">
        <f t="shared" si="3"/>
        <v>187150</v>
      </c>
      <c r="Z23" s="133"/>
    </row>
    <row r="24" ht="13.5" customHeight="1" spans="1:26">
      <c r="A24" s="34" t="s">
        <v>142</v>
      </c>
      <c r="B24" s="35">
        <v>45055</v>
      </c>
      <c r="C24" s="2"/>
      <c r="D24" s="2"/>
      <c r="E24" s="2">
        <v>48500</v>
      </c>
      <c r="F24" s="2"/>
      <c r="G24" s="2">
        <v>42000</v>
      </c>
      <c r="H24" s="2"/>
      <c r="I24" s="2"/>
      <c r="J24" s="2"/>
      <c r="K24" s="2">
        <v>1000</v>
      </c>
      <c r="L24" s="2"/>
      <c r="M24" s="2"/>
      <c r="N24" s="2"/>
      <c r="O24" s="2"/>
      <c r="P24" s="2"/>
      <c r="Q24" s="2"/>
      <c r="R24" s="2"/>
      <c r="S24" s="2"/>
      <c r="T24" s="2">
        <v>35000</v>
      </c>
      <c r="U24" s="2">
        <v>4000</v>
      </c>
      <c r="V24" s="2"/>
      <c r="W24" s="334">
        <f>(99.11+54.65+27.49+47.56+60.58)*$A$15</f>
        <v>189827.39623</v>
      </c>
      <c r="X24" s="2">
        <v>15000</v>
      </c>
      <c r="Y24" s="350">
        <f t="shared" si="3"/>
        <v>335327.39623</v>
      </c>
      <c r="Z24" s="133"/>
    </row>
    <row r="25" ht="13.5" customHeight="1" spans="1:26">
      <c r="A25" s="34" t="s">
        <v>143</v>
      </c>
      <c r="B25" s="35">
        <v>45056</v>
      </c>
      <c r="C25" s="2"/>
      <c r="D25" s="2"/>
      <c r="E25" s="2">
        <f>2500+22800+14500</f>
        <v>39800</v>
      </c>
      <c r="F25" s="2"/>
      <c r="G25" s="2">
        <f>3800+2000+2000+1000</f>
        <v>8800</v>
      </c>
      <c r="H25" s="2"/>
      <c r="I25" s="2"/>
      <c r="J25" s="2"/>
      <c r="K25" s="2">
        <v>1000</v>
      </c>
      <c r="L25" s="2">
        <v>80000</v>
      </c>
      <c r="M25" s="2"/>
      <c r="N25" s="2"/>
      <c r="O25" s="2"/>
      <c r="P25" s="2"/>
      <c r="Q25" s="2"/>
      <c r="R25" s="2">
        <v>600</v>
      </c>
      <c r="S25" s="2"/>
      <c r="T25" s="2"/>
      <c r="U25" s="2">
        <v>3000</v>
      </c>
      <c r="V25" s="2"/>
      <c r="W25" s="2"/>
      <c r="X25" s="2"/>
      <c r="Y25" s="348">
        <f t="shared" si="3"/>
        <v>133200</v>
      </c>
      <c r="Z25" s="133"/>
    </row>
    <row r="26" ht="13.5" customHeight="1" spans="1:26">
      <c r="A26" s="34" t="s">
        <v>144</v>
      </c>
      <c r="B26" s="35">
        <v>45057</v>
      </c>
      <c r="C26" s="2"/>
      <c r="D26" s="2">
        <v>13000</v>
      </c>
      <c r="E26" s="2">
        <f>66800+3900+17000</f>
        <v>87700</v>
      </c>
      <c r="F26" s="2"/>
      <c r="G26" s="2">
        <f>2000+39000+1000+1000</f>
        <v>43000</v>
      </c>
      <c r="H26" s="2"/>
      <c r="I26" s="2"/>
      <c r="J26" s="2">
        <v>2000</v>
      </c>
      <c r="K26" s="2">
        <v>1000</v>
      </c>
      <c r="L26" s="2"/>
      <c r="M26" s="2"/>
      <c r="N26" s="2"/>
      <c r="O26" s="2"/>
      <c r="P26" s="2"/>
      <c r="Q26" s="2"/>
      <c r="R26" s="2"/>
      <c r="S26" s="2"/>
      <c r="T26" s="2">
        <v>1600</v>
      </c>
      <c r="U26" s="2">
        <v>2000</v>
      </c>
      <c r="V26" s="2"/>
      <c r="W26" s="2">
        <f>500+5500</f>
        <v>6000</v>
      </c>
      <c r="X26" s="2">
        <v>140000</v>
      </c>
      <c r="Y26" s="348">
        <f t="shared" si="3"/>
        <v>296300</v>
      </c>
      <c r="Z26" s="133"/>
    </row>
    <row r="27" ht="13.5" customHeight="1" spans="1:26">
      <c r="A27" s="34" t="s">
        <v>145</v>
      </c>
      <c r="B27" s="35">
        <v>45058</v>
      </c>
      <c r="C27" s="2"/>
      <c r="D27" s="2"/>
      <c r="E27" s="2">
        <f>6000+11550+27000+30000+2700</f>
        <v>77250</v>
      </c>
      <c r="F27" s="2"/>
      <c r="G27" s="2">
        <f>8100+3800+400</f>
        <v>12300</v>
      </c>
      <c r="H27" s="2"/>
      <c r="I27" s="2"/>
      <c r="J27" s="2">
        <v>7000</v>
      </c>
      <c r="K27" s="2">
        <v>1000</v>
      </c>
      <c r="L27" s="2"/>
      <c r="M27" s="2"/>
      <c r="N27" s="2"/>
      <c r="O27" s="2"/>
      <c r="P27" s="2"/>
      <c r="Q27" s="2"/>
      <c r="R27" s="2"/>
      <c r="S27" s="2"/>
      <c r="T27" s="2"/>
      <c r="U27" s="2">
        <v>2600</v>
      </c>
      <c r="V27" s="2"/>
      <c r="W27" s="2"/>
      <c r="X27" s="2"/>
      <c r="Y27" s="348">
        <f t="shared" si="3"/>
        <v>100150</v>
      </c>
      <c r="Z27" s="133"/>
    </row>
    <row r="28" ht="13.5" customHeight="1" spans="1:26">
      <c r="A28" s="34" t="s">
        <v>139</v>
      </c>
      <c r="B28" s="35">
        <v>45059</v>
      </c>
      <c r="C28" s="2"/>
      <c r="D28" s="2"/>
      <c r="E28" s="2">
        <f>8250+20000+22500+21650+7000+6000</f>
        <v>85400</v>
      </c>
      <c r="F28" s="2"/>
      <c r="G28" s="2">
        <f>9500+4000+2000</f>
        <v>15500</v>
      </c>
      <c r="H28" s="2"/>
      <c r="I28" s="2"/>
      <c r="J28" s="2">
        <v>7000</v>
      </c>
      <c r="K28" s="2">
        <v>1000</v>
      </c>
      <c r="L28" s="2"/>
      <c r="M28" s="2"/>
      <c r="N28" s="2"/>
      <c r="O28" s="2"/>
      <c r="P28" s="2"/>
      <c r="Q28" s="2"/>
      <c r="R28" s="2"/>
      <c r="S28" s="2">
        <v>42000</v>
      </c>
      <c r="T28" s="2"/>
      <c r="U28" s="2">
        <f>2350+1500</f>
        <v>3850</v>
      </c>
      <c r="V28" s="2"/>
      <c r="W28" s="2"/>
      <c r="X28" s="2"/>
      <c r="Y28" s="348">
        <f t="shared" si="3"/>
        <v>154750</v>
      </c>
      <c r="Z28" s="133"/>
    </row>
    <row r="29" ht="14.25" customHeight="1" spans="1:26">
      <c r="A29" s="39" t="s">
        <v>140</v>
      </c>
      <c r="B29" s="40">
        <v>45060</v>
      </c>
      <c r="C29" s="303"/>
      <c r="D29" s="303"/>
      <c r="E29" s="303">
        <f>8500+6500+2500+8900+37200+1650+5000+4000+2000</f>
        <v>76250</v>
      </c>
      <c r="F29" s="303"/>
      <c r="G29" s="303">
        <f>16000+3000</f>
        <v>19000</v>
      </c>
      <c r="H29" s="303"/>
      <c r="I29" s="303"/>
      <c r="J29" s="303"/>
      <c r="K29" s="303">
        <v>1000</v>
      </c>
      <c r="L29" s="303"/>
      <c r="M29" s="303"/>
      <c r="N29" s="303"/>
      <c r="O29" s="303"/>
      <c r="P29" s="303"/>
      <c r="Q29" s="303"/>
      <c r="R29" s="303"/>
      <c r="S29" s="303"/>
      <c r="T29" s="303"/>
      <c r="U29" s="303">
        <v>3000</v>
      </c>
      <c r="V29" s="303"/>
      <c r="W29" s="303">
        <f>42000+1250*10</f>
        <v>54500</v>
      </c>
      <c r="X29" s="303">
        <f>8100+4900</f>
        <v>13000</v>
      </c>
      <c r="Y29" s="349">
        <f t="shared" si="3"/>
        <v>166750</v>
      </c>
      <c r="Z29" s="133"/>
    </row>
    <row r="30" ht="14.25" customHeight="1" spans="1:26">
      <c r="A30" s="30" t="s">
        <v>141</v>
      </c>
      <c r="B30" s="31">
        <v>45061</v>
      </c>
      <c r="C30" s="194">
        <v>50000</v>
      </c>
      <c r="D30" s="194">
        <v>46000</v>
      </c>
      <c r="E30" s="194">
        <f>22125+7000+12000+35100+1400+3600+2400+8500+11500</f>
        <v>103625</v>
      </c>
      <c r="F30" s="194"/>
      <c r="G30" s="194">
        <f>3000+172100+570450+210000</f>
        <v>955550</v>
      </c>
      <c r="H30" s="194"/>
      <c r="I30" s="194"/>
      <c r="J30" s="194"/>
      <c r="K30" s="194">
        <v>1000</v>
      </c>
      <c r="L30" s="194"/>
      <c r="M30" s="194"/>
      <c r="N30" s="194">
        <v>150000</v>
      </c>
      <c r="O30" s="194"/>
      <c r="P30" s="194"/>
      <c r="Q30" s="194"/>
      <c r="R30" s="194"/>
      <c r="S30" s="194"/>
      <c r="T30" s="194"/>
      <c r="U30" s="194">
        <v>3000</v>
      </c>
      <c r="V30" s="194"/>
      <c r="W30" s="194"/>
      <c r="X30" s="194">
        <v>50000</v>
      </c>
      <c r="Y30" s="347">
        <f t="shared" si="3"/>
        <v>1359175</v>
      </c>
      <c r="Z30" s="133"/>
    </row>
    <row r="31" ht="13.5" customHeight="1" spans="1:26">
      <c r="A31" s="34" t="s">
        <v>142</v>
      </c>
      <c r="B31" s="35">
        <v>45062</v>
      </c>
      <c r="C31" s="2"/>
      <c r="D31" s="2">
        <v>24000</v>
      </c>
      <c r="E31" s="2">
        <f>17500+49550+21600</f>
        <v>88650</v>
      </c>
      <c r="F31" s="2"/>
      <c r="G31" s="2">
        <f>27000+79200+2000+15000+3000</f>
        <v>126200</v>
      </c>
      <c r="H31" s="2"/>
      <c r="I31" s="2"/>
      <c r="J31" s="2">
        <v>2000</v>
      </c>
      <c r="K31" s="2"/>
      <c r="L31" s="2"/>
      <c r="M31" s="2"/>
      <c r="N31" s="2"/>
      <c r="O31" s="2"/>
      <c r="P31" s="2">
        <v>5000</v>
      </c>
      <c r="Q31" s="2"/>
      <c r="R31" s="2"/>
      <c r="S31" s="2">
        <f>13000+4400</f>
        <v>17400</v>
      </c>
      <c r="T31" s="2"/>
      <c r="U31" s="335"/>
      <c r="V31" s="2"/>
      <c r="W31" s="2"/>
      <c r="X31" s="2">
        <v>50000</v>
      </c>
      <c r="Y31" s="348">
        <f t="shared" si="3"/>
        <v>313250</v>
      </c>
      <c r="Z31" s="133"/>
    </row>
    <row r="32" ht="13.5" customHeight="1" spans="1:26">
      <c r="A32" s="34" t="s">
        <v>143</v>
      </c>
      <c r="B32" s="35">
        <v>45063</v>
      </c>
      <c r="C32" s="2"/>
      <c r="D32" s="2">
        <v>46000</v>
      </c>
      <c r="E32" s="2">
        <f>10500+113825+3000+500</f>
        <v>127825</v>
      </c>
      <c r="F32" s="2"/>
      <c r="G32" s="2">
        <f>39000+19400+1400+500+500+3800</f>
        <v>64600</v>
      </c>
      <c r="H32" s="2"/>
      <c r="I32" s="2"/>
      <c r="J32" s="2">
        <v>10500</v>
      </c>
      <c r="K32" s="2">
        <v>1000</v>
      </c>
      <c r="L32" s="2">
        <v>150000</v>
      </c>
      <c r="M32" s="2"/>
      <c r="N32" s="2"/>
      <c r="O32" s="2"/>
      <c r="P32" s="2"/>
      <c r="Q32" s="316"/>
      <c r="R32" s="316">
        <v>500</v>
      </c>
      <c r="S32" s="2">
        <f>2000+600</f>
        <v>2600</v>
      </c>
      <c r="T32" s="2"/>
      <c r="U32" s="2">
        <v>3500</v>
      </c>
      <c r="V32" s="2"/>
      <c r="W32" s="2"/>
      <c r="X32" s="2"/>
      <c r="Y32" s="348">
        <f t="shared" si="3"/>
        <v>406525</v>
      </c>
      <c r="Z32" s="133"/>
    </row>
    <row r="33" ht="13.5" customHeight="1" spans="1:26">
      <c r="A33" s="34" t="s">
        <v>144</v>
      </c>
      <c r="B33" s="35">
        <v>45064</v>
      </c>
      <c r="C33" s="2"/>
      <c r="D33" s="2"/>
      <c r="E33" s="2">
        <f>10750+53200+12000+1000</f>
        <v>76950</v>
      </c>
      <c r="F33" s="2"/>
      <c r="G33" s="2">
        <f>13000+90000+4000</f>
        <v>107000</v>
      </c>
      <c r="H33" s="2"/>
      <c r="I33" s="2"/>
      <c r="J33" s="2"/>
      <c r="K33" s="2">
        <v>1000</v>
      </c>
      <c r="L33" s="2"/>
      <c r="M33" s="2"/>
      <c r="N33" s="2"/>
      <c r="O33" s="2"/>
      <c r="P33" s="2"/>
      <c r="Q33" s="2"/>
      <c r="R33" s="2"/>
      <c r="S33" s="2"/>
      <c r="T33" s="2"/>
      <c r="U33" s="2">
        <v>3000</v>
      </c>
      <c r="V33" s="2"/>
      <c r="W33" s="2"/>
      <c r="X33" s="2"/>
      <c r="Y33" s="348">
        <f t="shared" si="3"/>
        <v>187950</v>
      </c>
      <c r="Z33" s="133"/>
    </row>
    <row r="34" ht="13.5" customHeight="1" spans="1:26">
      <c r="A34" s="34" t="s">
        <v>145</v>
      </c>
      <c r="B34" s="35">
        <v>45065</v>
      </c>
      <c r="C34" s="2"/>
      <c r="D34" s="2">
        <v>56000</v>
      </c>
      <c r="E34" s="2">
        <f>3600+49000+14100+17250+6250+1000</f>
        <v>91200</v>
      </c>
      <c r="F34" s="2"/>
      <c r="G34" s="2">
        <f>65750+1000+1500+7000</f>
        <v>75250</v>
      </c>
      <c r="H34" s="2"/>
      <c r="I34" s="2"/>
      <c r="J34" s="2"/>
      <c r="K34" s="2"/>
      <c r="L34" s="2"/>
      <c r="M34" s="2"/>
      <c r="N34" s="2"/>
      <c r="O34" s="2"/>
      <c r="P34" s="2">
        <v>55000</v>
      </c>
      <c r="Q34" s="2"/>
      <c r="R34" s="2"/>
      <c r="S34" s="2">
        <v>2000</v>
      </c>
      <c r="T34" s="2">
        <v>1600</v>
      </c>
      <c r="U34" s="2">
        <v>5000</v>
      </c>
      <c r="V34" s="2"/>
      <c r="W34" s="2">
        <v>4000</v>
      </c>
      <c r="X34" s="2">
        <f>10000+60000</f>
        <v>70000</v>
      </c>
      <c r="Y34" s="348">
        <f t="shared" si="3"/>
        <v>360050</v>
      </c>
      <c r="Z34" s="133"/>
    </row>
    <row r="35" ht="13.5" customHeight="1" spans="1:26">
      <c r="A35" s="34" t="s">
        <v>139</v>
      </c>
      <c r="B35" s="35">
        <v>45066</v>
      </c>
      <c r="C35" s="2"/>
      <c r="D35" s="2"/>
      <c r="E35" s="2">
        <f>9050+14400+19000+8500+1000+1000</f>
        <v>52950</v>
      </c>
      <c r="F35" s="2"/>
      <c r="G35" s="2">
        <f>17000+1000</f>
        <v>18000</v>
      </c>
      <c r="H35" s="2"/>
      <c r="I35" s="2"/>
      <c r="J35" s="2">
        <v>4500</v>
      </c>
      <c r="K35" s="2">
        <v>1000</v>
      </c>
      <c r="L35" s="2"/>
      <c r="M35" s="2"/>
      <c r="N35" s="2"/>
      <c r="O35" s="2"/>
      <c r="P35" s="2"/>
      <c r="Q35" s="2"/>
      <c r="R35" s="2">
        <v>1200</v>
      </c>
      <c r="S35" s="2">
        <f>2850+8400+4000</f>
        <v>15250</v>
      </c>
      <c r="T35" s="2"/>
      <c r="U35" s="2">
        <v>4000</v>
      </c>
      <c r="V35" s="2"/>
      <c r="W35" s="2">
        <f>10000</f>
        <v>10000</v>
      </c>
      <c r="X35" s="2">
        <v>19000</v>
      </c>
      <c r="Y35" s="348">
        <f t="shared" si="3"/>
        <v>125900</v>
      </c>
      <c r="Z35" s="133"/>
    </row>
    <row r="36" ht="14.25" customHeight="1" spans="1:26">
      <c r="A36" s="39" t="s">
        <v>140</v>
      </c>
      <c r="B36" s="40">
        <v>45067</v>
      </c>
      <c r="C36" s="303"/>
      <c r="D36" s="303"/>
      <c r="E36" s="303">
        <f>14000+14700+32100+11000+2000</f>
        <v>73800</v>
      </c>
      <c r="F36" s="303"/>
      <c r="G36" s="303">
        <f>19000+91100+27000</f>
        <v>137100</v>
      </c>
      <c r="H36" s="303"/>
      <c r="I36" s="303"/>
      <c r="J36" s="303"/>
      <c r="K36" s="303">
        <v>1000</v>
      </c>
      <c r="L36" s="303"/>
      <c r="M36" s="303"/>
      <c r="N36" s="303"/>
      <c r="O36" s="303"/>
      <c r="P36" s="303"/>
      <c r="Q36" s="303"/>
      <c r="R36" s="303"/>
      <c r="S36" s="303">
        <f>3200+6000+42000</f>
        <v>51200</v>
      </c>
      <c r="T36" s="303"/>
      <c r="U36" s="336">
        <f>2600</f>
        <v>2600</v>
      </c>
      <c r="V36" s="336">
        <f>(180*$A$15)+20000</f>
        <v>138072.26</v>
      </c>
      <c r="W36" s="303"/>
      <c r="X36" s="303"/>
      <c r="Y36" s="351">
        <f t="shared" si="3"/>
        <v>403772.26</v>
      </c>
      <c r="Z36" s="133"/>
    </row>
    <row r="37" ht="14.25" customHeight="1" spans="1:26">
      <c r="A37" s="30" t="s">
        <v>141</v>
      </c>
      <c r="B37" s="31">
        <v>45068</v>
      </c>
      <c r="C37" s="194"/>
      <c r="D37" s="194"/>
      <c r="E37" s="194">
        <f>12800+3400+1300+22500+15900+13500+2700</f>
        <v>72100</v>
      </c>
      <c r="F37" s="194"/>
      <c r="G37" s="194">
        <v>730750</v>
      </c>
      <c r="H37" s="194"/>
      <c r="I37" s="194"/>
      <c r="J37" s="194"/>
      <c r="K37" s="194">
        <v>1000</v>
      </c>
      <c r="L37" s="194"/>
      <c r="M37" s="194"/>
      <c r="N37" s="194"/>
      <c r="O37" s="194"/>
      <c r="P37" s="194"/>
      <c r="Q37" s="194"/>
      <c r="R37" s="194"/>
      <c r="S37" s="194"/>
      <c r="T37" s="194"/>
      <c r="U37" s="194">
        <v>2000</v>
      </c>
      <c r="V37" s="194"/>
      <c r="W37" s="194"/>
      <c r="X37" s="194"/>
      <c r="Y37" s="347">
        <f t="shared" si="3"/>
        <v>805850</v>
      </c>
      <c r="Z37" s="133"/>
    </row>
    <row r="38" ht="13.5" customHeight="1" spans="1:26">
      <c r="A38" s="34" t="s">
        <v>142</v>
      </c>
      <c r="B38" s="35">
        <v>45069</v>
      </c>
      <c r="C38" s="2"/>
      <c r="D38" s="2"/>
      <c r="E38" s="2">
        <f>8500+11700+5000</f>
        <v>25200</v>
      </c>
      <c r="F38" s="2"/>
      <c r="G38" s="2">
        <f>23000</f>
        <v>23000</v>
      </c>
      <c r="H38" s="2"/>
      <c r="I38" s="2"/>
      <c r="J38" s="2">
        <v>10500</v>
      </c>
      <c r="K38" s="2"/>
      <c r="L38" s="2"/>
      <c r="M38" s="2"/>
      <c r="N38" s="2"/>
      <c r="O38" s="2"/>
      <c r="P38" s="2"/>
      <c r="Q38" s="2"/>
      <c r="R38" s="2"/>
      <c r="S38" s="2">
        <v>4300</v>
      </c>
      <c r="T38" s="2"/>
      <c r="U38" s="335"/>
      <c r="V38" s="2"/>
      <c r="W38" s="2"/>
      <c r="X38" s="2"/>
      <c r="Y38" s="348">
        <f t="shared" si="3"/>
        <v>63000</v>
      </c>
      <c r="Z38" s="133"/>
    </row>
    <row r="39" ht="13.5" customHeight="1" spans="1:26">
      <c r="A39" s="34" t="s">
        <v>143</v>
      </c>
      <c r="B39" s="35">
        <v>45070</v>
      </c>
      <c r="C39" s="2"/>
      <c r="D39" s="2">
        <f>46000+2500</f>
        <v>48500</v>
      </c>
      <c r="E39" s="2">
        <f>5000+5000+30000+28500+3750+3000+6600+12000+10000</f>
        <v>103850</v>
      </c>
      <c r="F39" s="2"/>
      <c r="G39" s="2">
        <f>50000+3800</f>
        <v>53800</v>
      </c>
      <c r="H39" s="2"/>
      <c r="I39" s="2"/>
      <c r="J39" s="2"/>
      <c r="K39" s="2">
        <v>1000</v>
      </c>
      <c r="L39" s="2">
        <v>5000</v>
      </c>
      <c r="M39" s="2"/>
      <c r="N39" s="2"/>
      <c r="O39" s="2"/>
      <c r="P39" s="2"/>
      <c r="Q39" s="2"/>
      <c r="R39" s="2"/>
      <c r="S39" s="2">
        <f>4200</f>
        <v>4200</v>
      </c>
      <c r="T39" s="2">
        <f>50000</f>
        <v>50000</v>
      </c>
      <c r="U39" s="2">
        <v>3500</v>
      </c>
      <c r="V39" s="2"/>
      <c r="W39" s="2"/>
      <c r="X39" s="2">
        <f>49000+5000</f>
        <v>54000</v>
      </c>
      <c r="Y39" s="348">
        <f t="shared" si="3"/>
        <v>323850</v>
      </c>
      <c r="Z39" s="133"/>
    </row>
    <row r="40" ht="13.5" customHeight="1" spans="1:26">
      <c r="A40" s="34" t="s">
        <v>144</v>
      </c>
      <c r="B40" s="35">
        <v>45071</v>
      </c>
      <c r="C40" s="2"/>
      <c r="D40" s="2"/>
      <c r="E40" s="2">
        <f>7000+21000+13050+21950+1000</f>
        <v>64000</v>
      </c>
      <c r="F40" s="2"/>
      <c r="G40" s="2">
        <f>14000</f>
        <v>14000</v>
      </c>
      <c r="H40" s="2"/>
      <c r="I40" s="2"/>
      <c r="J40" s="2">
        <v>2000</v>
      </c>
      <c r="K40" s="2"/>
      <c r="L40" s="2"/>
      <c r="M40" s="2"/>
      <c r="N40" s="2"/>
      <c r="O40" s="2"/>
      <c r="P40" s="2"/>
      <c r="Q40" s="2"/>
      <c r="R40" s="2"/>
      <c r="S40" s="2"/>
      <c r="T40" s="2">
        <v>1600</v>
      </c>
      <c r="U40" s="2">
        <v>4000</v>
      </c>
      <c r="V40" s="2"/>
      <c r="W40" s="2">
        <v>42000</v>
      </c>
      <c r="X40" s="2"/>
      <c r="Y40" s="348">
        <f t="shared" si="3"/>
        <v>127600</v>
      </c>
      <c r="Z40" s="133"/>
    </row>
    <row r="41" ht="13.5" customHeight="1" spans="1:26">
      <c r="A41" s="34" t="s">
        <v>145</v>
      </c>
      <c r="B41" s="35">
        <v>45072</v>
      </c>
      <c r="C41" s="2"/>
      <c r="D41" s="2"/>
      <c r="E41" s="2">
        <f>16500+20700+41750+4000+3500+1000</f>
        <v>87450</v>
      </c>
      <c r="F41" s="2"/>
      <c r="G41" s="2">
        <f>5200+4500</f>
        <v>9700</v>
      </c>
      <c r="H41" s="2"/>
      <c r="I41" s="2"/>
      <c r="J41" s="2"/>
      <c r="K41" s="2">
        <v>1000</v>
      </c>
      <c r="L41" s="2"/>
      <c r="M41" s="2"/>
      <c r="N41" s="2">
        <v>20000</v>
      </c>
      <c r="O41" s="2"/>
      <c r="P41" s="2"/>
      <c r="Q41" s="2"/>
      <c r="R41" s="2"/>
      <c r="S41" s="2"/>
      <c r="T41" s="2">
        <v>1500</v>
      </c>
      <c r="U41" s="2">
        <v>3000</v>
      </c>
      <c r="V41" s="2"/>
      <c r="W41" s="2"/>
      <c r="X41" s="2"/>
      <c r="Y41" s="348">
        <f t="shared" si="3"/>
        <v>122650</v>
      </c>
      <c r="Z41" s="133"/>
    </row>
    <row r="42" ht="13.5" customHeight="1" spans="1:26">
      <c r="A42" s="34" t="s">
        <v>139</v>
      </c>
      <c r="B42" s="35">
        <v>45073</v>
      </c>
      <c r="C42" s="2"/>
      <c r="D42" s="2"/>
      <c r="E42" s="2">
        <f>(5400+33750+42000+500)</f>
        <v>81650</v>
      </c>
      <c r="F42" s="2"/>
      <c r="G42" s="316">
        <f>30500+4500+2200</f>
        <v>37200</v>
      </c>
      <c r="H42" s="2"/>
      <c r="I42" s="2"/>
      <c r="J42" s="2"/>
      <c r="K42" s="2"/>
      <c r="L42" s="2"/>
      <c r="M42" s="2"/>
      <c r="N42" s="2"/>
      <c r="O42" s="2"/>
      <c r="P42" s="2"/>
      <c r="Q42" s="2"/>
      <c r="R42" s="2">
        <v>1000</v>
      </c>
      <c r="S42" s="2">
        <f>2000+4200</f>
        <v>6200</v>
      </c>
      <c r="T42" s="2">
        <v>1200</v>
      </c>
      <c r="U42" s="2">
        <v>4000</v>
      </c>
      <c r="V42" s="2"/>
      <c r="W42" s="2"/>
      <c r="X42" s="2">
        <f>5500+40000</f>
        <v>45500</v>
      </c>
      <c r="Y42" s="348">
        <f t="shared" ref="Y42:Y43" si="4">SUM(E42:X42)</f>
        <v>176750</v>
      </c>
      <c r="Z42" s="133"/>
    </row>
    <row r="43" ht="14.25" customHeight="1" spans="1:26">
      <c r="A43" s="39" t="s">
        <v>140</v>
      </c>
      <c r="B43" s="40">
        <v>45074</v>
      </c>
      <c r="C43" s="303"/>
      <c r="D43" s="303">
        <f>46000</f>
        <v>46000</v>
      </c>
      <c r="E43" s="317">
        <f>10000+14000+6750+53450+4500+32400+7500+3500+1000+1000</f>
        <v>134100</v>
      </c>
      <c r="F43" s="303">
        <v>20750</v>
      </c>
      <c r="G43" s="303">
        <f>15000+9000+136450</f>
        <v>160450</v>
      </c>
      <c r="H43" s="303"/>
      <c r="I43" s="303">
        <v>5000</v>
      </c>
      <c r="J43" s="303">
        <v>10500</v>
      </c>
      <c r="K43" s="303">
        <v>1000</v>
      </c>
      <c r="L43" s="303"/>
      <c r="M43" s="303"/>
      <c r="N43" s="303">
        <f>150000</f>
        <v>150000</v>
      </c>
      <c r="O43" s="303"/>
      <c r="P43" s="303"/>
      <c r="Q43" s="303"/>
      <c r="R43" s="303"/>
      <c r="S43" s="303"/>
      <c r="T43" s="303"/>
      <c r="U43" s="303">
        <v>2000</v>
      </c>
      <c r="V43" s="303"/>
      <c r="W43" s="303">
        <f>1300</f>
        <v>1300</v>
      </c>
      <c r="X43" s="303">
        <f>6000+172500</f>
        <v>178500</v>
      </c>
      <c r="Y43" s="349">
        <f t="shared" si="4"/>
        <v>663600</v>
      </c>
      <c r="Z43" s="133"/>
    </row>
    <row r="44" ht="14.25" customHeight="1" spans="1:26">
      <c r="A44" s="30" t="s">
        <v>141</v>
      </c>
      <c r="B44" s="31">
        <v>45075</v>
      </c>
      <c r="C44" s="194"/>
      <c r="D44" s="194"/>
      <c r="E44" s="194">
        <f>16300+10950+1200+44800+22500+4500+1500</f>
        <v>101750</v>
      </c>
      <c r="F44" s="194"/>
      <c r="G44" s="194">
        <f>4050+4500</f>
        <v>8550</v>
      </c>
      <c r="H44" s="194"/>
      <c r="I44" s="194"/>
      <c r="J44" s="194"/>
      <c r="K44" s="194">
        <v>1000</v>
      </c>
      <c r="L44" s="194"/>
      <c r="M44" s="194"/>
      <c r="N44" s="194"/>
      <c r="O44" s="194"/>
      <c r="P44" s="194"/>
      <c r="Q44" s="194"/>
      <c r="R44" s="194"/>
      <c r="S44" s="194">
        <f>12000+5000</f>
        <v>17000</v>
      </c>
      <c r="T44" s="194"/>
      <c r="U44" s="194">
        <v>2500</v>
      </c>
      <c r="V44" s="194"/>
      <c r="W44" s="194"/>
      <c r="X44" s="194">
        <v>5000</v>
      </c>
      <c r="Y44" s="347">
        <f t="shared" ref="Y44:Y46" si="5">SUM(C44:X44)</f>
        <v>135800</v>
      </c>
      <c r="Z44" s="133"/>
    </row>
    <row r="45" ht="13.5" customHeight="1" spans="1:26">
      <c r="A45" s="34" t="s">
        <v>142</v>
      </c>
      <c r="B45" s="35">
        <v>45076</v>
      </c>
      <c r="C45" s="2"/>
      <c r="D45" s="2"/>
      <c r="E45" s="2">
        <f>11500+45200+1500</f>
        <v>58200</v>
      </c>
      <c r="F45" s="2"/>
      <c r="G45" s="2">
        <f>3500+30500</f>
        <v>34000</v>
      </c>
      <c r="H45" s="2"/>
      <c r="I45" s="2"/>
      <c r="J45" s="2"/>
      <c r="K45" s="2"/>
      <c r="L45" s="2"/>
      <c r="M45" s="2"/>
      <c r="N45" s="2"/>
      <c r="O45" s="2"/>
      <c r="P45" s="2"/>
      <c r="Q45" s="2"/>
      <c r="R45" s="2"/>
      <c r="S45" s="2">
        <v>5500</v>
      </c>
      <c r="T45" s="2">
        <v>1600</v>
      </c>
      <c r="U45" s="2">
        <v>750</v>
      </c>
      <c r="V45" s="2"/>
      <c r="W45" s="2">
        <f>11000+400</f>
        <v>11400</v>
      </c>
      <c r="X45" s="2"/>
      <c r="Y45" s="348">
        <f t="shared" si="5"/>
        <v>111450</v>
      </c>
      <c r="Z45" s="133"/>
    </row>
    <row r="46" ht="14.25" customHeight="1" spans="1:26">
      <c r="A46" s="45" t="s">
        <v>143</v>
      </c>
      <c r="B46" s="46">
        <v>45077</v>
      </c>
      <c r="C46" s="303"/>
      <c r="D46" s="303"/>
      <c r="E46" s="303">
        <f>6500+2550+25450+6800+12000+4000+4000</f>
        <v>61300</v>
      </c>
      <c r="F46" s="303">
        <v>21700</v>
      </c>
      <c r="G46" s="303">
        <f>54000</f>
        <v>54000</v>
      </c>
      <c r="H46" s="303"/>
      <c r="I46" s="303"/>
      <c r="J46" s="303"/>
      <c r="K46" s="303">
        <v>1000</v>
      </c>
      <c r="L46" s="303">
        <v>100000</v>
      </c>
      <c r="M46" s="303">
        <f>85150+40000</f>
        <v>125150</v>
      </c>
      <c r="N46" s="303"/>
      <c r="O46" s="303"/>
      <c r="P46" s="303"/>
      <c r="Q46" s="303">
        <v>200000</v>
      </c>
      <c r="R46" s="303">
        <v>96000</v>
      </c>
      <c r="S46" s="303">
        <v>1500</v>
      </c>
      <c r="T46" s="303"/>
      <c r="U46" s="303"/>
      <c r="V46" s="303"/>
      <c r="W46" s="303">
        <f>300000+985000+265000+170000+70000</f>
        <v>1790000</v>
      </c>
      <c r="X46" s="303">
        <f>80000</f>
        <v>80000</v>
      </c>
      <c r="Y46" s="349">
        <f t="shared" si="5"/>
        <v>2530650</v>
      </c>
      <c r="Z46" s="133"/>
    </row>
    <row r="47" ht="14.25" customHeight="1" spans="1:26">
      <c r="A47" s="318" t="s">
        <v>146</v>
      </c>
      <c r="B47" s="308"/>
      <c r="C47" s="309">
        <f t="shared" ref="C47:Y47" si="6">SUM(C16:C46)</f>
        <v>50000</v>
      </c>
      <c r="D47" s="309">
        <f t="shared" si="6"/>
        <v>322000</v>
      </c>
      <c r="E47" s="309">
        <f t="shared" si="6"/>
        <v>2325600</v>
      </c>
      <c r="F47" s="309">
        <f t="shared" si="6"/>
        <v>42450</v>
      </c>
      <c r="G47" s="309">
        <f t="shared" si="6"/>
        <v>3399500</v>
      </c>
      <c r="H47" s="309">
        <f t="shared" si="6"/>
        <v>0</v>
      </c>
      <c r="I47" s="309">
        <f t="shared" si="6"/>
        <v>20000</v>
      </c>
      <c r="J47" s="309">
        <f t="shared" si="6"/>
        <v>69500</v>
      </c>
      <c r="K47" s="309">
        <f t="shared" si="6"/>
        <v>23000</v>
      </c>
      <c r="L47" s="309">
        <f t="shared" si="6"/>
        <v>335000</v>
      </c>
      <c r="M47" s="309">
        <f t="shared" si="6"/>
        <v>125150</v>
      </c>
      <c r="N47" s="309">
        <f t="shared" si="6"/>
        <v>470000</v>
      </c>
      <c r="O47" s="309">
        <f t="shared" si="6"/>
        <v>0</v>
      </c>
      <c r="P47" s="309">
        <f t="shared" si="6"/>
        <v>60000</v>
      </c>
      <c r="Q47" s="309">
        <f t="shared" si="6"/>
        <v>200000</v>
      </c>
      <c r="R47" s="309">
        <f t="shared" si="6"/>
        <v>102550</v>
      </c>
      <c r="S47" s="309">
        <f t="shared" si="6"/>
        <v>181250</v>
      </c>
      <c r="T47" s="309">
        <f t="shared" si="6"/>
        <v>98700</v>
      </c>
      <c r="U47" s="309">
        <f t="shared" si="6"/>
        <v>86250</v>
      </c>
      <c r="V47" s="309">
        <f t="shared" si="6"/>
        <v>138072.26</v>
      </c>
      <c r="W47" s="309">
        <f t="shared" si="6"/>
        <v>2206027.39623</v>
      </c>
      <c r="X47" s="309">
        <f t="shared" si="6"/>
        <v>881000</v>
      </c>
      <c r="Y47" s="344">
        <f t="shared" si="6"/>
        <v>11090049.65623</v>
      </c>
      <c r="Z47" s="133"/>
    </row>
    <row r="48" ht="13.5" customHeight="1" spans="1:26">
      <c r="A48" s="319" t="s">
        <v>40</v>
      </c>
      <c r="B48" s="311"/>
      <c r="C48" s="312">
        <f t="shared" ref="C48:X48" si="7">C47/$Y$47</f>
        <v>0.00450854608860221</v>
      </c>
      <c r="D48" s="312">
        <f t="shared" si="7"/>
        <v>0.0290350368105982</v>
      </c>
      <c r="E48" s="312">
        <f t="shared" si="7"/>
        <v>0.209701495673066</v>
      </c>
      <c r="F48" s="312">
        <f t="shared" si="7"/>
        <v>0.00382775562922327</v>
      </c>
      <c r="G48" s="312">
        <f t="shared" si="7"/>
        <v>0.306536048564064</v>
      </c>
      <c r="H48" s="312">
        <f t="shared" si="7"/>
        <v>0</v>
      </c>
      <c r="I48" s="312">
        <f t="shared" si="7"/>
        <v>0.00180341843544088</v>
      </c>
      <c r="J48" s="312">
        <f t="shared" si="7"/>
        <v>0.00626687906315707</v>
      </c>
      <c r="K48" s="312">
        <f t="shared" si="7"/>
        <v>0.00207393120075701</v>
      </c>
      <c r="L48" s="312">
        <f t="shared" si="7"/>
        <v>0.0302072587936348</v>
      </c>
      <c r="M48" s="312">
        <f t="shared" si="7"/>
        <v>0.0112848908597713</v>
      </c>
      <c r="N48" s="312">
        <f t="shared" si="7"/>
        <v>0.0423803332328607</v>
      </c>
      <c r="O48" s="312">
        <f t="shared" si="7"/>
        <v>0</v>
      </c>
      <c r="P48" s="312">
        <f t="shared" si="7"/>
        <v>0.00541025530632265</v>
      </c>
      <c r="Q48" s="312">
        <f t="shared" si="7"/>
        <v>0.0180341843544088</v>
      </c>
      <c r="R48" s="312">
        <f t="shared" si="7"/>
        <v>0.00924702802772313</v>
      </c>
      <c r="S48" s="312">
        <f t="shared" si="7"/>
        <v>0.016343479571183</v>
      </c>
      <c r="T48" s="312">
        <f t="shared" si="7"/>
        <v>0.00889986997890076</v>
      </c>
      <c r="U48" s="312">
        <f t="shared" si="7"/>
        <v>0.0077772420028388</v>
      </c>
      <c r="V48" s="312">
        <f t="shared" si="7"/>
        <v>0.0124501029553493</v>
      </c>
      <c r="W48" s="312">
        <f t="shared" si="7"/>
        <v>0.198919523772442</v>
      </c>
      <c r="X48" s="312">
        <f t="shared" si="7"/>
        <v>0.0794405820811709</v>
      </c>
      <c r="Y48" s="352"/>
      <c r="Z48" s="133"/>
    </row>
    <row r="49" ht="14.25" customHeight="1" spans="1:26">
      <c r="A49" s="320" t="s">
        <v>148</v>
      </c>
      <c r="B49" s="321"/>
      <c r="C49" s="322">
        <f t="shared" ref="C49:Y49" si="8">IF(C13&gt;0,C47/C13-1,"")</f>
        <v>-0.8</v>
      </c>
      <c r="D49" s="322">
        <f t="shared" si="8"/>
        <v>0.937424789410349</v>
      </c>
      <c r="E49" s="322">
        <f t="shared" si="8"/>
        <v>3.42305863557694</v>
      </c>
      <c r="F49" s="323" t="str">
        <f t="shared" si="8"/>
        <v/>
      </c>
      <c r="G49" s="322">
        <f t="shared" si="8"/>
        <v>0.544448028494714</v>
      </c>
      <c r="H49" s="322">
        <f t="shared" si="8"/>
        <v>-1</v>
      </c>
      <c r="I49" s="322">
        <f t="shared" si="8"/>
        <v>-0.459459459459459</v>
      </c>
      <c r="J49" s="322">
        <f t="shared" si="8"/>
        <v>1.15503875968992</v>
      </c>
      <c r="K49" s="323" t="str">
        <f t="shared" si="8"/>
        <v/>
      </c>
      <c r="L49" s="322">
        <f t="shared" si="8"/>
        <v>15.75</v>
      </c>
      <c r="M49" s="322">
        <f t="shared" si="8"/>
        <v>2.12875</v>
      </c>
      <c r="N49" s="323" t="str">
        <f t="shared" si="8"/>
        <v/>
      </c>
      <c r="O49" s="323" t="str">
        <f t="shared" si="8"/>
        <v/>
      </c>
      <c r="P49" s="323" t="str">
        <f t="shared" si="8"/>
        <v/>
      </c>
      <c r="Q49" s="323" t="str">
        <f t="shared" si="8"/>
        <v/>
      </c>
      <c r="R49" s="322">
        <f t="shared" si="8"/>
        <v>-0.0242626070409134</v>
      </c>
      <c r="S49" s="322">
        <f t="shared" si="8"/>
        <v>3.35697115384615</v>
      </c>
      <c r="T49" s="322">
        <f t="shared" si="8"/>
        <v>19.5625</v>
      </c>
      <c r="U49" s="322">
        <f t="shared" si="8"/>
        <v>1.1243842364532</v>
      </c>
      <c r="V49" s="322">
        <f t="shared" si="8"/>
        <v>2.06827244444444</v>
      </c>
      <c r="W49" s="322">
        <f t="shared" si="8"/>
        <v>55.5648050315385</v>
      </c>
      <c r="X49" s="322">
        <f t="shared" si="8"/>
        <v>10.7466666666667</v>
      </c>
      <c r="Y49" s="353">
        <f t="shared" si="8"/>
        <v>2.31585703793634</v>
      </c>
      <c r="Z49" s="133"/>
    </row>
    <row r="50" ht="15.75" customHeight="1" spans="1:26">
      <c r="A50" s="324"/>
      <c r="B50" s="325"/>
      <c r="C50" s="325"/>
      <c r="D50" s="325"/>
      <c r="E50" s="326" t="s">
        <v>149</v>
      </c>
      <c r="F50" s="325"/>
      <c r="G50" s="325"/>
      <c r="H50" s="325"/>
      <c r="I50" s="325"/>
      <c r="J50" s="325"/>
      <c r="K50" s="325"/>
      <c r="L50" s="325"/>
      <c r="M50" s="325"/>
      <c r="N50" s="325"/>
      <c r="O50" s="325"/>
      <c r="P50" s="325"/>
      <c r="Q50" s="325"/>
      <c r="R50" s="325"/>
      <c r="S50" s="325"/>
      <c r="T50" s="325"/>
      <c r="U50" s="337"/>
      <c r="V50" s="325"/>
      <c r="W50" s="325"/>
      <c r="X50" s="325"/>
      <c r="Y50" s="354"/>
      <c r="Z50" s="133"/>
    </row>
    <row r="51" ht="13.5" customHeight="1" spans="1:26">
      <c r="A51" s="34" t="s">
        <v>144</v>
      </c>
      <c r="B51" s="35">
        <v>45078</v>
      </c>
      <c r="C51" s="2"/>
      <c r="D51" s="2">
        <f>46000</f>
        <v>46000</v>
      </c>
      <c r="E51" s="2">
        <f>43000+12800+7700+39000+15000</f>
        <v>117500</v>
      </c>
      <c r="F51" s="2"/>
      <c r="G51" s="2">
        <f>8500+90500</f>
        <v>99000</v>
      </c>
      <c r="H51" s="2"/>
      <c r="I51" s="2"/>
      <c r="J51" s="2">
        <f>10500</f>
        <v>10500</v>
      </c>
      <c r="K51" s="2">
        <v>1000</v>
      </c>
      <c r="L51" s="2"/>
      <c r="M51" s="2"/>
      <c r="N51" s="2"/>
      <c r="O51" s="2"/>
      <c r="P51" s="2"/>
      <c r="Q51" s="2"/>
      <c r="R51" s="2"/>
      <c r="S51" s="2">
        <f>9000+1000</f>
        <v>10000</v>
      </c>
      <c r="T51" s="2"/>
      <c r="U51" s="2">
        <f>5000</f>
        <v>5000</v>
      </c>
      <c r="V51" s="2"/>
      <c r="W51" s="2"/>
      <c r="X51" s="2"/>
      <c r="Y51" s="348">
        <f t="shared" ref="Y51:Y80" si="9">SUM(C51:X51)</f>
        <v>289000</v>
      </c>
      <c r="Z51" s="133"/>
    </row>
    <row r="52" ht="13.5" customHeight="1" spans="1:26">
      <c r="A52" s="34" t="s">
        <v>145</v>
      </c>
      <c r="B52" s="35">
        <v>45079</v>
      </c>
      <c r="C52" s="2"/>
      <c r="D52" s="2"/>
      <c r="E52" s="2">
        <f>14500+5800+3500+3500</f>
        <v>27300</v>
      </c>
      <c r="F52" s="2"/>
      <c r="G52" s="2">
        <f>4000+2500+2000</f>
        <v>8500</v>
      </c>
      <c r="H52" s="2"/>
      <c r="I52" s="2"/>
      <c r="J52" s="2"/>
      <c r="K52" s="2">
        <v>1000</v>
      </c>
      <c r="L52" s="2"/>
      <c r="M52" s="2"/>
      <c r="N52" s="2"/>
      <c r="O52" s="2"/>
      <c r="P52" s="2"/>
      <c r="Q52" s="2"/>
      <c r="R52" s="2"/>
      <c r="S52" s="2">
        <f>4000</f>
        <v>4000</v>
      </c>
      <c r="T52" s="2"/>
      <c r="U52" s="2">
        <f>2500</f>
        <v>2500</v>
      </c>
      <c r="V52" s="2"/>
      <c r="W52" s="2"/>
      <c r="X52" s="2"/>
      <c r="Y52" s="348">
        <f t="shared" si="9"/>
        <v>43300</v>
      </c>
      <c r="Z52" s="133"/>
    </row>
    <row r="53" ht="13.5" customHeight="1" spans="1:26">
      <c r="A53" s="34" t="s">
        <v>139</v>
      </c>
      <c r="B53" s="35">
        <v>45080</v>
      </c>
      <c r="C53" s="2"/>
      <c r="D53" s="2">
        <v>46000</v>
      </c>
      <c r="E53" s="2">
        <f>30000+26650+28300+16000+23100+5500+1000+1000</f>
        <v>131550</v>
      </c>
      <c r="F53" s="2"/>
      <c r="G53" s="2">
        <f>16500+58500+4000</f>
        <v>79000</v>
      </c>
      <c r="H53" s="2"/>
      <c r="I53" s="2"/>
      <c r="J53" s="2"/>
      <c r="K53" s="2">
        <v>1000</v>
      </c>
      <c r="L53" s="2"/>
      <c r="M53" s="2"/>
      <c r="N53" s="2"/>
      <c r="O53" s="2"/>
      <c r="P53" s="2"/>
      <c r="Q53" s="2"/>
      <c r="R53" s="2"/>
      <c r="S53" s="2">
        <f>12000+1500</f>
        <v>13500</v>
      </c>
      <c r="T53" s="2">
        <f>1500</f>
        <v>1500</v>
      </c>
      <c r="U53" s="2">
        <v>2000</v>
      </c>
      <c r="V53" s="2"/>
      <c r="W53" s="2"/>
      <c r="X53" s="2"/>
      <c r="Y53" s="348">
        <f t="shared" si="9"/>
        <v>274550</v>
      </c>
      <c r="Z53" s="133"/>
    </row>
    <row r="54" ht="14.25" customHeight="1" spans="1:26">
      <c r="A54" s="39" t="s">
        <v>140</v>
      </c>
      <c r="B54" s="40">
        <v>45081</v>
      </c>
      <c r="C54" s="303"/>
      <c r="D54" s="303"/>
      <c r="E54" s="303">
        <f>23000+5100+25250+2000</f>
        <v>55350</v>
      </c>
      <c r="F54" s="303"/>
      <c r="G54" s="303">
        <f>34000+2000+2500</f>
        <v>38500</v>
      </c>
      <c r="H54" s="303">
        <f>241800</f>
        <v>241800</v>
      </c>
      <c r="I54" s="303"/>
      <c r="J54" s="303">
        <f>7000</f>
        <v>7000</v>
      </c>
      <c r="K54" s="303">
        <v>1000</v>
      </c>
      <c r="L54" s="303"/>
      <c r="M54" s="303"/>
      <c r="N54" s="303"/>
      <c r="O54" s="303"/>
      <c r="P54" s="303"/>
      <c r="Q54" s="303"/>
      <c r="R54" s="303"/>
      <c r="S54" s="303"/>
      <c r="T54" s="303"/>
      <c r="U54" s="303"/>
      <c r="V54" s="303"/>
      <c r="W54" s="303">
        <f>1000</f>
        <v>1000</v>
      </c>
      <c r="X54" s="303"/>
      <c r="Y54" s="349">
        <f t="shared" si="9"/>
        <v>344650</v>
      </c>
      <c r="Z54" s="133"/>
    </row>
    <row r="55" ht="14.25" customHeight="1" spans="1:26">
      <c r="A55" s="30" t="s">
        <v>141</v>
      </c>
      <c r="B55" s="31">
        <v>45082</v>
      </c>
      <c r="C55" s="194"/>
      <c r="D55" s="194"/>
      <c r="E55" s="194">
        <f>21400+50325+2800+11000+22500+7200+3000+500</f>
        <v>118725</v>
      </c>
      <c r="F55" s="194"/>
      <c r="G55" s="194">
        <f>1000</f>
        <v>1000</v>
      </c>
      <c r="H55" s="194"/>
      <c r="I55" s="194"/>
      <c r="J55" s="194"/>
      <c r="K55" s="194">
        <v>1000</v>
      </c>
      <c r="L55" s="194"/>
      <c r="M55" s="194"/>
      <c r="N55" s="194"/>
      <c r="O55" s="194"/>
      <c r="P55" s="194"/>
      <c r="Q55" s="194"/>
      <c r="R55" s="194"/>
      <c r="S55" s="194">
        <f>9000</f>
        <v>9000</v>
      </c>
      <c r="T55" s="194"/>
      <c r="U55" s="194">
        <v>3000</v>
      </c>
      <c r="V55" s="194"/>
      <c r="W55" s="194"/>
      <c r="X55" s="194"/>
      <c r="Y55" s="347">
        <f t="shared" si="9"/>
        <v>132725</v>
      </c>
      <c r="Z55" s="133">
        <f>Y55-132725</f>
        <v>0</v>
      </c>
    </row>
    <row r="56" ht="13.5" customHeight="1" spans="1:26">
      <c r="A56" s="34" t="s">
        <v>150</v>
      </c>
      <c r="B56" s="35">
        <v>45083</v>
      </c>
      <c r="C56" s="2"/>
      <c r="D56" s="2">
        <f>46000</f>
        <v>46000</v>
      </c>
      <c r="E56" s="2">
        <f>13500+14000+5500+1500</f>
        <v>34500</v>
      </c>
      <c r="F56" s="2"/>
      <c r="G56" s="2">
        <f>76200+10000+3000</f>
        <v>89200</v>
      </c>
      <c r="H56" s="2"/>
      <c r="I56" s="2"/>
      <c r="J56" s="2"/>
      <c r="K56" s="2"/>
      <c r="L56" s="2"/>
      <c r="M56" s="2"/>
      <c r="N56" s="2"/>
      <c r="O56" s="2">
        <v>9000</v>
      </c>
      <c r="P56" s="2"/>
      <c r="Q56" s="2"/>
      <c r="R56" s="316">
        <v>28000</v>
      </c>
      <c r="S56" s="2">
        <f>2500+950</f>
        <v>3450</v>
      </c>
      <c r="T56" s="2"/>
      <c r="U56" s="2">
        <f>400+800+1000</f>
        <v>2200</v>
      </c>
      <c r="V56" s="2"/>
      <c r="W56" s="2"/>
      <c r="X56" s="2"/>
      <c r="Y56" s="348">
        <f t="shared" si="9"/>
        <v>212350</v>
      </c>
      <c r="Z56" s="133"/>
    </row>
    <row r="57" ht="13.5" customHeight="1" spans="1:26">
      <c r="A57" s="34" t="s">
        <v>143</v>
      </c>
      <c r="B57" s="35">
        <v>45084</v>
      </c>
      <c r="C57" s="2"/>
      <c r="D57" s="2"/>
      <c r="E57" s="2">
        <f>9600+10350+12200+3500</f>
        <v>35650</v>
      </c>
      <c r="F57" s="2"/>
      <c r="G57" s="2">
        <f>6500</f>
        <v>6500</v>
      </c>
      <c r="H57" s="2"/>
      <c r="I57" s="2"/>
      <c r="J57" s="2">
        <f>7000+2000</f>
        <v>9000</v>
      </c>
      <c r="K57" s="2">
        <v>1000</v>
      </c>
      <c r="L57" s="2">
        <v>50000</v>
      </c>
      <c r="M57" s="2"/>
      <c r="N57" s="2">
        <v>150000</v>
      </c>
      <c r="O57" s="2"/>
      <c r="P57" s="2"/>
      <c r="Q57" s="2"/>
      <c r="R57" s="2">
        <v>4700</v>
      </c>
      <c r="S57" s="2">
        <f>2000</f>
        <v>2000</v>
      </c>
      <c r="T57" s="2"/>
      <c r="U57" s="2">
        <v>2000</v>
      </c>
      <c r="V57" s="2"/>
      <c r="W57" s="2"/>
      <c r="X57" s="2"/>
      <c r="Y57" s="348">
        <f t="shared" si="9"/>
        <v>260850</v>
      </c>
      <c r="Z57" s="133"/>
    </row>
    <row r="58" ht="13.5" customHeight="1" spans="1:26">
      <c r="A58" s="34" t="s">
        <v>144</v>
      </c>
      <c r="B58" s="35">
        <v>45085</v>
      </c>
      <c r="C58" s="2"/>
      <c r="D58" s="2"/>
      <c r="E58" s="2">
        <f>12850+2800+10000</f>
        <v>25650</v>
      </c>
      <c r="F58" s="2"/>
      <c r="G58" s="2">
        <f>2500+2000+1000</f>
        <v>5500</v>
      </c>
      <c r="H58" s="2"/>
      <c r="I58" s="2"/>
      <c r="J58" s="2"/>
      <c r="K58" s="2">
        <v>1000</v>
      </c>
      <c r="L58" s="2">
        <v>30000</v>
      </c>
      <c r="M58" s="2"/>
      <c r="N58" s="2"/>
      <c r="O58" s="2"/>
      <c r="P58" s="2">
        <f>35000</f>
        <v>35000</v>
      </c>
      <c r="Q58" s="2"/>
      <c r="R58" s="2"/>
      <c r="S58" s="2">
        <f>12000</f>
        <v>12000</v>
      </c>
      <c r="T58" s="2">
        <f>1600</f>
        <v>1600</v>
      </c>
      <c r="U58" s="2">
        <f>2500</f>
        <v>2500</v>
      </c>
      <c r="V58" s="2"/>
      <c r="W58" s="2"/>
      <c r="X58" s="2">
        <f>10000</f>
        <v>10000</v>
      </c>
      <c r="Y58" s="348">
        <f t="shared" si="9"/>
        <v>123250</v>
      </c>
      <c r="Z58" s="133"/>
    </row>
    <row r="59" ht="13.5" customHeight="1" spans="1:26">
      <c r="A59" s="34" t="s">
        <v>145</v>
      </c>
      <c r="B59" s="35">
        <v>45086</v>
      </c>
      <c r="C59" s="2"/>
      <c r="D59" s="2">
        <f>1600</f>
        <v>1600</v>
      </c>
      <c r="E59" s="2">
        <f>10500+72375+2600+1500+6500+1500+3500</f>
        <v>98475</v>
      </c>
      <c r="F59" s="2"/>
      <c r="G59" s="2">
        <f>40000+1000+4000</f>
        <v>45000</v>
      </c>
      <c r="H59" s="2"/>
      <c r="I59" s="2"/>
      <c r="J59" s="2"/>
      <c r="K59" s="2">
        <v>1000</v>
      </c>
      <c r="L59" s="2"/>
      <c r="M59" s="2"/>
      <c r="N59" s="2"/>
      <c r="O59" s="2"/>
      <c r="P59" s="2"/>
      <c r="Q59" s="2"/>
      <c r="R59" s="2"/>
      <c r="S59" s="2">
        <f>9000</f>
        <v>9000</v>
      </c>
      <c r="T59" s="2"/>
      <c r="U59" s="2">
        <v>2000</v>
      </c>
      <c r="V59" s="2"/>
      <c r="W59" s="334"/>
      <c r="X59" s="2">
        <v>2000</v>
      </c>
      <c r="Y59" s="350">
        <f t="shared" si="9"/>
        <v>159075</v>
      </c>
      <c r="Z59" s="133"/>
    </row>
    <row r="60" ht="13.5" customHeight="1" spans="1:26">
      <c r="A60" s="34" t="s">
        <v>139</v>
      </c>
      <c r="B60" s="35">
        <v>45087</v>
      </c>
      <c r="C60" s="2"/>
      <c r="D60" s="2">
        <v>31000</v>
      </c>
      <c r="E60" s="2">
        <f>10800+10750+10500+5500+1800</f>
        <v>39350</v>
      </c>
      <c r="F60" s="2"/>
      <c r="G60" s="2">
        <f>2200+2500+29400+16500+3000+16000</f>
        <v>69600</v>
      </c>
      <c r="H60" s="2"/>
      <c r="I60" s="2"/>
      <c r="J60" s="2">
        <v>3500</v>
      </c>
      <c r="K60" s="2">
        <v>1000</v>
      </c>
      <c r="L60" s="2"/>
      <c r="M60" s="2"/>
      <c r="N60" s="2"/>
      <c r="O60" s="2"/>
      <c r="P60" s="2">
        <v>5000</v>
      </c>
      <c r="Q60" s="2"/>
      <c r="R60" s="2"/>
      <c r="S60" s="2"/>
      <c r="T60" s="2"/>
      <c r="U60" s="2">
        <f>2000+1100+500</f>
        <v>3600</v>
      </c>
      <c r="V60" s="2">
        <v>10000</v>
      </c>
      <c r="W60" s="2"/>
      <c r="X60" s="2">
        <v>5000</v>
      </c>
      <c r="Y60" s="348">
        <f t="shared" si="9"/>
        <v>168050</v>
      </c>
      <c r="Z60" s="133"/>
    </row>
    <row r="61" ht="14.25" customHeight="1" spans="1:26">
      <c r="A61" s="39" t="s">
        <v>140</v>
      </c>
      <c r="B61" s="40">
        <v>45088</v>
      </c>
      <c r="C61" s="303"/>
      <c r="D61" s="303"/>
      <c r="E61" s="303">
        <f>4000+7650+46200+16000+1000+24500</f>
        <v>99350</v>
      </c>
      <c r="F61" s="303">
        <v>20000</v>
      </c>
      <c r="G61" s="303">
        <f>89000+1000</f>
        <v>90000</v>
      </c>
      <c r="H61" s="303">
        <f>831500</f>
        <v>831500</v>
      </c>
      <c r="I61" s="303"/>
      <c r="J61" s="303"/>
      <c r="K61" s="303">
        <v>1000</v>
      </c>
      <c r="L61" s="303"/>
      <c r="M61" s="303"/>
      <c r="N61" s="303"/>
      <c r="O61" s="303"/>
      <c r="P61" s="303"/>
      <c r="Q61" s="303"/>
      <c r="R61" s="303"/>
      <c r="S61" s="303"/>
      <c r="T61" s="303"/>
      <c r="U61" s="303">
        <f>2000+1000</f>
        <v>3000</v>
      </c>
      <c r="V61" s="303">
        <v>10000</v>
      </c>
      <c r="W61" s="303">
        <f>1000+160000</f>
        <v>161000</v>
      </c>
      <c r="X61" s="303">
        <f>120000+90000</f>
        <v>210000</v>
      </c>
      <c r="Y61" s="349">
        <f t="shared" si="9"/>
        <v>1425850</v>
      </c>
      <c r="Z61" s="133"/>
    </row>
    <row r="62" ht="14.25" customHeight="1" spans="1:26">
      <c r="A62" s="30" t="s">
        <v>141</v>
      </c>
      <c r="B62" s="31">
        <v>45089</v>
      </c>
      <c r="C62" s="194"/>
      <c r="D62" s="194"/>
      <c r="E62" s="194">
        <f>13500+14000+1000+3400+7650+54975+17500+13200+10500+6000+500</f>
        <v>142225</v>
      </c>
      <c r="F62" s="194"/>
      <c r="G62" s="194">
        <f>1800+7500</f>
        <v>9300</v>
      </c>
      <c r="H62" s="194"/>
      <c r="I62" s="194"/>
      <c r="J62" s="194"/>
      <c r="K62" s="194">
        <v>1000</v>
      </c>
      <c r="L62" s="194"/>
      <c r="M62" s="194"/>
      <c r="N62" s="194"/>
      <c r="O62" s="194"/>
      <c r="P62" s="194"/>
      <c r="Q62" s="194"/>
      <c r="R62" s="194"/>
      <c r="S62" s="194">
        <f>9000</f>
        <v>9000</v>
      </c>
      <c r="T62" s="194">
        <f>1600+1600</f>
        <v>3200</v>
      </c>
      <c r="U62" s="194">
        <f>1200+2000+1300</f>
        <v>4500</v>
      </c>
      <c r="V62" s="194"/>
      <c r="W62" s="194">
        <v>1000</v>
      </c>
      <c r="X62" s="194">
        <v>21000</v>
      </c>
      <c r="Y62" s="347">
        <f t="shared" si="9"/>
        <v>191225</v>
      </c>
      <c r="Z62" s="133"/>
    </row>
    <row r="63" ht="13.5" customHeight="1" spans="1:26">
      <c r="A63" s="34" t="s">
        <v>150</v>
      </c>
      <c r="B63" s="35">
        <v>45090</v>
      </c>
      <c r="C63" s="2"/>
      <c r="D63" s="2"/>
      <c r="E63" s="2">
        <f>16500+2000+1000+4000+2000</f>
        <v>25500</v>
      </c>
      <c r="F63" s="2"/>
      <c r="G63" s="2">
        <f>29400</f>
        <v>29400</v>
      </c>
      <c r="H63" s="2"/>
      <c r="I63" s="2"/>
      <c r="J63" s="2">
        <v>10500</v>
      </c>
      <c r="K63" s="2">
        <v>1000</v>
      </c>
      <c r="L63" s="2"/>
      <c r="M63" s="2"/>
      <c r="N63" s="2"/>
      <c r="O63" s="2"/>
      <c r="P63" s="2"/>
      <c r="Q63" s="2"/>
      <c r="R63" s="2">
        <f>8000+1000</f>
        <v>9000</v>
      </c>
      <c r="S63" s="2">
        <f>24000</f>
        <v>24000</v>
      </c>
      <c r="T63" s="2"/>
      <c r="U63" s="2">
        <f>500+1100+1000</f>
        <v>2600</v>
      </c>
      <c r="V63" s="2">
        <v>25000</v>
      </c>
      <c r="W63" s="2"/>
      <c r="X63" s="2"/>
      <c r="Y63" s="348">
        <f t="shared" si="9"/>
        <v>127000</v>
      </c>
      <c r="Z63" s="133"/>
    </row>
    <row r="64" ht="13.5" customHeight="1" spans="1:26">
      <c r="A64" s="34" t="s">
        <v>143</v>
      </c>
      <c r="B64" s="35">
        <v>45091</v>
      </c>
      <c r="C64" s="2"/>
      <c r="D64" s="2">
        <f>31000</f>
        <v>31000</v>
      </c>
      <c r="E64" s="2">
        <f>42800+93275+60750+8000+12500+3000+1000</f>
        <v>221325</v>
      </c>
      <c r="F64" s="2"/>
      <c r="G64" s="2">
        <f>18000</f>
        <v>18000</v>
      </c>
      <c r="H64" s="2"/>
      <c r="I64" s="2"/>
      <c r="J64" s="2"/>
      <c r="K64" s="2"/>
      <c r="L64" s="2">
        <v>80000</v>
      </c>
      <c r="M64" s="2"/>
      <c r="N64" s="2"/>
      <c r="O64" s="2"/>
      <c r="P64" s="2"/>
      <c r="Q64" s="2"/>
      <c r="R64" s="2"/>
      <c r="S64" s="2">
        <f>2000+2000</f>
        <v>4000</v>
      </c>
      <c r="T64" s="2">
        <f>1600</f>
        <v>1600</v>
      </c>
      <c r="U64" s="2">
        <f>2000+2000+1000</f>
        <v>5000</v>
      </c>
      <c r="V64" s="2"/>
      <c r="W64" s="2">
        <v>50000</v>
      </c>
      <c r="X64" s="2"/>
      <c r="Y64" s="348">
        <f t="shared" si="9"/>
        <v>410925</v>
      </c>
      <c r="Z64" s="133"/>
    </row>
    <row r="65" ht="13.5" customHeight="1" spans="1:26">
      <c r="A65" s="34" t="s">
        <v>144</v>
      </c>
      <c r="B65" s="35">
        <v>45092</v>
      </c>
      <c r="C65" s="2"/>
      <c r="D65" s="2"/>
      <c r="E65" s="2">
        <f>37825+15000+12900+19000+1000+1000+500+6000+7300+2500+4000</f>
        <v>107025</v>
      </c>
      <c r="F65" s="2"/>
      <c r="G65" s="2">
        <f>16000+39000+27000+16500+2500+2200</f>
        <v>103200</v>
      </c>
      <c r="H65" s="2"/>
      <c r="I65" s="2"/>
      <c r="J65" s="2">
        <f>10500</f>
        <v>10500</v>
      </c>
      <c r="K65" s="2">
        <v>1000</v>
      </c>
      <c r="L65" s="2">
        <v>30000</v>
      </c>
      <c r="M65" s="2"/>
      <c r="N65" s="2"/>
      <c r="O65" s="2"/>
      <c r="P65" s="2"/>
      <c r="Q65" s="2"/>
      <c r="R65" s="2"/>
      <c r="S65" s="2">
        <v>700</v>
      </c>
      <c r="T65" s="2"/>
      <c r="U65" s="2">
        <f>3500</f>
        <v>3500</v>
      </c>
      <c r="V65" s="2"/>
      <c r="W65" s="2"/>
      <c r="X65" s="2">
        <v>20000</v>
      </c>
      <c r="Y65" s="348">
        <f t="shared" si="9"/>
        <v>275925</v>
      </c>
      <c r="Z65" s="133"/>
    </row>
    <row r="66" ht="13.5" customHeight="1" spans="1:26">
      <c r="A66" s="34" t="s">
        <v>145</v>
      </c>
      <c r="B66" s="35">
        <v>45093</v>
      </c>
      <c r="C66" s="2"/>
      <c r="D66" s="2">
        <f>31000</f>
        <v>31000</v>
      </c>
      <c r="E66" s="2">
        <f>31500+24500+15600+20000+19000+2400+2000+2000+1000</f>
        <v>118000</v>
      </c>
      <c r="F66" s="2"/>
      <c r="G66" s="2">
        <f>14000+4000</f>
        <v>18000</v>
      </c>
      <c r="H66" s="2"/>
      <c r="I66" s="2"/>
      <c r="J66" s="2"/>
      <c r="K66" s="2">
        <v>1000</v>
      </c>
      <c r="L66" s="2"/>
      <c r="M66" s="2"/>
      <c r="N66" s="2"/>
      <c r="O66" s="2"/>
      <c r="P66" s="2"/>
      <c r="Q66" s="2"/>
      <c r="R66" s="2"/>
      <c r="S66" s="2">
        <f>2000+4500+2000</f>
        <v>8500</v>
      </c>
      <c r="T66" s="2"/>
      <c r="U66" s="2">
        <f>2000+600+1000</f>
        <v>3600</v>
      </c>
      <c r="V66" s="2"/>
      <c r="W66" s="2"/>
      <c r="X66" s="2"/>
      <c r="Y66" s="348">
        <f t="shared" si="9"/>
        <v>180100</v>
      </c>
      <c r="Z66" s="133"/>
    </row>
    <row r="67" ht="13.5" customHeight="1" spans="1:26">
      <c r="A67" s="34" t="s">
        <v>139</v>
      </c>
      <c r="B67" s="35">
        <v>45094</v>
      </c>
      <c r="C67" s="2"/>
      <c r="D67" s="2"/>
      <c r="E67" s="2">
        <f>17500+2400+4200+24700+26200+32900+20000+2000+1000</f>
        <v>130900</v>
      </c>
      <c r="F67" s="2"/>
      <c r="G67" s="2">
        <f>16000+8500+79000+29400+2000+54000</f>
        <v>188900</v>
      </c>
      <c r="H67" s="2">
        <f>54000</f>
        <v>54000</v>
      </c>
      <c r="I67" s="2"/>
      <c r="J67" s="2">
        <v>7000</v>
      </c>
      <c r="K67" s="2">
        <v>1000</v>
      </c>
      <c r="L67" s="2"/>
      <c r="M67" s="2"/>
      <c r="N67" s="2">
        <f>200000</f>
        <v>200000</v>
      </c>
      <c r="O67" s="2"/>
      <c r="P67" s="2"/>
      <c r="Q67" s="316"/>
      <c r="R67" s="316"/>
      <c r="S67" s="2">
        <f>12000+4500</f>
        <v>16500</v>
      </c>
      <c r="T67" s="2"/>
      <c r="U67" s="2">
        <f>2000+1000+1100</f>
        <v>4100</v>
      </c>
      <c r="V67" s="2"/>
      <c r="W67" s="2"/>
      <c r="X67" s="2">
        <v>26000</v>
      </c>
      <c r="Y67" s="348">
        <f t="shared" si="9"/>
        <v>628400</v>
      </c>
      <c r="Z67" s="133"/>
    </row>
    <row r="68" ht="14.25" customHeight="1" spans="1:26">
      <c r="A68" s="39" t="s">
        <v>140</v>
      </c>
      <c r="B68" s="40">
        <v>45095</v>
      </c>
      <c r="C68" s="303"/>
      <c r="D68" s="303"/>
      <c r="E68" s="303">
        <f>49400+4000+2000+13000+5300+2000+6000</f>
        <v>81700</v>
      </c>
      <c r="F68" s="303"/>
      <c r="G68" s="303">
        <f>39000+19400+2000+1000+74000</f>
        <v>135400</v>
      </c>
      <c r="H68" s="303">
        <f>848350</f>
        <v>848350</v>
      </c>
      <c r="I68" s="303"/>
      <c r="J68" s="303"/>
      <c r="K68" s="303">
        <v>1000</v>
      </c>
      <c r="L68" s="303"/>
      <c r="M68" s="303"/>
      <c r="N68" s="303"/>
      <c r="O68" s="303"/>
      <c r="P68" s="303"/>
      <c r="Q68" s="303"/>
      <c r="R68" s="303"/>
      <c r="S68" s="303">
        <v>30000</v>
      </c>
      <c r="T68" s="303">
        <f>1600</f>
        <v>1600</v>
      </c>
      <c r="U68" s="303">
        <f>2000+1000+1000+1000</f>
        <v>5000</v>
      </c>
      <c r="V68" s="303"/>
      <c r="W68" s="303">
        <f>350000+70000+10000+247500</f>
        <v>677500</v>
      </c>
      <c r="X68" s="303">
        <f>150000+27500</f>
        <v>177500</v>
      </c>
      <c r="Y68" s="349">
        <f t="shared" si="9"/>
        <v>1958050</v>
      </c>
      <c r="Z68" s="133"/>
    </row>
    <row r="69" ht="14.25" customHeight="1" spans="1:26">
      <c r="A69" s="30" t="s">
        <v>141</v>
      </c>
      <c r="B69" s="31">
        <v>45096</v>
      </c>
      <c r="C69" s="194"/>
      <c r="D69" s="194">
        <v>31000</v>
      </c>
      <c r="E69" s="194">
        <f>9800+16800+3400+38625+23000+1000+1000</f>
        <v>93625</v>
      </c>
      <c r="F69" s="194"/>
      <c r="G69" s="194">
        <f>16500+54000</f>
        <v>70500</v>
      </c>
      <c r="H69" s="194"/>
      <c r="I69" s="194"/>
      <c r="J69" s="194"/>
      <c r="K69" s="194"/>
      <c r="L69" s="194"/>
      <c r="M69" s="194"/>
      <c r="N69" s="194"/>
      <c r="O69" s="194">
        <v>3000</v>
      </c>
      <c r="P69" s="194"/>
      <c r="Q69" s="194"/>
      <c r="R69" s="194"/>
      <c r="S69" s="194"/>
      <c r="T69" s="194"/>
      <c r="U69" s="194">
        <v>3000</v>
      </c>
      <c r="V69" s="194"/>
      <c r="W69" s="194"/>
      <c r="X69" s="194"/>
      <c r="Y69" s="347">
        <f t="shared" si="9"/>
        <v>201125</v>
      </c>
      <c r="Z69" s="133"/>
    </row>
    <row r="70" ht="13.5" customHeight="1" spans="1:26">
      <c r="A70" s="34" t="s">
        <v>142</v>
      </c>
      <c r="B70" s="35">
        <v>45097</v>
      </c>
      <c r="C70" s="2"/>
      <c r="D70" s="2"/>
      <c r="E70" s="2">
        <f>3900+3500+13800</f>
        <v>21200</v>
      </c>
      <c r="F70" s="2"/>
      <c r="G70" s="2">
        <v>4700</v>
      </c>
      <c r="H70" s="2"/>
      <c r="I70" s="2"/>
      <c r="J70" s="2">
        <v>10500</v>
      </c>
      <c r="K70" s="2"/>
      <c r="L70" s="2"/>
      <c r="M70" s="2"/>
      <c r="N70" s="2"/>
      <c r="O70" s="2"/>
      <c r="P70" s="2">
        <f>55000</f>
        <v>55000</v>
      </c>
      <c r="Q70" s="2"/>
      <c r="R70" s="2">
        <v>400</v>
      </c>
      <c r="S70" s="2"/>
      <c r="T70" s="2">
        <f>1600+1600</f>
        <v>3200</v>
      </c>
      <c r="U70" s="2">
        <v>2300</v>
      </c>
      <c r="V70" s="2"/>
      <c r="W70" s="2"/>
      <c r="X70" s="2"/>
      <c r="Y70" s="348">
        <f t="shared" si="9"/>
        <v>97300</v>
      </c>
      <c r="Z70" s="133"/>
    </row>
    <row r="71" ht="13.5" customHeight="1" spans="1:26">
      <c r="A71" s="34" t="s">
        <v>143</v>
      </c>
      <c r="B71" s="35">
        <v>45098</v>
      </c>
      <c r="C71" s="2"/>
      <c r="D71" s="2"/>
      <c r="E71" s="2">
        <f>14300+12000+1000+7200+6200+22500+3000</f>
        <v>66200</v>
      </c>
      <c r="F71" s="2"/>
      <c r="G71" s="2">
        <f>22000+500+1000+5550+29400</f>
        <v>58450</v>
      </c>
      <c r="H71" s="2"/>
      <c r="I71" s="2"/>
      <c r="J71" s="2"/>
      <c r="K71" s="2">
        <v>1000</v>
      </c>
      <c r="L71" s="2">
        <v>50000</v>
      </c>
      <c r="M71" s="2"/>
      <c r="N71" s="2"/>
      <c r="O71" s="2"/>
      <c r="P71" s="2"/>
      <c r="Q71" s="2"/>
      <c r="R71" s="2"/>
      <c r="S71" s="2">
        <f>4500</f>
        <v>4500</v>
      </c>
      <c r="T71" s="2"/>
      <c r="U71" s="2">
        <f>1500+2000+1000+1100</f>
        <v>5600</v>
      </c>
      <c r="V71" s="2"/>
      <c r="W71" s="2"/>
      <c r="X71" s="2"/>
      <c r="Y71" s="348">
        <f t="shared" si="9"/>
        <v>185750</v>
      </c>
      <c r="Z71" s="133"/>
    </row>
    <row r="72" ht="13.5" customHeight="1" spans="1:26">
      <c r="A72" s="34" t="s">
        <v>144</v>
      </c>
      <c r="B72" s="35">
        <v>45099</v>
      </c>
      <c r="C72" s="2"/>
      <c r="D72" s="2">
        <v>31000</v>
      </c>
      <c r="E72" s="2">
        <f>8100+46350+4400+14700+34700+22000</f>
        <v>130250</v>
      </c>
      <c r="F72" s="2"/>
      <c r="G72" s="2">
        <f>39000+1000+500+500+200</f>
        <v>41200</v>
      </c>
      <c r="H72" s="2"/>
      <c r="I72" s="2"/>
      <c r="J72" s="2">
        <v>10500</v>
      </c>
      <c r="K72" s="2">
        <v>500</v>
      </c>
      <c r="L72" s="2">
        <v>30000</v>
      </c>
      <c r="M72" s="2"/>
      <c r="N72" s="2"/>
      <c r="O72" s="2"/>
      <c r="P72" s="2"/>
      <c r="Q72" s="2"/>
      <c r="R72" s="2"/>
      <c r="S72" s="2">
        <f>250+2000</f>
        <v>2250</v>
      </c>
      <c r="T72" s="2"/>
      <c r="U72" s="2">
        <v>2000</v>
      </c>
      <c r="V72" s="316"/>
      <c r="W72" s="2"/>
      <c r="X72" s="2"/>
      <c r="Y72" s="348">
        <f t="shared" si="9"/>
        <v>247700</v>
      </c>
      <c r="Z72" s="133"/>
    </row>
    <row r="73" ht="13.5" customHeight="1" spans="1:26">
      <c r="A73" s="34" t="s">
        <v>145</v>
      </c>
      <c r="B73" s="35">
        <v>45100</v>
      </c>
      <c r="C73" s="2"/>
      <c r="D73" s="2"/>
      <c r="E73" s="2">
        <f>21500+26950+5000+9500+500+1000+2000</f>
        <v>66450</v>
      </c>
      <c r="F73" s="2"/>
      <c r="G73" s="2">
        <f>300+2500+2200+1000+500+200</f>
        <v>6700</v>
      </c>
      <c r="H73" s="2"/>
      <c r="I73" s="2"/>
      <c r="J73" s="2"/>
      <c r="K73" s="2">
        <v>1000</v>
      </c>
      <c r="L73" s="2"/>
      <c r="M73" s="2"/>
      <c r="N73" s="2"/>
      <c r="O73" s="2"/>
      <c r="P73" s="2"/>
      <c r="Q73" s="2"/>
      <c r="R73" s="2">
        <f>1200+5000</f>
        <v>6200</v>
      </c>
      <c r="S73" s="2">
        <f>4500+1500</f>
        <v>6000</v>
      </c>
      <c r="T73" s="2">
        <v>1600</v>
      </c>
      <c r="U73" s="2"/>
      <c r="V73" s="2"/>
      <c r="W73" s="2"/>
      <c r="X73" s="2">
        <f>170000</f>
        <v>170000</v>
      </c>
      <c r="Y73" s="348">
        <f t="shared" si="9"/>
        <v>257950</v>
      </c>
      <c r="Z73" s="133"/>
    </row>
    <row r="74" ht="13.5" customHeight="1" spans="1:26">
      <c r="A74" s="34" t="s">
        <v>139</v>
      </c>
      <c r="B74" s="35">
        <v>45101</v>
      </c>
      <c r="C74" s="2"/>
      <c r="D74" s="2"/>
      <c r="E74" s="2">
        <f>33300+10500+16600+22500+7500+1000+600</f>
        <v>92000</v>
      </c>
      <c r="F74" s="2"/>
      <c r="G74" s="2">
        <f>21000+14500+14000+1000+500+200+500+1000+800</f>
        <v>53500</v>
      </c>
      <c r="H74" s="2"/>
      <c r="I74" s="2"/>
      <c r="J74" s="2">
        <v>10500</v>
      </c>
      <c r="K74" s="2">
        <v>1000</v>
      </c>
      <c r="L74" s="2"/>
      <c r="M74" s="2"/>
      <c r="N74" s="2"/>
      <c r="O74" s="2"/>
      <c r="P74" s="2"/>
      <c r="Q74" s="2"/>
      <c r="R74" s="2"/>
      <c r="S74" s="2">
        <f>1000+4500</f>
        <v>5500</v>
      </c>
      <c r="T74" s="2"/>
      <c r="U74" s="2">
        <v>2000</v>
      </c>
      <c r="V74" s="2"/>
      <c r="W74" s="2"/>
      <c r="X74" s="2"/>
      <c r="Y74" s="348">
        <f t="shared" si="9"/>
        <v>164500</v>
      </c>
      <c r="Z74" s="133"/>
    </row>
    <row r="75" ht="14.25" customHeight="1" spans="1:26">
      <c r="A75" s="39" t="s">
        <v>140</v>
      </c>
      <c r="B75" s="40">
        <v>45102</v>
      </c>
      <c r="C75" s="303"/>
      <c r="D75" s="303">
        <f>31000</f>
        <v>31000</v>
      </c>
      <c r="E75" s="303">
        <f>17000+15000+600+24500+2500+2500+33650+14000+9150+5700</f>
        <v>124600</v>
      </c>
      <c r="F75" s="303"/>
      <c r="G75" s="303">
        <f>21000+39000+29400+4000+17000</f>
        <v>110400</v>
      </c>
      <c r="H75" s="304">
        <f>1300500</f>
        <v>1300500</v>
      </c>
      <c r="I75" s="303"/>
      <c r="J75" s="303"/>
      <c r="K75" s="303">
        <v>1000</v>
      </c>
      <c r="L75" s="303"/>
      <c r="M75" s="303"/>
      <c r="N75" s="303"/>
      <c r="O75" s="303"/>
      <c r="P75" s="303"/>
      <c r="Q75" s="303"/>
      <c r="R75" s="303"/>
      <c r="S75" s="303"/>
      <c r="T75" s="303"/>
      <c r="U75" s="303">
        <v>2000</v>
      </c>
      <c r="V75" s="303"/>
      <c r="W75" s="303"/>
      <c r="X75" s="303"/>
      <c r="Y75" s="349">
        <f t="shared" si="9"/>
        <v>1569500</v>
      </c>
      <c r="Z75" s="133"/>
    </row>
    <row r="76" ht="14.25" customHeight="1" spans="1:26">
      <c r="A76" s="30" t="s">
        <v>141</v>
      </c>
      <c r="B76" s="31">
        <v>45103</v>
      </c>
      <c r="C76" s="194"/>
      <c r="D76" s="194">
        <v>15000</v>
      </c>
      <c r="E76" s="194">
        <f>19500+1600+12000+26525+2000+1500</f>
        <v>63125</v>
      </c>
      <c r="F76" s="194"/>
      <c r="G76" s="194">
        <f>90000</f>
        <v>90000</v>
      </c>
      <c r="H76" s="194"/>
      <c r="I76" s="194"/>
      <c r="J76" s="194"/>
      <c r="K76" s="194"/>
      <c r="L76" s="194"/>
      <c r="M76" s="194"/>
      <c r="N76" s="194"/>
      <c r="O76" s="194"/>
      <c r="P76" s="194"/>
      <c r="Q76" s="194"/>
      <c r="R76" s="194"/>
      <c r="S76" s="194">
        <f>2000+9000+2000</f>
        <v>13000</v>
      </c>
      <c r="T76" s="194">
        <f>1600+1600</f>
        <v>3200</v>
      </c>
      <c r="U76" s="194">
        <f>10000+2000</f>
        <v>12000</v>
      </c>
      <c r="V76" s="194"/>
      <c r="W76" s="194"/>
      <c r="X76" s="194">
        <v>65000</v>
      </c>
      <c r="Y76" s="347">
        <f t="shared" si="9"/>
        <v>261325</v>
      </c>
      <c r="Z76" s="133"/>
    </row>
    <row r="77" ht="13.5" customHeight="1" spans="1:26">
      <c r="A77" s="34" t="s">
        <v>142</v>
      </c>
      <c r="B77" s="35">
        <v>45104</v>
      </c>
      <c r="C77" s="2"/>
      <c r="D77" s="2"/>
      <c r="E77" s="2">
        <f>14000+17725+1700</f>
        <v>33425</v>
      </c>
      <c r="F77" s="2"/>
      <c r="G77" s="316">
        <v>158000</v>
      </c>
      <c r="H77" s="2"/>
      <c r="I77" s="2"/>
      <c r="J77" s="2"/>
      <c r="K77" s="2"/>
      <c r="L77" s="2"/>
      <c r="M77" s="2"/>
      <c r="N77" s="2"/>
      <c r="O77" s="2"/>
      <c r="P77" s="2"/>
      <c r="Q77" s="2"/>
      <c r="R77" s="2"/>
      <c r="S77" s="2"/>
      <c r="T77" s="2"/>
      <c r="U77" s="2"/>
      <c r="V77" s="2"/>
      <c r="W77" s="2"/>
      <c r="X77" s="2"/>
      <c r="Y77" s="348">
        <f t="shared" si="9"/>
        <v>191425</v>
      </c>
      <c r="Z77" s="133"/>
    </row>
    <row r="78" ht="13.5" customHeight="1" spans="1:26">
      <c r="A78" s="34" t="s">
        <v>143</v>
      </c>
      <c r="B78" s="35">
        <v>45105</v>
      </c>
      <c r="C78" s="2"/>
      <c r="D78" s="2">
        <v>31000</v>
      </c>
      <c r="E78" s="2">
        <f>25200+51650+8500</f>
        <v>85350</v>
      </c>
      <c r="F78" s="2"/>
      <c r="G78" s="2">
        <f>4000+29400+1000+1000+1000+500+500+2500+2200</f>
        <v>42100</v>
      </c>
      <c r="H78" s="2"/>
      <c r="I78" s="2"/>
      <c r="J78" s="2">
        <v>10500</v>
      </c>
      <c r="K78" s="2">
        <v>1000</v>
      </c>
      <c r="L78" s="2">
        <f>100000+5000</f>
        <v>105000</v>
      </c>
      <c r="M78" s="2"/>
      <c r="N78" s="2"/>
      <c r="O78" s="2"/>
      <c r="P78" s="2"/>
      <c r="Q78" s="2"/>
      <c r="R78" s="2"/>
      <c r="S78" s="2"/>
      <c r="T78" s="2"/>
      <c r="U78" s="2">
        <f>2000+2000+1500</f>
        <v>5500</v>
      </c>
      <c r="V78" s="2">
        <v>50000</v>
      </c>
      <c r="W78" s="2"/>
      <c r="X78" s="2"/>
      <c r="Y78" s="348">
        <f t="shared" si="9"/>
        <v>330450</v>
      </c>
      <c r="Z78" s="133">
        <f>Y78-273950</f>
        <v>56500</v>
      </c>
    </row>
    <row r="79" ht="13.5" customHeight="1" spans="1:26">
      <c r="A79" s="34" t="s">
        <v>144</v>
      </c>
      <c r="B79" s="35">
        <v>45106</v>
      </c>
      <c r="C79" s="2"/>
      <c r="D79" s="2"/>
      <c r="E79" s="2">
        <f>12500+4150+43500+3450</f>
        <v>63600</v>
      </c>
      <c r="F79" s="2"/>
      <c r="G79" s="2">
        <f>7600+9700+8500+500+500+1000+1000+500+1000+1000+3800</f>
        <v>35100</v>
      </c>
      <c r="H79" s="2"/>
      <c r="I79" s="2"/>
      <c r="J79" s="2">
        <v>2000</v>
      </c>
      <c r="K79" s="2">
        <v>1000</v>
      </c>
      <c r="L79" s="2">
        <v>30000</v>
      </c>
      <c r="M79" s="2"/>
      <c r="N79" s="2"/>
      <c r="O79" s="2"/>
      <c r="P79" s="2"/>
      <c r="Q79" s="2"/>
      <c r="R79" s="2"/>
      <c r="S79" s="2">
        <v>1000</v>
      </c>
      <c r="T79" s="2">
        <f>1600</f>
        <v>1600</v>
      </c>
      <c r="U79" s="2"/>
      <c r="V79" s="2"/>
      <c r="W79" s="2">
        <v>90000</v>
      </c>
      <c r="X79" s="2">
        <f>57000+23000</f>
        <v>80000</v>
      </c>
      <c r="Y79" s="348">
        <f t="shared" si="9"/>
        <v>304300</v>
      </c>
      <c r="Z79" s="133">
        <f>Y79-214300</f>
        <v>90000</v>
      </c>
    </row>
    <row r="80" ht="14.25" customHeight="1" spans="1:26">
      <c r="A80" s="306" t="s">
        <v>145</v>
      </c>
      <c r="B80" s="46">
        <v>45107</v>
      </c>
      <c r="C80" s="303"/>
      <c r="D80" s="303">
        <v>46000</v>
      </c>
      <c r="E80" s="303">
        <f>17000+5950+41050+2000+1000+2000</f>
        <v>69000</v>
      </c>
      <c r="F80" s="303"/>
      <c r="G80" s="303">
        <f>14500+39000+17000+18000+1000+1000+1000+500+500+1000+25000+150000</f>
        <v>268500</v>
      </c>
      <c r="H80" s="303">
        <v>54000</v>
      </c>
      <c r="I80" s="303"/>
      <c r="J80" s="303">
        <v>8750</v>
      </c>
      <c r="K80" s="303">
        <v>1000</v>
      </c>
      <c r="L80" s="303">
        <v>75000</v>
      </c>
      <c r="M80" s="303"/>
      <c r="N80" s="303">
        <v>200000</v>
      </c>
      <c r="O80" s="303"/>
      <c r="P80" s="303"/>
      <c r="Q80" s="303">
        <v>200000</v>
      </c>
      <c r="R80" s="303"/>
      <c r="S80" s="303">
        <f>9000+2000+2000</f>
        <v>13000</v>
      </c>
      <c r="T80" s="303"/>
      <c r="U80" s="303"/>
      <c r="V80" s="303">
        <v>25000</v>
      </c>
      <c r="W80" s="303">
        <v>200000</v>
      </c>
      <c r="X80" s="303">
        <v>5000</v>
      </c>
      <c r="Y80" s="349">
        <f t="shared" si="9"/>
        <v>1165250</v>
      </c>
      <c r="Z80" s="133"/>
    </row>
    <row r="81" ht="14.25" customHeight="1" spans="1:26">
      <c r="A81" s="318" t="s">
        <v>146</v>
      </c>
      <c r="B81" s="308"/>
      <c r="C81" s="309">
        <f t="shared" ref="C81:Y81" si="10">SUM(C51:C80)</f>
        <v>0</v>
      </c>
      <c r="D81" s="309">
        <f t="shared" si="10"/>
        <v>417600</v>
      </c>
      <c r="E81" s="309">
        <f t="shared" si="10"/>
        <v>2518900</v>
      </c>
      <c r="F81" s="309">
        <f t="shared" si="10"/>
        <v>20000</v>
      </c>
      <c r="G81" s="309">
        <f t="shared" si="10"/>
        <v>1973150</v>
      </c>
      <c r="H81" s="309">
        <f t="shared" si="10"/>
        <v>3330150</v>
      </c>
      <c r="I81" s="309">
        <f t="shared" si="10"/>
        <v>0</v>
      </c>
      <c r="J81" s="309">
        <f t="shared" si="10"/>
        <v>110750</v>
      </c>
      <c r="K81" s="309">
        <f t="shared" si="10"/>
        <v>23500</v>
      </c>
      <c r="L81" s="309">
        <f t="shared" si="10"/>
        <v>480000</v>
      </c>
      <c r="M81" s="309">
        <f t="shared" si="10"/>
        <v>0</v>
      </c>
      <c r="N81" s="309">
        <f t="shared" si="10"/>
        <v>550000</v>
      </c>
      <c r="O81" s="309">
        <f t="shared" si="10"/>
        <v>12000</v>
      </c>
      <c r="P81" s="309">
        <f t="shared" si="10"/>
        <v>95000</v>
      </c>
      <c r="Q81" s="309">
        <f t="shared" si="10"/>
        <v>200000</v>
      </c>
      <c r="R81" s="309">
        <f t="shared" si="10"/>
        <v>48300</v>
      </c>
      <c r="S81" s="309">
        <f t="shared" si="10"/>
        <v>200900</v>
      </c>
      <c r="T81" s="309">
        <f t="shared" si="10"/>
        <v>19100</v>
      </c>
      <c r="U81" s="309">
        <f t="shared" si="10"/>
        <v>90500</v>
      </c>
      <c r="V81" s="309">
        <f t="shared" si="10"/>
        <v>120000</v>
      </c>
      <c r="W81" s="309">
        <f t="shared" si="10"/>
        <v>1180500</v>
      </c>
      <c r="X81" s="309">
        <f t="shared" si="10"/>
        <v>791500</v>
      </c>
      <c r="Y81" s="344">
        <f t="shared" si="10"/>
        <v>12181850</v>
      </c>
      <c r="Z81" s="133"/>
    </row>
    <row r="82" ht="13.5" customHeight="1" spans="1:26">
      <c r="A82" s="319" t="s">
        <v>40</v>
      </c>
      <c r="B82" s="311"/>
      <c r="C82" s="312">
        <f t="shared" ref="C82:X82" si="11">C81/$Y$81</f>
        <v>0</v>
      </c>
      <c r="D82" s="312">
        <f t="shared" si="11"/>
        <v>0.0342805074762864</v>
      </c>
      <c r="E82" s="312">
        <f t="shared" si="11"/>
        <v>0.206774833050809</v>
      </c>
      <c r="F82" s="312">
        <f t="shared" si="11"/>
        <v>0.00164178675652713</v>
      </c>
      <c r="G82" s="312">
        <f t="shared" si="11"/>
        <v>0.161974576932075</v>
      </c>
      <c r="H82" s="312">
        <f t="shared" si="11"/>
        <v>0.273369808362441</v>
      </c>
      <c r="I82" s="312">
        <f t="shared" si="11"/>
        <v>0</v>
      </c>
      <c r="J82" s="312">
        <f t="shared" si="11"/>
        <v>0.00909139416426897</v>
      </c>
      <c r="K82" s="312">
        <f t="shared" si="11"/>
        <v>0.00192909943891938</v>
      </c>
      <c r="L82" s="312">
        <f t="shared" si="11"/>
        <v>0.0394028821566511</v>
      </c>
      <c r="M82" s="312">
        <f t="shared" si="11"/>
        <v>0</v>
      </c>
      <c r="N82" s="312">
        <f t="shared" si="11"/>
        <v>0.045149135804496</v>
      </c>
      <c r="O82" s="312">
        <f t="shared" si="11"/>
        <v>0.000985072053916277</v>
      </c>
      <c r="P82" s="312">
        <f t="shared" si="11"/>
        <v>0.00779848709350386</v>
      </c>
      <c r="Q82" s="312">
        <f t="shared" si="11"/>
        <v>0.0164178675652713</v>
      </c>
      <c r="R82" s="312">
        <f t="shared" si="11"/>
        <v>0.00396491501701302</v>
      </c>
      <c r="S82" s="312">
        <f t="shared" si="11"/>
        <v>0.016491747969315</v>
      </c>
      <c r="T82" s="312">
        <f t="shared" si="11"/>
        <v>0.00156790635248341</v>
      </c>
      <c r="U82" s="312">
        <f t="shared" si="11"/>
        <v>0.00742908507328526</v>
      </c>
      <c r="V82" s="312">
        <f t="shared" si="11"/>
        <v>0.00985072053916277</v>
      </c>
      <c r="W82" s="312">
        <f t="shared" si="11"/>
        <v>0.0969064633040138</v>
      </c>
      <c r="X82" s="312">
        <f t="shared" si="11"/>
        <v>0.0649737108895611</v>
      </c>
      <c r="Y82" s="352"/>
      <c r="Z82" s="133"/>
    </row>
    <row r="83" ht="14.25" customHeight="1" spans="1:26">
      <c r="A83" s="320" t="s">
        <v>148</v>
      </c>
      <c r="B83" s="321"/>
      <c r="C83" s="322">
        <f t="shared" ref="C83:Y83" si="12">IF(C47&gt;0,C81/C47-1,"")</f>
        <v>-1</v>
      </c>
      <c r="D83" s="322">
        <f t="shared" si="12"/>
        <v>0.296894409937888</v>
      </c>
      <c r="E83" s="322">
        <f t="shared" si="12"/>
        <v>0.0831183350533196</v>
      </c>
      <c r="F83" s="322">
        <f t="shared" si="12"/>
        <v>-0.528857479387515</v>
      </c>
      <c r="G83" s="322">
        <f t="shared" si="12"/>
        <v>-0.419576408295338</v>
      </c>
      <c r="H83" s="323" t="str">
        <f t="shared" si="12"/>
        <v/>
      </c>
      <c r="I83" s="322">
        <f t="shared" si="12"/>
        <v>-1</v>
      </c>
      <c r="J83" s="322">
        <f t="shared" si="12"/>
        <v>0.593525179856115</v>
      </c>
      <c r="K83" s="322">
        <f t="shared" si="12"/>
        <v>0.0217391304347827</v>
      </c>
      <c r="L83" s="322">
        <f t="shared" si="12"/>
        <v>0.432835820895522</v>
      </c>
      <c r="M83" s="322">
        <f t="shared" si="12"/>
        <v>-1</v>
      </c>
      <c r="N83" s="322">
        <f t="shared" si="12"/>
        <v>0.170212765957447</v>
      </c>
      <c r="O83" s="323" t="str">
        <f t="shared" si="12"/>
        <v/>
      </c>
      <c r="P83" s="322">
        <f t="shared" si="12"/>
        <v>0.583333333333333</v>
      </c>
      <c r="Q83" s="322">
        <f t="shared" si="12"/>
        <v>0</v>
      </c>
      <c r="R83" s="322">
        <f t="shared" si="12"/>
        <v>-0.52901023890785</v>
      </c>
      <c r="S83" s="322">
        <f t="shared" si="12"/>
        <v>0.108413793103448</v>
      </c>
      <c r="T83" s="322">
        <f t="shared" si="12"/>
        <v>-0.806484295845998</v>
      </c>
      <c r="U83" s="322">
        <f t="shared" si="12"/>
        <v>0.0492753623188407</v>
      </c>
      <c r="V83" s="322">
        <f t="shared" si="12"/>
        <v>-0.130889868826656</v>
      </c>
      <c r="W83" s="322">
        <f t="shared" si="12"/>
        <v>-0.464875186039203</v>
      </c>
      <c r="X83" s="322">
        <f t="shared" si="12"/>
        <v>-0.101589103291714</v>
      </c>
      <c r="Y83" s="353">
        <f t="shared" si="12"/>
        <v>0.0984486433887757</v>
      </c>
      <c r="Z83" s="133"/>
    </row>
    <row r="84" ht="15.75" customHeight="1" spans="1:26">
      <c r="A84" s="355"/>
      <c r="B84" s="355"/>
      <c r="C84" s="325"/>
      <c r="D84" s="325"/>
      <c r="E84" s="326" t="s">
        <v>151</v>
      </c>
      <c r="F84" s="325"/>
      <c r="G84" s="325"/>
      <c r="H84" s="325"/>
      <c r="I84" s="325"/>
      <c r="J84" s="325"/>
      <c r="K84" s="325"/>
      <c r="L84" s="325"/>
      <c r="M84" s="325"/>
      <c r="N84" s="325"/>
      <c r="O84" s="325"/>
      <c r="P84" s="325"/>
      <c r="Q84" s="325"/>
      <c r="R84" s="325"/>
      <c r="S84" s="325"/>
      <c r="T84" s="325"/>
      <c r="U84" s="337"/>
      <c r="V84" s="325"/>
      <c r="W84" s="325"/>
      <c r="X84" s="325"/>
      <c r="Y84" s="354"/>
      <c r="Z84" s="133"/>
    </row>
    <row r="85" ht="13.5" customHeight="1" spans="1:26">
      <c r="A85" s="34" t="s">
        <v>139</v>
      </c>
      <c r="B85" s="35">
        <v>45108</v>
      </c>
      <c r="C85" s="2"/>
      <c r="D85" s="2"/>
      <c r="E85" s="2">
        <f>12500+75600+22150+15600+15000+19400+19350+6000+24500+2000+2000+5000</f>
        <v>219100</v>
      </c>
      <c r="F85" s="2"/>
      <c r="G85" s="2">
        <f>8500+21000+14800</f>
        <v>44300</v>
      </c>
      <c r="H85" s="2"/>
      <c r="I85" s="2"/>
      <c r="J85" s="2">
        <v>5250</v>
      </c>
      <c r="K85" s="2">
        <v>1000</v>
      </c>
      <c r="L85" s="2"/>
      <c r="M85" s="2"/>
      <c r="N85" s="2"/>
      <c r="O85" s="2"/>
      <c r="P85" s="2"/>
      <c r="Q85" s="2"/>
      <c r="R85" s="2"/>
      <c r="S85" s="2">
        <v>4000</v>
      </c>
      <c r="T85" s="2">
        <v>1600</v>
      </c>
      <c r="U85" s="2">
        <v>1500</v>
      </c>
      <c r="V85" s="2"/>
      <c r="W85" s="2"/>
      <c r="X85" s="2">
        <f>30000+5000</f>
        <v>35000</v>
      </c>
      <c r="Y85" s="348">
        <f t="shared" ref="Y85:Y115" si="13">SUM(C85:X85)</f>
        <v>311750</v>
      </c>
      <c r="Z85" s="133"/>
    </row>
    <row r="86" ht="14.25" customHeight="1" spans="1:26">
      <c r="A86" s="39" t="s">
        <v>140</v>
      </c>
      <c r="B86" s="40">
        <v>45109</v>
      </c>
      <c r="C86" s="303"/>
      <c r="D86" s="303"/>
      <c r="E86" s="303">
        <f>3450+12000+3600+2600+18500+4000+6800</f>
        <v>50950</v>
      </c>
      <c r="F86" s="303"/>
      <c r="G86" s="303">
        <f>39000+29400+500+500+500+1000+1000+1000+1000</f>
        <v>73900</v>
      </c>
      <c r="H86" s="303">
        <v>1515750</v>
      </c>
      <c r="I86" s="303"/>
      <c r="J86" s="303"/>
      <c r="K86" s="303">
        <v>1000</v>
      </c>
      <c r="L86" s="303"/>
      <c r="M86" s="303"/>
      <c r="N86" s="303"/>
      <c r="O86" s="303"/>
      <c r="P86" s="303"/>
      <c r="Q86" s="303"/>
      <c r="R86" s="303"/>
      <c r="S86" s="303"/>
      <c r="T86" s="303"/>
      <c r="U86" s="303"/>
      <c r="V86" s="303"/>
      <c r="W86" s="303"/>
      <c r="X86" s="303"/>
      <c r="Y86" s="349">
        <f t="shared" si="13"/>
        <v>1641600</v>
      </c>
      <c r="Z86" s="133"/>
    </row>
    <row r="87" ht="14.25" customHeight="1" spans="1:26">
      <c r="A87" s="30" t="s">
        <v>141</v>
      </c>
      <c r="B87" s="31">
        <v>45110</v>
      </c>
      <c r="C87" s="194"/>
      <c r="D87" s="194">
        <v>46000</v>
      </c>
      <c r="E87" s="194">
        <f>13550+2600+5400+27000+8000+9600+13000</f>
        <v>79150</v>
      </c>
      <c r="F87" s="194"/>
      <c r="G87" s="194">
        <f>19400+500+1000+1000+1000+500+500+500</f>
        <v>24400</v>
      </c>
      <c r="H87" s="194"/>
      <c r="I87" s="194"/>
      <c r="J87" s="194">
        <v>2000</v>
      </c>
      <c r="K87" s="194">
        <v>1000</v>
      </c>
      <c r="L87" s="194"/>
      <c r="M87" s="194"/>
      <c r="N87" s="194"/>
      <c r="O87" s="194"/>
      <c r="P87" s="194"/>
      <c r="Q87" s="194"/>
      <c r="R87" s="194">
        <v>500</v>
      </c>
      <c r="S87" s="194">
        <v>9000</v>
      </c>
      <c r="T87" s="194">
        <f>1600+1600</f>
        <v>3200</v>
      </c>
      <c r="U87" s="194"/>
      <c r="V87" s="194">
        <v>10000</v>
      </c>
      <c r="W87" s="194"/>
      <c r="X87" s="194">
        <v>80000</v>
      </c>
      <c r="Y87" s="347">
        <f t="shared" si="13"/>
        <v>255250</v>
      </c>
      <c r="Z87" s="133"/>
    </row>
    <row r="88" ht="13.5" customHeight="1" spans="1:26">
      <c r="A88" s="34" t="s">
        <v>142</v>
      </c>
      <c r="B88" s="35">
        <v>45111</v>
      </c>
      <c r="C88" s="2"/>
      <c r="D88" s="2"/>
      <c r="E88" s="2">
        <f>6500+4500+17300</f>
        <v>28300</v>
      </c>
      <c r="F88" s="2"/>
      <c r="G88" s="2">
        <f>1000+1000+500+500+1000+500+1000</f>
        <v>5500</v>
      </c>
      <c r="H88" s="2"/>
      <c r="I88" s="2"/>
      <c r="J88" s="2">
        <v>8750</v>
      </c>
      <c r="K88" s="2"/>
      <c r="L88" s="2"/>
      <c r="M88" s="2"/>
      <c r="N88" s="2"/>
      <c r="O88" s="2"/>
      <c r="P88" s="2"/>
      <c r="Q88" s="2"/>
      <c r="R88" s="2"/>
      <c r="S88" s="2"/>
      <c r="T88" s="2">
        <v>36000</v>
      </c>
      <c r="U88" s="2"/>
      <c r="V88" s="2"/>
      <c r="W88" s="2">
        <v>1000</v>
      </c>
      <c r="X88" s="2">
        <f>15000+20000</f>
        <v>35000</v>
      </c>
      <c r="Y88" s="348">
        <f t="shared" si="13"/>
        <v>114550</v>
      </c>
      <c r="Z88" s="133"/>
    </row>
    <row r="89" ht="13.5" customHeight="1" spans="1:26">
      <c r="A89" s="34" t="s">
        <v>143</v>
      </c>
      <c r="B89" s="35">
        <v>45112</v>
      </c>
      <c r="C89" s="2"/>
      <c r="D89" s="2"/>
      <c r="E89" s="2">
        <f>22500+11500+3100+8300+17300+16900</f>
        <v>79600</v>
      </c>
      <c r="F89" s="2">
        <v>21000</v>
      </c>
      <c r="G89" s="2">
        <f>17500+65000+22500+2500+2200</f>
        <v>109700</v>
      </c>
      <c r="H89" s="2"/>
      <c r="I89" s="2"/>
      <c r="J89" s="2"/>
      <c r="K89" s="2">
        <v>1000</v>
      </c>
      <c r="L89" s="2">
        <f>80000+10000</f>
        <v>90000</v>
      </c>
      <c r="M89" s="2"/>
      <c r="N89" s="2"/>
      <c r="O89" s="2"/>
      <c r="P89" s="2"/>
      <c r="Q89" s="2"/>
      <c r="R89" s="2"/>
      <c r="S89" s="2">
        <v>2000</v>
      </c>
      <c r="T89" s="2">
        <v>1600</v>
      </c>
      <c r="U89" s="2"/>
      <c r="V89" s="2">
        <v>5000</v>
      </c>
      <c r="W89" s="2">
        <v>200000</v>
      </c>
      <c r="X89" s="2"/>
      <c r="Y89" s="348">
        <f t="shared" si="13"/>
        <v>509900</v>
      </c>
      <c r="Z89" s="133"/>
    </row>
    <row r="90" ht="13.5" customHeight="1" spans="1:26">
      <c r="A90" s="34" t="s">
        <v>144</v>
      </c>
      <c r="B90" s="35">
        <v>45113</v>
      </c>
      <c r="C90" s="2"/>
      <c r="D90" s="2">
        <v>46000</v>
      </c>
      <c r="E90" s="2">
        <f>5000+2350+8100+3750</f>
        <v>19200</v>
      </c>
      <c r="F90" s="2">
        <v>60000</v>
      </c>
      <c r="G90" s="2">
        <f>54000+1000+1000+500+1000+1000+500+500</f>
        <v>59500</v>
      </c>
      <c r="H90" s="2"/>
      <c r="I90" s="2"/>
      <c r="J90" s="2"/>
      <c r="K90" s="2">
        <v>1000</v>
      </c>
      <c r="L90" s="2">
        <v>30000</v>
      </c>
      <c r="M90" s="2"/>
      <c r="N90" s="2"/>
      <c r="O90" s="2">
        <v>9000</v>
      </c>
      <c r="P90" s="2"/>
      <c r="Q90" s="2"/>
      <c r="R90" s="2"/>
      <c r="S90" s="2">
        <v>1000</v>
      </c>
      <c r="T90" s="2"/>
      <c r="U90" s="2">
        <v>500</v>
      </c>
      <c r="V90" s="2">
        <v>5000</v>
      </c>
      <c r="W90" s="2"/>
      <c r="X90" s="2"/>
      <c r="Y90" s="348">
        <f t="shared" si="13"/>
        <v>231200</v>
      </c>
      <c r="Z90" s="133"/>
    </row>
    <row r="91" ht="13.5" customHeight="1" spans="1:26">
      <c r="A91" s="34" t="s">
        <v>145</v>
      </c>
      <c r="B91" s="35">
        <v>45114</v>
      </c>
      <c r="C91" s="2"/>
      <c r="D91" s="2"/>
      <c r="E91" s="2">
        <f>23000+8500+14900+8325+23500+3000+16000+12500+22150+500</f>
        <v>132375</v>
      </c>
      <c r="F91" s="2"/>
      <c r="G91" s="2">
        <f>14500+39000+29400</f>
        <v>82900</v>
      </c>
      <c r="H91" s="2"/>
      <c r="I91" s="2"/>
      <c r="J91" s="2">
        <v>8750</v>
      </c>
      <c r="K91" s="2">
        <v>1000</v>
      </c>
      <c r="L91" s="2"/>
      <c r="M91" s="2"/>
      <c r="N91" s="2"/>
      <c r="O91" s="2"/>
      <c r="P91" s="2"/>
      <c r="Q91" s="2"/>
      <c r="R91" s="2"/>
      <c r="S91" s="2">
        <v>2000</v>
      </c>
      <c r="T91" s="2"/>
      <c r="U91" s="2"/>
      <c r="V91" s="2"/>
      <c r="W91" s="2"/>
      <c r="X91" s="2">
        <v>15000</v>
      </c>
      <c r="Y91" s="348">
        <f t="shared" si="13"/>
        <v>242025</v>
      </c>
      <c r="Z91" s="133"/>
    </row>
    <row r="92" ht="13.5" customHeight="1" spans="1:26">
      <c r="A92" s="34" t="s">
        <v>139</v>
      </c>
      <c r="B92" s="35">
        <v>45115</v>
      </c>
      <c r="C92" s="2"/>
      <c r="D92" s="2">
        <v>46000</v>
      </c>
      <c r="E92" s="2">
        <f>8650+15300+22500+23100+14000+12200+15500+3500+5000</f>
        <v>119750</v>
      </c>
      <c r="F92" s="2"/>
      <c r="G92" s="2">
        <f>39000+22000+8500+8000+270000</f>
        <v>347500</v>
      </c>
      <c r="H92" s="2"/>
      <c r="I92" s="2"/>
      <c r="J92" s="2"/>
      <c r="K92" s="2">
        <v>1000</v>
      </c>
      <c r="L92" s="2"/>
      <c r="M92" s="2"/>
      <c r="N92" s="2"/>
      <c r="O92" s="2"/>
      <c r="P92" s="2"/>
      <c r="Q92" s="2"/>
      <c r="R92" s="2"/>
      <c r="S92" s="2">
        <f>1000+9000</f>
        <v>10000</v>
      </c>
      <c r="T92" s="2">
        <f>8800+1800+1000+1000</f>
        <v>12600</v>
      </c>
      <c r="U92" s="2"/>
      <c r="V92" s="2"/>
      <c r="W92" s="2">
        <f>800+400000</f>
        <v>400800</v>
      </c>
      <c r="X92" s="2"/>
      <c r="Y92" s="348">
        <f t="shared" si="13"/>
        <v>937650</v>
      </c>
      <c r="Z92" s="133"/>
    </row>
    <row r="93" ht="14.25" customHeight="1" spans="1:26">
      <c r="A93" s="39" t="s">
        <v>140</v>
      </c>
      <c r="B93" s="40">
        <v>45116</v>
      </c>
      <c r="C93" s="303"/>
      <c r="D93" s="303"/>
      <c r="E93" s="303">
        <f>4950+2400+12000+5000+22500+4000+2500+40100</f>
        <v>93450</v>
      </c>
      <c r="F93" s="303"/>
      <c r="G93" s="303">
        <f>14500+9700+29400</f>
        <v>53600</v>
      </c>
      <c r="H93" s="303">
        <v>1605050</v>
      </c>
      <c r="I93" s="303"/>
      <c r="J93" s="303">
        <v>8750</v>
      </c>
      <c r="K93" s="303"/>
      <c r="L93" s="303"/>
      <c r="M93" s="303"/>
      <c r="N93" s="303"/>
      <c r="O93" s="303"/>
      <c r="P93" s="303"/>
      <c r="Q93" s="303"/>
      <c r="R93" s="303"/>
      <c r="S93" s="303">
        <v>2000</v>
      </c>
      <c r="T93" s="303"/>
      <c r="U93" s="303">
        <v>500</v>
      </c>
      <c r="V93" s="303"/>
      <c r="W93" s="303"/>
      <c r="X93" s="303"/>
      <c r="Y93" s="349">
        <f t="shared" si="13"/>
        <v>1763350</v>
      </c>
      <c r="Z93" s="133"/>
    </row>
    <row r="94" ht="14.25" customHeight="1" spans="1:26">
      <c r="A94" s="30" t="s">
        <v>141</v>
      </c>
      <c r="B94" s="31">
        <v>45117</v>
      </c>
      <c r="C94" s="194"/>
      <c r="D94" s="194">
        <v>46000</v>
      </c>
      <c r="E94" s="194">
        <f>21800+5400+12000+2500+58550+1000</f>
        <v>101250</v>
      </c>
      <c r="F94" s="194"/>
      <c r="G94" s="194">
        <f>8500+22000+14500+13500+9700+39000+4000</f>
        <v>111200</v>
      </c>
      <c r="H94" s="194"/>
      <c r="I94" s="194"/>
      <c r="J94" s="194"/>
      <c r="K94" s="194"/>
      <c r="L94" s="194"/>
      <c r="M94" s="194"/>
      <c r="N94" s="194"/>
      <c r="O94" s="194"/>
      <c r="P94" s="194"/>
      <c r="Q94" s="194"/>
      <c r="R94" s="194"/>
      <c r="S94" s="194">
        <f>9000+8000+2000</f>
        <v>19000</v>
      </c>
      <c r="T94" s="194">
        <v>2700</v>
      </c>
      <c r="U94" s="194"/>
      <c r="V94" s="194"/>
      <c r="W94" s="194"/>
      <c r="X94" s="194">
        <v>50000</v>
      </c>
      <c r="Y94" s="347">
        <f t="shared" si="13"/>
        <v>330150</v>
      </c>
      <c r="Z94" s="133"/>
    </row>
    <row r="95" ht="13.5" customHeight="1" spans="1:26">
      <c r="A95" s="34" t="s">
        <v>142</v>
      </c>
      <c r="B95" s="35">
        <v>45118</v>
      </c>
      <c r="C95" s="2"/>
      <c r="D95" s="2">
        <v>46000</v>
      </c>
      <c r="E95" s="2">
        <f>8500+1200+1300+5000+1700</f>
        <v>17700</v>
      </c>
      <c r="F95" s="2"/>
      <c r="G95" s="2">
        <f>1000+1000+500+500+500+1500</f>
        <v>5000</v>
      </c>
      <c r="H95" s="2"/>
      <c r="I95" s="2"/>
      <c r="J95" s="2">
        <v>8750</v>
      </c>
      <c r="K95" s="2">
        <v>1000</v>
      </c>
      <c r="L95" s="2"/>
      <c r="M95" s="2"/>
      <c r="N95" s="2"/>
      <c r="O95" s="2"/>
      <c r="P95" s="2"/>
      <c r="Q95" s="2"/>
      <c r="R95" s="2"/>
      <c r="S95" s="2"/>
      <c r="T95" s="2"/>
      <c r="U95" s="2"/>
      <c r="V95" s="2"/>
      <c r="W95" s="2"/>
      <c r="X95" s="2"/>
      <c r="Y95" s="348">
        <f t="shared" si="13"/>
        <v>78450</v>
      </c>
      <c r="Z95" s="133"/>
    </row>
    <row r="96" ht="13.5" customHeight="1" spans="1:26">
      <c r="A96" s="34" t="s">
        <v>143</v>
      </c>
      <c r="B96" s="35">
        <v>45119</v>
      </c>
      <c r="C96" s="2"/>
      <c r="D96" s="2"/>
      <c r="E96" s="2">
        <f>30000+14000+12000+12950+3675+4000+5000+27800+13150+2250+20500+1000+1000+1000</f>
        <v>148325</v>
      </c>
      <c r="F96" s="2"/>
      <c r="G96" s="2">
        <v>8000</v>
      </c>
      <c r="H96" s="2"/>
      <c r="I96" s="2"/>
      <c r="J96" s="2"/>
      <c r="K96" s="2">
        <v>1000</v>
      </c>
      <c r="L96" s="2">
        <f>100000+10000</f>
        <v>110000</v>
      </c>
      <c r="M96" s="2"/>
      <c r="N96" s="2"/>
      <c r="O96" s="2"/>
      <c r="P96" s="2"/>
      <c r="Q96" s="2"/>
      <c r="R96" s="2">
        <f>106000+5000+8000+3600</f>
        <v>122600</v>
      </c>
      <c r="S96" s="2"/>
      <c r="T96" s="2"/>
      <c r="U96" s="2"/>
      <c r="V96" s="2"/>
      <c r="W96" s="2"/>
      <c r="X96" s="2"/>
      <c r="Y96" s="348">
        <f t="shared" si="13"/>
        <v>389925</v>
      </c>
      <c r="Z96" s="133"/>
    </row>
    <row r="97" ht="13.5" customHeight="1" spans="1:26">
      <c r="A97" s="34" t="s">
        <v>144</v>
      </c>
      <c r="B97" s="35">
        <v>45120</v>
      </c>
      <c r="C97" s="2"/>
      <c r="D97" s="2">
        <v>46000</v>
      </c>
      <c r="E97" s="2">
        <f>13700+13000+2250+34300+5000+42000+1000</f>
        <v>111250</v>
      </c>
      <c r="F97" s="2"/>
      <c r="G97" s="2">
        <v>8000</v>
      </c>
      <c r="H97" s="2"/>
      <c r="I97" s="2"/>
      <c r="J97" s="2"/>
      <c r="K97" s="2">
        <v>1000</v>
      </c>
      <c r="L97" s="2">
        <v>30000</v>
      </c>
      <c r="M97" s="2"/>
      <c r="N97" s="2">
        <v>200000</v>
      </c>
      <c r="O97" s="2"/>
      <c r="P97" s="2"/>
      <c r="Q97" s="2"/>
      <c r="R97" s="2"/>
      <c r="S97" s="2">
        <f>2000+9000+2000</f>
        <v>13000</v>
      </c>
      <c r="T97" s="2">
        <f>4000+700</f>
        <v>4700</v>
      </c>
      <c r="U97" s="2">
        <v>825</v>
      </c>
      <c r="V97" s="2"/>
      <c r="W97" s="2">
        <f>25000+15000</f>
        <v>40000</v>
      </c>
      <c r="X97" s="2"/>
      <c r="Y97" s="348">
        <f t="shared" si="13"/>
        <v>454775</v>
      </c>
      <c r="Z97" s="133"/>
    </row>
    <row r="98" ht="13.5" customHeight="1" spans="1:26">
      <c r="A98" s="34" t="s">
        <v>145</v>
      </c>
      <c r="B98" s="35">
        <v>45121</v>
      </c>
      <c r="C98" s="2">
        <v>100000</v>
      </c>
      <c r="D98" s="2"/>
      <c r="E98" s="2">
        <f>47000+23500+27000+6400+1400+19800+5000</f>
        <v>130100</v>
      </c>
      <c r="F98" s="2"/>
      <c r="G98" s="2">
        <f>79200+39000+23000+18000</f>
        <v>159200</v>
      </c>
      <c r="H98" s="2"/>
      <c r="I98" s="2"/>
      <c r="J98" s="2">
        <v>8750</v>
      </c>
      <c r="K98" s="2">
        <v>1000</v>
      </c>
      <c r="L98" s="2"/>
      <c r="M98" s="2"/>
      <c r="N98" s="2"/>
      <c r="O98" s="2"/>
      <c r="P98" s="2"/>
      <c r="Q98" s="2"/>
      <c r="R98" s="2"/>
      <c r="S98" s="2"/>
      <c r="T98" s="2"/>
      <c r="U98" s="2"/>
      <c r="V98" s="2"/>
      <c r="W98" s="2"/>
      <c r="X98" s="2">
        <v>36500</v>
      </c>
      <c r="Y98" s="348">
        <f t="shared" si="13"/>
        <v>435550</v>
      </c>
      <c r="Z98" s="133"/>
    </row>
    <row r="99" ht="13.5" customHeight="1" spans="1:26">
      <c r="A99" s="34" t="s">
        <v>139</v>
      </c>
      <c r="B99" s="35">
        <v>45122</v>
      </c>
      <c r="C99" s="2"/>
      <c r="D99" s="2">
        <v>46000</v>
      </c>
      <c r="E99" s="2">
        <f>22100+26600+22500+3000+4500+14400+10000+14000</f>
        <v>117100</v>
      </c>
      <c r="F99" s="2"/>
      <c r="G99" s="2">
        <f>27000+23000+24900</f>
        <v>74900</v>
      </c>
      <c r="H99" s="2"/>
      <c r="I99" s="2"/>
      <c r="J99" s="2"/>
      <c r="K99" s="2">
        <v>1000</v>
      </c>
      <c r="L99" s="2"/>
      <c r="M99" s="2"/>
      <c r="N99" s="2"/>
      <c r="O99" s="2"/>
      <c r="P99" s="2"/>
      <c r="Q99" s="2"/>
      <c r="R99" s="2"/>
      <c r="S99" s="2">
        <f>28000+91000</f>
        <v>119000</v>
      </c>
      <c r="T99" s="2"/>
      <c r="U99" s="2"/>
      <c r="V99" s="2">
        <v>24000</v>
      </c>
      <c r="W99" s="2"/>
      <c r="X99" s="2"/>
      <c r="Y99" s="348">
        <f t="shared" si="13"/>
        <v>382000</v>
      </c>
      <c r="Z99" s="133"/>
    </row>
    <row r="100" ht="14.25" customHeight="1" spans="1:26">
      <c r="A100" s="39" t="s">
        <v>140</v>
      </c>
      <c r="B100" s="40">
        <v>45123</v>
      </c>
      <c r="C100" s="303"/>
      <c r="D100" s="303"/>
      <c r="E100" s="303">
        <f>12000+7050+9750+5000</f>
        <v>33800</v>
      </c>
      <c r="F100" s="303"/>
      <c r="G100" s="303">
        <f>39000+4000</f>
        <v>43000</v>
      </c>
      <c r="H100" s="303">
        <v>955350</v>
      </c>
      <c r="I100" s="303"/>
      <c r="J100" s="303"/>
      <c r="K100" s="303"/>
      <c r="L100" s="303"/>
      <c r="M100" s="303"/>
      <c r="N100" s="303"/>
      <c r="O100" s="303"/>
      <c r="P100" s="303"/>
      <c r="Q100" s="303"/>
      <c r="R100" s="303"/>
      <c r="S100" s="303">
        <f>4500+1600</f>
        <v>6100</v>
      </c>
      <c r="T100" s="303"/>
      <c r="U100" s="303"/>
      <c r="V100" s="303"/>
      <c r="W100" s="303"/>
      <c r="X100" s="303"/>
      <c r="Y100" s="349">
        <f t="shared" si="13"/>
        <v>1038250</v>
      </c>
      <c r="Z100" s="133"/>
    </row>
    <row r="101" ht="14.25" customHeight="1" spans="1:26">
      <c r="A101" s="30" t="s">
        <v>141</v>
      </c>
      <c r="B101" s="31">
        <v>45124</v>
      </c>
      <c r="C101" s="194"/>
      <c r="D101" s="194">
        <v>46000</v>
      </c>
      <c r="E101" s="194">
        <f>13000+2000+14500+9000+47500+13500</f>
        <v>99500</v>
      </c>
      <c r="F101" s="194"/>
      <c r="G101" s="194">
        <f>18000+15000+41400+7600+9000+4000+136500</f>
        <v>231500</v>
      </c>
      <c r="H101" s="194"/>
      <c r="I101" s="194"/>
      <c r="J101" s="194"/>
      <c r="K101" s="194">
        <v>1000</v>
      </c>
      <c r="L101" s="194"/>
      <c r="M101" s="194"/>
      <c r="N101" s="194"/>
      <c r="O101" s="194"/>
      <c r="P101" s="194"/>
      <c r="Q101" s="194"/>
      <c r="R101" s="194"/>
      <c r="S101" s="194">
        <v>9000</v>
      </c>
      <c r="T101" s="194">
        <v>500</v>
      </c>
      <c r="U101" s="194">
        <f>1000+1600</f>
        <v>2600</v>
      </c>
      <c r="V101" s="194"/>
      <c r="W101" s="194"/>
      <c r="X101" s="194"/>
      <c r="Y101" s="347">
        <f t="shared" si="13"/>
        <v>390100</v>
      </c>
      <c r="Z101" s="133"/>
    </row>
    <row r="102" ht="13.5" customHeight="1" spans="1:26">
      <c r="A102" s="34" t="s">
        <v>142</v>
      </c>
      <c r="B102" s="35">
        <v>45125</v>
      </c>
      <c r="C102" s="2"/>
      <c r="D102" s="2">
        <v>46000</v>
      </c>
      <c r="E102" s="2">
        <f>6000+5000</f>
        <v>11000</v>
      </c>
      <c r="F102" s="2"/>
      <c r="G102" s="2">
        <f>19500+10500+9700+29400+2000+500+1000+1000+500</f>
        <v>74100</v>
      </c>
      <c r="H102" s="2"/>
      <c r="I102" s="2"/>
      <c r="J102" s="2">
        <v>5250</v>
      </c>
      <c r="K102" s="2"/>
      <c r="L102" s="2"/>
      <c r="M102" s="2"/>
      <c r="N102" s="2"/>
      <c r="O102" s="2"/>
      <c r="P102" s="2"/>
      <c r="Q102" s="2"/>
      <c r="R102" s="2"/>
      <c r="S102" s="2"/>
      <c r="T102" s="2"/>
      <c r="U102" s="2">
        <v>500</v>
      </c>
      <c r="V102" s="2"/>
      <c r="W102" s="2"/>
      <c r="X102" s="2">
        <f>9000+18000</f>
        <v>27000</v>
      </c>
      <c r="Y102" s="348">
        <f t="shared" si="13"/>
        <v>163850</v>
      </c>
      <c r="Z102" s="133"/>
    </row>
    <row r="103" ht="13.5" customHeight="1" spans="1:26">
      <c r="A103" s="34" t="s">
        <v>143</v>
      </c>
      <c r="B103" s="35">
        <v>45126</v>
      </c>
      <c r="C103" s="2"/>
      <c r="D103" s="2"/>
      <c r="E103" s="2">
        <f>3400+7550+14050+15500+1400+26000</f>
        <v>67900</v>
      </c>
      <c r="F103" s="2"/>
      <c r="G103" s="2">
        <f>8000+735000+60000</f>
        <v>803000</v>
      </c>
      <c r="H103" s="2"/>
      <c r="I103" s="2"/>
      <c r="J103" s="2">
        <v>8750</v>
      </c>
      <c r="K103" s="2">
        <v>1000</v>
      </c>
      <c r="L103" s="2">
        <f>70000+10000</f>
        <v>80000</v>
      </c>
      <c r="M103" s="2"/>
      <c r="N103" s="2"/>
      <c r="O103" s="2"/>
      <c r="P103" s="2"/>
      <c r="Q103" s="2"/>
      <c r="R103" s="2">
        <v>1500</v>
      </c>
      <c r="S103" s="2">
        <v>9000</v>
      </c>
      <c r="T103" s="2"/>
      <c r="U103" s="2"/>
      <c r="V103" s="2"/>
      <c r="W103" s="2"/>
      <c r="X103" s="2"/>
      <c r="Y103" s="348">
        <f t="shared" si="13"/>
        <v>971150</v>
      </c>
      <c r="Z103" s="133"/>
    </row>
    <row r="104" ht="13.5" customHeight="1" spans="1:26">
      <c r="A104" s="34" t="s">
        <v>144</v>
      </c>
      <c r="B104" s="35">
        <v>45127</v>
      </c>
      <c r="C104" s="2"/>
      <c r="D104" s="2">
        <v>46000</v>
      </c>
      <c r="E104" s="2">
        <f>10000+9000+15000+4200+14000+5000+57000+9950</f>
        <v>124150</v>
      </c>
      <c r="F104" s="2"/>
      <c r="G104" s="2">
        <v>29400</v>
      </c>
      <c r="H104" s="2"/>
      <c r="I104" s="2"/>
      <c r="J104" s="2">
        <v>8750</v>
      </c>
      <c r="K104" s="2"/>
      <c r="L104" s="2">
        <v>30000</v>
      </c>
      <c r="M104" s="2"/>
      <c r="N104" s="2"/>
      <c r="O104" s="2"/>
      <c r="P104" s="2"/>
      <c r="Q104" s="2"/>
      <c r="R104" s="2">
        <v>1000</v>
      </c>
      <c r="S104" s="2">
        <v>2000</v>
      </c>
      <c r="T104" s="2"/>
      <c r="U104" s="2"/>
      <c r="V104" s="2"/>
      <c r="W104" s="2"/>
      <c r="X104" s="2"/>
      <c r="Y104" s="348">
        <f t="shared" si="13"/>
        <v>241300</v>
      </c>
      <c r="Z104" s="133"/>
    </row>
    <row r="105" ht="13.5" customHeight="1" spans="1:26">
      <c r="A105" s="34" t="s">
        <v>145</v>
      </c>
      <c r="B105" s="35">
        <v>45128</v>
      </c>
      <c r="C105" s="2"/>
      <c r="D105" s="2"/>
      <c r="E105" s="2">
        <f>6500+5000+11500+13500+500+1000+5000</f>
        <v>43000</v>
      </c>
      <c r="F105" s="2"/>
      <c r="G105" s="2">
        <f>39000+15000+23000+8000+226800</f>
        <v>311800</v>
      </c>
      <c r="H105" s="2"/>
      <c r="I105" s="2"/>
      <c r="J105" s="2">
        <v>3500</v>
      </c>
      <c r="K105" s="2">
        <v>1000</v>
      </c>
      <c r="L105" s="2"/>
      <c r="M105" s="2"/>
      <c r="N105" s="2"/>
      <c r="O105" s="2"/>
      <c r="P105" s="2"/>
      <c r="Q105" s="2"/>
      <c r="R105" s="2"/>
      <c r="S105" s="2"/>
      <c r="T105" s="2"/>
      <c r="U105" s="2"/>
      <c r="V105" s="2">
        <v>24000</v>
      </c>
      <c r="W105" s="2"/>
      <c r="X105" s="2"/>
      <c r="Y105" s="348">
        <f t="shared" si="13"/>
        <v>383300</v>
      </c>
      <c r="Z105" s="133"/>
    </row>
    <row r="106" ht="13.5" customHeight="1" spans="1:26">
      <c r="A106" s="34" t="s">
        <v>139</v>
      </c>
      <c r="B106" s="35">
        <v>45129</v>
      </c>
      <c r="C106" s="2"/>
      <c r="D106" s="2">
        <v>46000</v>
      </c>
      <c r="E106" s="2">
        <f>23500+12000+5500+1400+7150+53800+5000+14500+22100+4050</f>
        <v>149000</v>
      </c>
      <c r="F106" s="2"/>
      <c r="G106" s="2">
        <f>18000+39000+27000+8500</f>
        <v>92500</v>
      </c>
      <c r="H106" s="2"/>
      <c r="I106" s="2"/>
      <c r="J106" s="2">
        <v>5250</v>
      </c>
      <c r="K106" s="2">
        <v>1000</v>
      </c>
      <c r="L106" s="2"/>
      <c r="M106" s="2"/>
      <c r="N106" s="2"/>
      <c r="O106" s="2"/>
      <c r="P106" s="2"/>
      <c r="Q106" s="2"/>
      <c r="R106" s="2"/>
      <c r="S106" s="2"/>
      <c r="T106" s="2"/>
      <c r="U106" s="2"/>
      <c r="V106" s="2"/>
      <c r="W106" s="2">
        <v>55000</v>
      </c>
      <c r="X106" s="2"/>
      <c r="Y106" s="348">
        <f t="shared" si="13"/>
        <v>348750</v>
      </c>
      <c r="Z106" s="133"/>
    </row>
    <row r="107" ht="14.25" customHeight="1" spans="1:26">
      <c r="A107" s="39" t="s">
        <v>140</v>
      </c>
      <c r="B107" s="40">
        <v>45130</v>
      </c>
      <c r="C107" s="303"/>
      <c r="D107" s="303">
        <v>92000</v>
      </c>
      <c r="E107" s="303">
        <f>64100+5000+12750+7650+35925+12500+5500+16000+20500</f>
        <v>179925</v>
      </c>
      <c r="F107" s="303"/>
      <c r="G107" s="303">
        <f>15000+79200+2500+4000+29400</f>
        <v>130100</v>
      </c>
      <c r="H107" s="303">
        <v>1387500</v>
      </c>
      <c r="I107" s="303"/>
      <c r="J107" s="303"/>
      <c r="K107" s="303">
        <v>1000</v>
      </c>
      <c r="L107" s="303"/>
      <c r="M107" s="303"/>
      <c r="N107" s="303"/>
      <c r="O107" s="303"/>
      <c r="P107" s="303"/>
      <c r="Q107" s="303"/>
      <c r="R107" s="303"/>
      <c r="S107" s="303">
        <v>9000</v>
      </c>
      <c r="T107" s="303"/>
      <c r="U107" s="303">
        <v>1500</v>
      </c>
      <c r="V107" s="303"/>
      <c r="W107" s="303"/>
      <c r="X107" s="303"/>
      <c r="Y107" s="349">
        <f t="shared" si="13"/>
        <v>1801025</v>
      </c>
      <c r="Z107" s="133"/>
    </row>
    <row r="108" ht="14.25" customHeight="1" spans="1:26">
      <c r="A108" s="30" t="s">
        <v>141</v>
      </c>
      <c r="B108" s="31">
        <v>45131</v>
      </c>
      <c r="C108" s="194"/>
      <c r="D108" s="194"/>
      <c r="E108" s="194">
        <f>46100+22500+12500+5000+1400+19750+12000+2500+1400</f>
        <v>123150</v>
      </c>
      <c r="F108" s="194"/>
      <c r="G108" s="194">
        <f>39000+23000+18000</f>
        <v>80000</v>
      </c>
      <c r="H108" s="194"/>
      <c r="I108" s="194"/>
      <c r="J108" s="194">
        <v>1000</v>
      </c>
      <c r="K108" s="194">
        <v>1000</v>
      </c>
      <c r="L108" s="194"/>
      <c r="M108" s="194"/>
      <c r="N108" s="194"/>
      <c r="O108" s="194"/>
      <c r="P108" s="194"/>
      <c r="Q108" s="194"/>
      <c r="R108" s="194"/>
      <c r="S108" s="194"/>
      <c r="T108" s="194"/>
      <c r="U108" s="194">
        <v>500</v>
      </c>
      <c r="V108" s="194"/>
      <c r="W108" s="194"/>
      <c r="X108" s="194"/>
      <c r="Y108" s="347">
        <f t="shared" si="13"/>
        <v>205650</v>
      </c>
      <c r="Z108" s="133"/>
    </row>
    <row r="109" ht="13.5" customHeight="1" spans="1:26">
      <c r="A109" s="34" t="s">
        <v>142</v>
      </c>
      <c r="B109" s="35">
        <v>45132</v>
      </c>
      <c r="C109" s="2"/>
      <c r="D109" s="2"/>
      <c r="E109" s="2">
        <f>8500+5000</f>
        <v>13500</v>
      </c>
      <c r="F109" s="2"/>
      <c r="G109" s="2">
        <f>18000+54000+700+300+500+1000+1000+1500</f>
        <v>77000</v>
      </c>
      <c r="H109" s="2"/>
      <c r="I109" s="2"/>
      <c r="J109" s="2">
        <v>10500</v>
      </c>
      <c r="K109" s="2"/>
      <c r="L109" s="2"/>
      <c r="M109" s="2"/>
      <c r="N109" s="2">
        <f>200000+100000</f>
        <v>300000</v>
      </c>
      <c r="O109" s="2"/>
      <c r="P109" s="2"/>
      <c r="Q109" s="2"/>
      <c r="R109" s="2"/>
      <c r="S109" s="2"/>
      <c r="T109" s="2"/>
      <c r="U109" s="2"/>
      <c r="V109" s="2"/>
      <c r="W109" s="2"/>
      <c r="X109" s="2"/>
      <c r="Y109" s="348">
        <f t="shared" si="13"/>
        <v>401000</v>
      </c>
      <c r="Z109" s="133"/>
    </row>
    <row r="110" ht="13.5" customHeight="1" spans="1:26">
      <c r="A110" s="34" t="s">
        <v>143</v>
      </c>
      <c r="B110" s="35">
        <v>45133</v>
      </c>
      <c r="C110" s="2"/>
      <c r="D110" s="2"/>
      <c r="E110" s="2">
        <f>18000+11000+5000+25000+22500+12800+17900+13500</f>
        <v>125700</v>
      </c>
      <c r="F110" s="2"/>
      <c r="G110" s="2">
        <f>39000+16000+23000</f>
        <v>78000</v>
      </c>
      <c r="H110" s="2"/>
      <c r="I110" s="2"/>
      <c r="J110" s="2"/>
      <c r="K110" s="2">
        <v>1000</v>
      </c>
      <c r="L110" s="2">
        <f>70000+10000</f>
        <v>80000</v>
      </c>
      <c r="M110" s="2"/>
      <c r="N110" s="2"/>
      <c r="O110" s="2"/>
      <c r="P110" s="2"/>
      <c r="Q110" s="2"/>
      <c r="R110" s="2"/>
      <c r="S110" s="2">
        <f>2000+9000</f>
        <v>11000</v>
      </c>
      <c r="T110" s="2"/>
      <c r="U110" s="2"/>
      <c r="V110" s="2"/>
      <c r="W110" s="2"/>
      <c r="X110" s="2"/>
      <c r="Y110" s="348">
        <f t="shared" si="13"/>
        <v>295700</v>
      </c>
      <c r="Z110" s="133"/>
    </row>
    <row r="111" ht="13.5" customHeight="1" spans="1:26">
      <c r="A111" s="34" t="s">
        <v>144</v>
      </c>
      <c r="B111" s="35">
        <v>45134</v>
      </c>
      <c r="C111" s="2"/>
      <c r="D111" s="2"/>
      <c r="E111" s="2">
        <f>3450+8500+3400+1400+22850+9000+5000</f>
        <v>53600</v>
      </c>
      <c r="F111" s="2"/>
      <c r="G111" s="2">
        <v>6000</v>
      </c>
      <c r="H111" s="2"/>
      <c r="I111" s="2"/>
      <c r="J111" s="2"/>
      <c r="K111" s="2">
        <v>1000</v>
      </c>
      <c r="L111" s="2">
        <v>30000</v>
      </c>
      <c r="M111" s="2"/>
      <c r="N111" s="2"/>
      <c r="O111" s="2"/>
      <c r="P111" s="2"/>
      <c r="Q111" s="2"/>
      <c r="R111" s="2"/>
      <c r="S111" s="2">
        <f>13500+2000</f>
        <v>15500</v>
      </c>
      <c r="T111" s="2"/>
      <c r="U111" s="2"/>
      <c r="V111" s="2"/>
      <c r="W111" s="2"/>
      <c r="X111" s="2"/>
      <c r="Y111" s="348">
        <f t="shared" si="13"/>
        <v>106100</v>
      </c>
      <c r="Z111" s="133"/>
    </row>
    <row r="112" ht="13.5" customHeight="1" spans="1:26">
      <c r="A112" s="34" t="s">
        <v>145</v>
      </c>
      <c r="B112" s="35">
        <v>45135</v>
      </c>
      <c r="C112" s="2"/>
      <c r="D112" s="2">
        <v>92000</v>
      </c>
      <c r="E112" s="2">
        <f>35700+4000+4650+8000+14000+38100</f>
        <v>104450</v>
      </c>
      <c r="F112" s="2">
        <v>21000</v>
      </c>
      <c r="G112" s="2">
        <f>29400+812000+79200</f>
        <v>920600</v>
      </c>
      <c r="H112" s="2"/>
      <c r="I112" s="2"/>
      <c r="J112" s="2">
        <v>8750</v>
      </c>
      <c r="K112" s="2">
        <v>1000</v>
      </c>
      <c r="L112" s="2"/>
      <c r="M112" s="2"/>
      <c r="N112" s="2"/>
      <c r="O112" s="2"/>
      <c r="P112" s="2"/>
      <c r="Q112" s="2"/>
      <c r="R112" s="2">
        <v>2000</v>
      </c>
      <c r="S112" s="2"/>
      <c r="T112" s="2"/>
      <c r="U112" s="2"/>
      <c r="V112" s="2"/>
      <c r="W112" s="2">
        <v>60000</v>
      </c>
      <c r="X112" s="2">
        <v>50000</v>
      </c>
      <c r="Y112" s="348">
        <f t="shared" si="13"/>
        <v>1259800</v>
      </c>
      <c r="Z112" s="133"/>
    </row>
    <row r="113" ht="13.5" customHeight="1" spans="1:26">
      <c r="A113" s="34" t="s">
        <v>139</v>
      </c>
      <c r="B113" s="35">
        <v>45136</v>
      </c>
      <c r="C113" s="2"/>
      <c r="D113" s="2"/>
      <c r="E113" s="2">
        <f>16500+26700+5000+20000+26000+9300+17000+1000</f>
        <v>121500</v>
      </c>
      <c r="F113" s="2"/>
      <c r="G113" s="2">
        <f>16500+7600+19400+8500+13500</f>
        <v>65500</v>
      </c>
      <c r="H113" s="2"/>
      <c r="I113" s="2"/>
      <c r="J113" s="2">
        <v>5250</v>
      </c>
      <c r="K113" s="2">
        <v>1000</v>
      </c>
      <c r="L113" s="2"/>
      <c r="M113" s="2"/>
      <c r="N113" s="2"/>
      <c r="O113" s="2"/>
      <c r="P113" s="2"/>
      <c r="Q113" s="2"/>
      <c r="R113" s="2"/>
      <c r="S113" s="2">
        <f>3000+9000</f>
        <v>12000</v>
      </c>
      <c r="T113" s="2"/>
      <c r="U113" s="2"/>
      <c r="V113" s="2"/>
      <c r="W113" s="2"/>
      <c r="X113" s="2"/>
      <c r="Y113" s="348">
        <f t="shared" si="13"/>
        <v>205250</v>
      </c>
      <c r="Z113" s="133"/>
    </row>
    <row r="114" ht="14.25" customHeight="1" spans="1:26">
      <c r="A114" s="39" t="s">
        <v>140</v>
      </c>
      <c r="B114" s="40">
        <v>45137</v>
      </c>
      <c r="C114" s="303"/>
      <c r="D114" s="303">
        <v>92000</v>
      </c>
      <c r="E114" s="303">
        <f>13400+22500+18000+1400+5000+8500+1400+8000+26600+1000</f>
        <v>105800</v>
      </c>
      <c r="F114" s="303"/>
      <c r="G114" s="303">
        <f>29400</f>
        <v>29400</v>
      </c>
      <c r="H114" s="303">
        <v>1499150</v>
      </c>
      <c r="I114" s="303"/>
      <c r="J114" s="303">
        <v>3500</v>
      </c>
      <c r="K114" s="303">
        <v>1000</v>
      </c>
      <c r="L114" s="303">
        <v>150000</v>
      </c>
      <c r="M114" s="303">
        <f>50000</f>
        <v>50000</v>
      </c>
      <c r="N114" s="303"/>
      <c r="O114" s="303"/>
      <c r="P114" s="303"/>
      <c r="Q114" s="303"/>
      <c r="R114" s="303"/>
      <c r="S114" s="303">
        <v>3000</v>
      </c>
      <c r="T114" s="303"/>
      <c r="U114" s="303">
        <v>5000</v>
      </c>
      <c r="V114" s="303">
        <v>31000</v>
      </c>
      <c r="W114" s="303">
        <v>45000</v>
      </c>
      <c r="X114" s="303"/>
      <c r="Y114" s="348">
        <f t="shared" si="13"/>
        <v>2014850</v>
      </c>
      <c r="Z114" s="133"/>
    </row>
    <row r="115" customHeight="1" spans="1:26">
      <c r="A115" s="356" t="s">
        <v>141</v>
      </c>
      <c r="B115" s="357">
        <v>45138</v>
      </c>
      <c r="C115" s="358"/>
      <c r="D115" s="358"/>
      <c r="E115" s="358">
        <f>22000+12000+5000+43100+12500+2800+23000+9450+12150</f>
        <v>142000</v>
      </c>
      <c r="F115" s="358"/>
      <c r="G115" s="358">
        <f>33750+392500</f>
        <v>426250</v>
      </c>
      <c r="H115" s="358"/>
      <c r="I115" s="358"/>
      <c r="J115" s="358">
        <v>1000</v>
      </c>
      <c r="K115" s="358">
        <v>1000</v>
      </c>
      <c r="L115" s="358"/>
      <c r="M115" s="358"/>
      <c r="N115" s="358"/>
      <c r="O115" s="358"/>
      <c r="P115" s="358"/>
      <c r="Q115" s="358">
        <v>200000</v>
      </c>
      <c r="R115" s="358"/>
      <c r="S115" s="358">
        <f>9000+2000</f>
        <v>11000</v>
      </c>
      <c r="T115" s="358"/>
      <c r="U115" s="358">
        <v>800</v>
      </c>
      <c r="V115" s="358"/>
      <c r="W115" s="358">
        <v>29000</v>
      </c>
      <c r="X115" s="358"/>
      <c r="Y115" s="349">
        <f t="shared" si="13"/>
        <v>811050</v>
      </c>
      <c r="Z115" s="133"/>
    </row>
    <row r="116" ht="14.25" customHeight="1" spans="1:26">
      <c r="A116" s="318" t="s">
        <v>146</v>
      </c>
      <c r="B116" s="308"/>
      <c r="C116" s="309">
        <f t="shared" ref="C116:X116" si="14">SUM(C85:C115)</f>
        <v>100000</v>
      </c>
      <c r="D116" s="309">
        <f t="shared" si="14"/>
        <v>782000</v>
      </c>
      <c r="E116" s="309">
        <f t="shared" si="14"/>
        <v>2945575</v>
      </c>
      <c r="F116" s="309">
        <f t="shared" si="14"/>
        <v>102000</v>
      </c>
      <c r="G116" s="309">
        <f t="shared" si="14"/>
        <v>4565750</v>
      </c>
      <c r="H116" s="309">
        <f t="shared" si="14"/>
        <v>6962800</v>
      </c>
      <c r="I116" s="309">
        <f t="shared" si="14"/>
        <v>0</v>
      </c>
      <c r="J116" s="309">
        <f t="shared" si="14"/>
        <v>112500</v>
      </c>
      <c r="K116" s="309">
        <f t="shared" si="14"/>
        <v>24000</v>
      </c>
      <c r="L116" s="309">
        <f t="shared" si="14"/>
        <v>630000</v>
      </c>
      <c r="M116" s="309">
        <f t="shared" si="14"/>
        <v>50000</v>
      </c>
      <c r="N116" s="309">
        <f t="shared" si="14"/>
        <v>500000</v>
      </c>
      <c r="O116" s="309">
        <f t="shared" si="14"/>
        <v>9000</v>
      </c>
      <c r="P116" s="309">
        <f t="shared" si="14"/>
        <v>0</v>
      </c>
      <c r="Q116" s="309">
        <f t="shared" si="14"/>
        <v>200000</v>
      </c>
      <c r="R116" s="309">
        <f t="shared" si="14"/>
        <v>127600</v>
      </c>
      <c r="S116" s="309">
        <f t="shared" si="14"/>
        <v>268600</v>
      </c>
      <c r="T116" s="309">
        <f t="shared" si="14"/>
        <v>62900</v>
      </c>
      <c r="U116" s="309">
        <f t="shared" si="14"/>
        <v>14225</v>
      </c>
      <c r="V116" s="309">
        <f t="shared" si="14"/>
        <v>99000</v>
      </c>
      <c r="W116" s="309">
        <f t="shared" si="14"/>
        <v>830800</v>
      </c>
      <c r="X116" s="309">
        <f t="shared" si="14"/>
        <v>328500</v>
      </c>
      <c r="Y116" s="344">
        <f>SUM(Y84:Y115)</f>
        <v>18715250</v>
      </c>
      <c r="Z116" s="133"/>
    </row>
    <row r="117" ht="13.5" customHeight="1" spans="1:26">
      <c r="A117" s="319" t="s">
        <v>40</v>
      </c>
      <c r="B117" s="311"/>
      <c r="C117" s="312">
        <f t="shared" ref="C117:X117" si="15">C116/$Y$116</f>
        <v>0.00534323613096272</v>
      </c>
      <c r="D117" s="312">
        <f t="shared" si="15"/>
        <v>0.0417841065441285</v>
      </c>
      <c r="E117" s="312">
        <f t="shared" si="15"/>
        <v>0.157389027664605</v>
      </c>
      <c r="F117" s="312">
        <f t="shared" si="15"/>
        <v>0.00545010085358197</v>
      </c>
      <c r="G117" s="312">
        <f t="shared" si="15"/>
        <v>0.24395880364943</v>
      </c>
      <c r="H117" s="312">
        <f t="shared" si="15"/>
        <v>0.372038845326672</v>
      </c>
      <c r="I117" s="312">
        <f t="shared" si="15"/>
        <v>0</v>
      </c>
      <c r="J117" s="312">
        <f t="shared" si="15"/>
        <v>0.00601114064733306</v>
      </c>
      <c r="K117" s="312">
        <f t="shared" si="15"/>
        <v>0.00128237667143105</v>
      </c>
      <c r="L117" s="312">
        <f t="shared" si="15"/>
        <v>0.0336623876250651</v>
      </c>
      <c r="M117" s="312">
        <f t="shared" si="15"/>
        <v>0.00267161806548136</v>
      </c>
      <c r="N117" s="312">
        <f t="shared" si="15"/>
        <v>0.0267161806548136</v>
      </c>
      <c r="O117" s="312">
        <f t="shared" si="15"/>
        <v>0.000480891251786645</v>
      </c>
      <c r="P117" s="312">
        <f t="shared" si="15"/>
        <v>0</v>
      </c>
      <c r="Q117" s="312">
        <f t="shared" si="15"/>
        <v>0.0106864722619254</v>
      </c>
      <c r="R117" s="312">
        <f t="shared" si="15"/>
        <v>0.00681796930310843</v>
      </c>
      <c r="S117" s="312">
        <f t="shared" si="15"/>
        <v>0.0143519322477659</v>
      </c>
      <c r="T117" s="312">
        <f t="shared" si="15"/>
        <v>0.00336089552637555</v>
      </c>
      <c r="U117" s="312">
        <f t="shared" si="15"/>
        <v>0.000760075339629447</v>
      </c>
      <c r="V117" s="312">
        <f t="shared" si="15"/>
        <v>0.00528980376965309</v>
      </c>
      <c r="W117" s="312">
        <f t="shared" si="15"/>
        <v>0.0443916057760383</v>
      </c>
      <c r="X117" s="312">
        <f t="shared" si="15"/>
        <v>0.0175525306902125</v>
      </c>
      <c r="Y117" s="352"/>
      <c r="Z117" s="133"/>
    </row>
    <row r="118" ht="14.25" customHeight="1" spans="1:26">
      <c r="A118" s="320" t="s">
        <v>148</v>
      </c>
      <c r="B118" s="321"/>
      <c r="C118" s="323" t="str">
        <f t="shared" ref="C118:X118" si="16">IF(C82&gt;0,C116/C81-1,"")</f>
        <v/>
      </c>
      <c r="D118" s="322">
        <f t="shared" si="16"/>
        <v>0.872605363984674</v>
      </c>
      <c r="E118" s="322">
        <f t="shared" si="16"/>
        <v>0.169389416014927</v>
      </c>
      <c r="F118" s="322">
        <f t="shared" si="16"/>
        <v>4.1</v>
      </c>
      <c r="G118" s="322">
        <f t="shared" si="16"/>
        <v>1.31393963966247</v>
      </c>
      <c r="H118" s="322">
        <f t="shared" si="16"/>
        <v>1.09083674909539</v>
      </c>
      <c r="I118" s="323" t="str">
        <f t="shared" si="16"/>
        <v/>
      </c>
      <c r="J118" s="322">
        <f t="shared" si="16"/>
        <v>0.0158013544018059</v>
      </c>
      <c r="K118" s="322">
        <f t="shared" si="16"/>
        <v>0.0212765957446808</v>
      </c>
      <c r="L118" s="322">
        <f t="shared" si="16"/>
        <v>0.3125</v>
      </c>
      <c r="M118" s="323" t="str">
        <f t="shared" si="16"/>
        <v/>
      </c>
      <c r="N118" s="322">
        <f t="shared" si="16"/>
        <v>-0.0909090909090909</v>
      </c>
      <c r="O118" s="322">
        <f t="shared" si="16"/>
        <v>-0.25</v>
      </c>
      <c r="P118" s="322">
        <f t="shared" si="16"/>
        <v>-1</v>
      </c>
      <c r="Q118" s="322">
        <f t="shared" si="16"/>
        <v>0</v>
      </c>
      <c r="R118" s="322">
        <f t="shared" si="16"/>
        <v>1.64182194616977</v>
      </c>
      <c r="S118" s="322">
        <f t="shared" si="16"/>
        <v>0.336983573917372</v>
      </c>
      <c r="T118" s="322">
        <f t="shared" si="16"/>
        <v>2.29319371727749</v>
      </c>
      <c r="U118" s="322">
        <f t="shared" si="16"/>
        <v>-0.842817679558011</v>
      </c>
      <c r="V118" s="322">
        <f t="shared" si="16"/>
        <v>-0.175</v>
      </c>
      <c r="W118" s="322">
        <f t="shared" si="16"/>
        <v>-0.296230410842863</v>
      </c>
      <c r="X118" s="322">
        <f t="shared" si="16"/>
        <v>-0.584965255843335</v>
      </c>
      <c r="Y118" s="353">
        <f>IF(Y81&gt;0,Y116/Y81-1,"")</f>
        <v>0.536322479754717</v>
      </c>
      <c r="Z118" s="133"/>
    </row>
    <row r="119" ht="15.7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sheetData>
  <pageMargins left="1" right="1" top="1" bottom="1" header="0" footer="0"/>
  <pageSetup paperSize="1" orientation="portrait"/>
  <headerFooter>
    <oddFooter>&amp;C000000&amp;P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000"/>
  <sheetViews>
    <sheetView showGridLines="0" workbookViewId="0">
      <selection activeCell="A1" sqref="A$1:A$1048576"/>
    </sheetView>
  </sheetViews>
  <sheetFormatPr defaultColWidth="12.5714285714286" defaultRowHeight="15" customHeight="1"/>
  <cols>
    <col min="1" max="1" width="20" style="139" customWidth="1"/>
    <col min="2" max="2" width="19.4285714285714" customWidth="1"/>
    <col min="3" max="6" width="15" customWidth="1"/>
    <col min="7" max="7" width="15.4285714285714" customWidth="1"/>
    <col min="8" max="8" width="15" customWidth="1"/>
    <col min="9" max="9" width="15.2857142857143" customWidth="1"/>
    <col min="10" max="10" width="18.4285714285714" customWidth="1"/>
    <col min="11" max="11" width="16.7142857142857" customWidth="1"/>
    <col min="12" max="12" width="15.2857142857143" customWidth="1"/>
    <col min="13" max="13" width="12" customWidth="1"/>
    <col min="14" max="14" width="14.7142857142857" customWidth="1"/>
    <col min="15" max="15" width="11.8571428571429" customWidth="1"/>
    <col min="16" max="16" width="13" customWidth="1"/>
    <col min="17" max="19" width="15" customWidth="1"/>
    <col min="20" max="20" width="12.8571428571429" customWidth="1"/>
    <col min="21" max="21" width="14.4285714285714" customWidth="1"/>
    <col min="22" max="26" width="19.1428571428571" customWidth="1"/>
    <col min="27" max="27" width="11.4285714285714" customWidth="1"/>
    <col min="28" max="37" width="9.14285714285714" customWidth="1"/>
  </cols>
  <sheetData>
    <row r="1" ht="15.75" customHeight="1" spans="1:37">
      <c r="A1" s="140" t="s">
        <v>116</v>
      </c>
      <c r="B1" s="26" t="s">
        <v>152</v>
      </c>
      <c r="C1" s="26" t="s">
        <v>153</v>
      </c>
      <c r="D1" s="26" t="s">
        <v>154</v>
      </c>
      <c r="E1" s="26" t="s">
        <v>155</v>
      </c>
      <c r="F1" s="26" t="s">
        <v>133</v>
      </c>
      <c r="G1" s="26" t="s">
        <v>156</v>
      </c>
      <c r="H1" s="26" t="s">
        <v>157</v>
      </c>
      <c r="I1" s="26" t="s">
        <v>158</v>
      </c>
      <c r="J1" s="26" t="s">
        <v>159</v>
      </c>
      <c r="K1" s="71" t="s">
        <v>160</v>
      </c>
      <c r="L1" s="71" t="s">
        <v>161</v>
      </c>
      <c r="M1" s="72"/>
      <c r="N1" s="73" t="s">
        <v>162</v>
      </c>
      <c r="O1" s="128"/>
      <c r="P1" s="128"/>
      <c r="Q1" s="128"/>
      <c r="R1" s="128"/>
      <c r="S1" s="128"/>
      <c r="T1" s="128"/>
      <c r="U1" s="128"/>
      <c r="V1" s="128"/>
      <c r="W1" s="128"/>
      <c r="X1" s="128"/>
      <c r="Y1" s="128"/>
      <c r="Z1" s="128"/>
      <c r="AA1" s="134"/>
      <c r="AB1" s="135"/>
      <c r="AC1" s="69"/>
      <c r="AD1" s="69"/>
      <c r="AE1" s="69"/>
      <c r="AF1" s="69"/>
      <c r="AG1" s="69"/>
      <c r="AH1" s="69"/>
      <c r="AI1" s="69"/>
      <c r="AJ1" s="69"/>
      <c r="AK1" s="69"/>
    </row>
    <row r="2" ht="15.75" customHeight="1" spans="1:37">
      <c r="A2" s="141"/>
      <c r="B2" s="27"/>
      <c r="C2" s="27"/>
      <c r="D2" s="27"/>
      <c r="E2" s="27"/>
      <c r="F2" s="27"/>
      <c r="G2" s="29"/>
      <c r="H2" s="27"/>
      <c r="I2" s="74"/>
      <c r="J2" s="75"/>
      <c r="K2" s="76"/>
      <c r="L2" s="218"/>
      <c r="M2" s="278">
        <v>0.7</v>
      </c>
      <c r="N2" s="79" t="s">
        <v>163</v>
      </c>
      <c r="O2" s="129" t="s">
        <v>164</v>
      </c>
      <c r="P2" s="129" t="s">
        <v>165</v>
      </c>
      <c r="Q2" s="129" t="s">
        <v>166</v>
      </c>
      <c r="R2" s="129" t="s">
        <v>167</v>
      </c>
      <c r="S2" s="130" t="s">
        <v>168</v>
      </c>
      <c r="T2" s="79" t="s">
        <v>169</v>
      </c>
      <c r="U2" s="130" t="s">
        <v>170</v>
      </c>
      <c r="V2" s="131" t="s">
        <v>171</v>
      </c>
      <c r="W2" s="131" t="s">
        <v>172</v>
      </c>
      <c r="X2" s="131" t="s">
        <v>44</v>
      </c>
      <c r="Y2" s="131" t="s">
        <v>173</v>
      </c>
      <c r="Z2" s="131" t="s">
        <v>174</v>
      </c>
      <c r="AA2" s="131" t="s">
        <v>44</v>
      </c>
      <c r="AB2" s="135"/>
      <c r="AC2" s="69"/>
      <c r="AD2" s="69"/>
      <c r="AE2" s="69"/>
      <c r="AF2" s="69"/>
      <c r="AG2" s="69"/>
      <c r="AH2" s="69"/>
      <c r="AI2" s="69"/>
      <c r="AJ2" s="69"/>
      <c r="AK2" s="69"/>
    </row>
    <row r="3" ht="15.75" customHeight="1" spans="1:37">
      <c r="A3" s="260">
        <v>45037</v>
      </c>
      <c r="B3" s="101">
        <v>1050050</v>
      </c>
      <c r="C3" s="101"/>
      <c r="D3" s="101"/>
      <c r="E3" s="101"/>
      <c r="F3" s="101"/>
      <c r="G3" s="261"/>
      <c r="H3" s="101"/>
      <c r="I3" s="101"/>
      <c r="J3" s="279"/>
      <c r="K3" s="279"/>
      <c r="L3" s="66"/>
      <c r="M3" s="55"/>
      <c r="N3" s="280"/>
      <c r="O3" s="280"/>
      <c r="P3" s="280"/>
      <c r="Q3" s="280"/>
      <c r="R3" s="280"/>
      <c r="S3" s="280"/>
      <c r="T3" s="280"/>
      <c r="U3" s="280"/>
      <c r="V3" s="280"/>
      <c r="W3" s="280"/>
      <c r="X3" s="288">
        <f t="shared" ref="X3:X4" si="0">SUM(N3:W3)</f>
        <v>0</v>
      </c>
      <c r="Y3" s="280"/>
      <c r="Z3" s="280"/>
      <c r="AA3" s="291">
        <f t="shared" ref="AA3:AA12" si="1">Y3+Z3</f>
        <v>0</v>
      </c>
      <c r="AB3" s="133"/>
      <c r="AC3" s="69"/>
      <c r="AD3" s="69"/>
      <c r="AE3" s="69"/>
      <c r="AF3" s="69"/>
      <c r="AG3" s="69"/>
      <c r="AH3" s="69"/>
      <c r="AI3" s="69"/>
      <c r="AJ3" s="69"/>
      <c r="AK3" s="69"/>
    </row>
    <row r="4" ht="15.75" customHeight="1" spans="1:37">
      <c r="A4" s="262">
        <v>45038</v>
      </c>
      <c r="B4" s="263">
        <v>831000</v>
      </c>
      <c r="C4" s="263"/>
      <c r="D4" s="263"/>
      <c r="E4" s="263"/>
      <c r="F4" s="263"/>
      <c r="G4" s="264">
        <f t="shared" ref="G4:G10" si="2">(B4+C4+D4+E4+F4)-X4</f>
        <v>686500</v>
      </c>
      <c r="H4" s="265">
        <f>'Détail Dépenses'!Y4</f>
        <v>151210</v>
      </c>
      <c r="I4" s="263">
        <f t="shared" ref="I4:I12" si="3">G4-H4</f>
        <v>535290</v>
      </c>
      <c r="J4" s="281">
        <v>585000</v>
      </c>
      <c r="K4" s="281">
        <f t="shared" ref="K4:K12" si="4">I4-J4</f>
        <v>-49710</v>
      </c>
      <c r="L4" s="222">
        <f>J4</f>
        <v>585000</v>
      </c>
      <c r="M4" s="282"/>
      <c r="N4" s="283">
        <v>9000</v>
      </c>
      <c r="O4" s="284">
        <f>76500</f>
        <v>76500</v>
      </c>
      <c r="P4" s="284">
        <v>15000</v>
      </c>
      <c r="Q4" s="284"/>
      <c r="R4" s="284">
        <v>37000</v>
      </c>
      <c r="S4" s="284"/>
      <c r="T4" s="284">
        <v>7000</v>
      </c>
      <c r="U4" s="289"/>
      <c r="V4" s="290"/>
      <c r="W4" s="290"/>
      <c r="X4" s="290">
        <f t="shared" si="0"/>
        <v>144500</v>
      </c>
      <c r="Y4" s="290"/>
      <c r="Z4" s="290"/>
      <c r="AA4" s="292">
        <f t="shared" si="1"/>
        <v>0</v>
      </c>
      <c r="AB4" s="133"/>
      <c r="AC4" s="69"/>
      <c r="AD4" s="69"/>
      <c r="AE4" s="69"/>
      <c r="AF4" s="69"/>
      <c r="AG4" s="69"/>
      <c r="AH4" s="69"/>
      <c r="AI4" s="69"/>
      <c r="AJ4" s="69"/>
      <c r="AK4" s="69"/>
    </row>
    <row r="5" ht="15.75" customHeight="1" spans="1:37">
      <c r="A5" s="202">
        <v>45039</v>
      </c>
      <c r="B5" s="38">
        <v>588700</v>
      </c>
      <c r="C5" s="38"/>
      <c r="D5" s="38"/>
      <c r="E5" s="38"/>
      <c r="F5" s="38"/>
      <c r="G5" s="266">
        <f t="shared" si="2"/>
        <v>492200</v>
      </c>
      <c r="H5" s="267">
        <f>'Détail Dépenses'!Y5</f>
        <v>89405</v>
      </c>
      <c r="I5" s="38">
        <f t="shared" si="3"/>
        <v>402795</v>
      </c>
      <c r="J5" s="85">
        <v>402000</v>
      </c>
      <c r="K5" s="85">
        <f t="shared" si="4"/>
        <v>795</v>
      </c>
      <c r="L5" s="222">
        <f t="shared" ref="L5:L12" si="5">L4+J5</f>
        <v>987000</v>
      </c>
      <c r="M5" s="230"/>
      <c r="N5" s="285"/>
      <c r="O5" s="88">
        <f>12000+22000</f>
        <v>34000</v>
      </c>
      <c r="P5" s="243"/>
      <c r="Q5" s="231">
        <v>9000</v>
      </c>
      <c r="R5" s="88">
        <f>29000+20000</f>
        <v>49000</v>
      </c>
      <c r="S5" s="88"/>
      <c r="T5" s="88">
        <v>4500</v>
      </c>
      <c r="U5" s="243"/>
      <c r="V5" s="245"/>
      <c r="W5" s="245"/>
      <c r="X5" s="245">
        <f>SUM(O5:W5)</f>
        <v>96500</v>
      </c>
      <c r="Y5" s="245"/>
      <c r="Z5" s="245"/>
      <c r="AA5" s="253">
        <f t="shared" si="1"/>
        <v>0</v>
      </c>
      <c r="AB5" s="133"/>
      <c r="AC5" s="69"/>
      <c r="AD5" s="69"/>
      <c r="AE5" s="69"/>
      <c r="AF5" s="69"/>
      <c r="AG5" s="69"/>
      <c r="AH5" s="69"/>
      <c r="AI5" s="69"/>
      <c r="AJ5" s="69"/>
      <c r="AK5" s="69"/>
    </row>
    <row r="6" ht="15.75" customHeight="1" spans="1:37">
      <c r="A6" s="202">
        <v>45040</v>
      </c>
      <c r="B6" s="38">
        <v>150500</v>
      </c>
      <c r="C6" s="38"/>
      <c r="D6" s="38"/>
      <c r="E6" s="38"/>
      <c r="F6" s="38"/>
      <c r="G6" s="266">
        <f t="shared" si="2"/>
        <v>139500</v>
      </c>
      <c r="H6" s="267">
        <f>'Détail Dépenses'!Y6</f>
        <v>165500</v>
      </c>
      <c r="I6" s="38">
        <f t="shared" si="3"/>
        <v>-26000</v>
      </c>
      <c r="J6" s="85"/>
      <c r="K6" s="85">
        <f t="shared" si="4"/>
        <v>-26000</v>
      </c>
      <c r="L6" s="222">
        <f t="shared" si="5"/>
        <v>987000</v>
      </c>
      <c r="M6" s="230"/>
      <c r="N6" s="231">
        <f>11000-6500</f>
        <v>4500</v>
      </c>
      <c r="O6" s="88"/>
      <c r="P6" s="88"/>
      <c r="Q6" s="88">
        <v>6500</v>
      </c>
      <c r="R6" s="88"/>
      <c r="S6" s="88"/>
      <c r="T6" s="88"/>
      <c r="U6" s="243"/>
      <c r="V6" s="245"/>
      <c r="W6" s="245"/>
      <c r="X6" s="245">
        <f t="shared" ref="X6:X8" si="6">SUM(N6:W6)</f>
        <v>11000</v>
      </c>
      <c r="Y6" s="245"/>
      <c r="Z6" s="245">
        <v>500</v>
      </c>
      <c r="AA6" s="253">
        <f t="shared" si="1"/>
        <v>500</v>
      </c>
      <c r="AB6" s="133"/>
      <c r="AC6" s="69"/>
      <c r="AD6" s="69"/>
      <c r="AE6" s="69"/>
      <c r="AF6" s="69"/>
      <c r="AG6" s="69"/>
      <c r="AH6" s="69"/>
      <c r="AI6" s="69"/>
      <c r="AJ6" s="69"/>
      <c r="AK6" s="69"/>
    </row>
    <row r="7" ht="15.75" customHeight="1" spans="1:37">
      <c r="A7" s="202">
        <v>45041</v>
      </c>
      <c r="B7" s="38">
        <v>189000</v>
      </c>
      <c r="C7" s="38"/>
      <c r="D7" s="38"/>
      <c r="E7" s="38"/>
      <c r="F7" s="38"/>
      <c r="G7" s="266">
        <f t="shared" si="2"/>
        <v>157000</v>
      </c>
      <c r="H7" s="267">
        <f>'Détail Dépenses'!Y7</f>
        <v>174000</v>
      </c>
      <c r="I7" s="38">
        <f t="shared" si="3"/>
        <v>-17000</v>
      </c>
      <c r="J7" s="85"/>
      <c r="K7" s="85">
        <f t="shared" si="4"/>
        <v>-17000</v>
      </c>
      <c r="L7" s="222">
        <f t="shared" si="5"/>
        <v>987000</v>
      </c>
      <c r="M7" s="230"/>
      <c r="N7" s="231">
        <v>13500</v>
      </c>
      <c r="O7" s="88">
        <v>18500</v>
      </c>
      <c r="P7" s="88"/>
      <c r="Q7" s="88"/>
      <c r="R7" s="88"/>
      <c r="S7" s="88"/>
      <c r="T7" s="88"/>
      <c r="U7" s="243"/>
      <c r="V7" s="245"/>
      <c r="W7" s="245"/>
      <c r="X7" s="245">
        <f t="shared" si="6"/>
        <v>32000</v>
      </c>
      <c r="Y7" s="245">
        <v>2000</v>
      </c>
      <c r="Z7" s="245">
        <v>500</v>
      </c>
      <c r="AA7" s="253">
        <f t="shared" si="1"/>
        <v>2500</v>
      </c>
      <c r="AB7" s="133"/>
      <c r="AC7" s="69"/>
      <c r="AD7" s="69"/>
      <c r="AE7" s="69"/>
      <c r="AF7" s="69"/>
      <c r="AG7" s="69"/>
      <c r="AH7" s="69"/>
      <c r="AI7" s="69"/>
      <c r="AJ7" s="69"/>
      <c r="AK7" s="69"/>
    </row>
    <row r="8" ht="15.75" customHeight="1" spans="1:37">
      <c r="A8" s="202">
        <v>45042</v>
      </c>
      <c r="B8" s="38">
        <v>682500</v>
      </c>
      <c r="C8" s="38"/>
      <c r="D8" s="38"/>
      <c r="E8" s="38"/>
      <c r="F8" s="38"/>
      <c r="G8" s="266">
        <f t="shared" si="2"/>
        <v>590500</v>
      </c>
      <c r="H8" s="267">
        <f>'Détail Dépenses'!Y8</f>
        <v>176325</v>
      </c>
      <c r="I8" s="38">
        <f t="shared" si="3"/>
        <v>414175</v>
      </c>
      <c r="J8" s="85">
        <v>356000</v>
      </c>
      <c r="K8" s="85">
        <f t="shared" si="4"/>
        <v>58175</v>
      </c>
      <c r="L8" s="222">
        <f t="shared" si="5"/>
        <v>1343000</v>
      </c>
      <c r="M8" s="230"/>
      <c r="N8" s="231">
        <v>18000</v>
      </c>
      <c r="O8" s="88">
        <v>71500</v>
      </c>
      <c r="P8" s="88"/>
      <c r="Q8" s="88"/>
      <c r="R8" s="88"/>
      <c r="S8" s="88"/>
      <c r="T8" s="88">
        <v>2500</v>
      </c>
      <c r="U8" s="243"/>
      <c r="V8" s="245"/>
      <c r="W8" s="245"/>
      <c r="X8" s="245">
        <f t="shared" si="6"/>
        <v>92000</v>
      </c>
      <c r="Y8" s="245">
        <f>2000+500</f>
        <v>2500</v>
      </c>
      <c r="Z8" s="245">
        <v>500</v>
      </c>
      <c r="AA8" s="253">
        <f t="shared" si="1"/>
        <v>3000</v>
      </c>
      <c r="AB8" s="133"/>
      <c r="AC8" s="69"/>
      <c r="AD8" s="69"/>
      <c r="AE8" s="69"/>
      <c r="AF8" s="69"/>
      <c r="AG8" s="69"/>
      <c r="AH8" s="69"/>
      <c r="AI8" s="69"/>
      <c r="AJ8" s="69"/>
      <c r="AK8" s="69"/>
    </row>
    <row r="9" ht="15.75" customHeight="1" spans="1:37">
      <c r="A9" s="202">
        <v>45043</v>
      </c>
      <c r="B9" s="38">
        <v>172500</v>
      </c>
      <c r="C9" s="38"/>
      <c r="D9" s="38"/>
      <c r="E9" s="38"/>
      <c r="F9" s="38"/>
      <c r="G9" s="266">
        <f t="shared" si="2"/>
        <v>164500</v>
      </c>
      <c r="H9" s="267">
        <f>'Détail Dépenses'!Y9</f>
        <v>113700</v>
      </c>
      <c r="I9" s="38">
        <f t="shared" si="3"/>
        <v>50800</v>
      </c>
      <c r="J9" s="85">
        <v>50800</v>
      </c>
      <c r="K9" s="85">
        <f t="shared" si="4"/>
        <v>0</v>
      </c>
      <c r="L9" s="222">
        <f t="shared" si="5"/>
        <v>1393800</v>
      </c>
      <c r="M9" s="230"/>
      <c r="N9" s="285"/>
      <c r="O9" s="88"/>
      <c r="P9" s="243"/>
      <c r="Q9" s="231">
        <v>8000</v>
      </c>
      <c r="R9" s="88"/>
      <c r="S9" s="88"/>
      <c r="T9" s="88"/>
      <c r="U9" s="243"/>
      <c r="V9" s="245"/>
      <c r="W9" s="245"/>
      <c r="X9" s="245">
        <f>SUM(O9:W9)</f>
        <v>8000</v>
      </c>
      <c r="Y9" s="245">
        <v>2000</v>
      </c>
      <c r="Z9" s="245">
        <v>1000</v>
      </c>
      <c r="AA9" s="253">
        <f t="shared" si="1"/>
        <v>3000</v>
      </c>
      <c r="AB9" s="133"/>
      <c r="AC9" s="69"/>
      <c r="AD9" s="69"/>
      <c r="AE9" s="69"/>
      <c r="AF9" s="69"/>
      <c r="AG9" s="69"/>
      <c r="AH9" s="69"/>
      <c r="AI9" s="69"/>
      <c r="AJ9" s="69"/>
      <c r="AK9" s="69"/>
    </row>
    <row r="10" ht="15.75" customHeight="1" spans="1:37">
      <c r="A10" s="204">
        <v>45044</v>
      </c>
      <c r="B10" s="42">
        <v>408500</v>
      </c>
      <c r="C10" s="42"/>
      <c r="D10" s="42"/>
      <c r="E10" s="42"/>
      <c r="F10" s="42"/>
      <c r="G10" s="268">
        <f t="shared" si="2"/>
        <v>289500</v>
      </c>
      <c r="H10" s="269">
        <f>'Détail Dépenses'!Y10</f>
        <v>347750</v>
      </c>
      <c r="I10" s="42">
        <f t="shared" si="3"/>
        <v>-58250</v>
      </c>
      <c r="J10" s="90"/>
      <c r="K10" s="90">
        <f t="shared" si="4"/>
        <v>-58250</v>
      </c>
      <c r="L10" s="225">
        <f t="shared" si="5"/>
        <v>1393800</v>
      </c>
      <c r="M10" s="232"/>
      <c r="N10" s="233">
        <v>15500</v>
      </c>
      <c r="O10" s="93">
        <v>100500</v>
      </c>
      <c r="P10" s="93"/>
      <c r="Q10" s="93"/>
      <c r="R10" s="93"/>
      <c r="S10" s="93"/>
      <c r="T10" s="93">
        <v>3000</v>
      </c>
      <c r="U10" s="244"/>
      <c r="V10" s="246"/>
      <c r="W10" s="246"/>
      <c r="X10" s="246">
        <f t="shared" ref="X10:X13" si="7">SUM(N10:W10)</f>
        <v>119000</v>
      </c>
      <c r="Y10" s="246">
        <v>2000</v>
      </c>
      <c r="Z10" s="246"/>
      <c r="AA10" s="253">
        <f t="shared" si="1"/>
        <v>2000</v>
      </c>
      <c r="AB10" s="133"/>
      <c r="AC10" s="69"/>
      <c r="AD10" s="69"/>
      <c r="AE10" s="69"/>
      <c r="AF10" s="69"/>
      <c r="AG10" s="69"/>
      <c r="AH10" s="69"/>
      <c r="AI10" s="69"/>
      <c r="AJ10" s="69"/>
      <c r="AK10" s="69"/>
    </row>
    <row r="11" ht="15.75" customHeight="1" spans="1:37">
      <c r="A11" s="143">
        <v>45045</v>
      </c>
      <c r="B11" s="33">
        <v>564600</v>
      </c>
      <c r="C11" s="33"/>
      <c r="D11" s="33"/>
      <c r="E11" s="33"/>
      <c r="F11" s="33"/>
      <c r="G11" s="270">
        <f t="shared" ref="G11:G12" si="8">(B11+E11)</f>
        <v>564600</v>
      </c>
      <c r="H11" s="271">
        <f>'Détail Dépenses'!Y11</f>
        <v>119000</v>
      </c>
      <c r="I11" s="33">
        <f t="shared" si="3"/>
        <v>445600</v>
      </c>
      <c r="J11" s="81">
        <v>447600</v>
      </c>
      <c r="K11" s="81">
        <f t="shared" si="4"/>
        <v>-2000</v>
      </c>
      <c r="L11" s="81">
        <f t="shared" si="5"/>
        <v>1841400</v>
      </c>
      <c r="M11" s="286"/>
      <c r="N11" s="229">
        <v>6000</v>
      </c>
      <c r="O11" s="84">
        <v>15500</v>
      </c>
      <c r="P11" s="84"/>
      <c r="Q11" s="84"/>
      <c r="R11" s="84"/>
      <c r="S11" s="84"/>
      <c r="T11" s="84">
        <v>4500</v>
      </c>
      <c r="U11" s="242">
        <v>2500</v>
      </c>
      <c r="V11" s="247"/>
      <c r="W11" s="247"/>
      <c r="X11" s="247">
        <f t="shared" si="7"/>
        <v>28500</v>
      </c>
      <c r="Y11" s="247">
        <v>500</v>
      </c>
      <c r="Z11" s="247"/>
      <c r="AA11" s="253">
        <f t="shared" si="1"/>
        <v>500</v>
      </c>
      <c r="AB11" s="133"/>
      <c r="AC11" s="69"/>
      <c r="AD11" s="69"/>
      <c r="AE11" s="69"/>
      <c r="AF11" s="69"/>
      <c r="AG11" s="69"/>
      <c r="AH11" s="69"/>
      <c r="AI11" s="69"/>
      <c r="AJ11" s="69"/>
      <c r="AK11" s="69"/>
    </row>
    <row r="12" ht="15.75" customHeight="1" spans="1:37">
      <c r="A12" s="147">
        <v>45046</v>
      </c>
      <c r="B12" s="42">
        <v>443000</v>
      </c>
      <c r="C12" s="42"/>
      <c r="D12" s="42"/>
      <c r="E12" s="42"/>
      <c r="F12" s="42"/>
      <c r="G12" s="268">
        <f t="shared" si="8"/>
        <v>443000</v>
      </c>
      <c r="H12" s="269">
        <f>'Détail Dépenses'!Y12</f>
        <v>2007660</v>
      </c>
      <c r="I12" s="42">
        <f t="shared" si="3"/>
        <v>-1564660</v>
      </c>
      <c r="J12" s="90">
        <v>295000</v>
      </c>
      <c r="K12" s="90">
        <f t="shared" si="4"/>
        <v>-1859660</v>
      </c>
      <c r="L12" s="90">
        <f t="shared" si="5"/>
        <v>2136400</v>
      </c>
      <c r="M12" s="287"/>
      <c r="N12" s="233">
        <v>20000</v>
      </c>
      <c r="O12" s="93"/>
      <c r="P12" s="93"/>
      <c r="Q12" s="93"/>
      <c r="R12" s="93"/>
      <c r="S12" s="93"/>
      <c r="T12" s="93"/>
      <c r="U12" s="244"/>
      <c r="V12" s="246"/>
      <c r="W12" s="246"/>
      <c r="X12" s="246">
        <f t="shared" si="7"/>
        <v>20000</v>
      </c>
      <c r="Y12" s="246">
        <v>1000</v>
      </c>
      <c r="Z12" s="246">
        <v>1500</v>
      </c>
      <c r="AA12" s="253">
        <f t="shared" si="1"/>
        <v>2500</v>
      </c>
      <c r="AB12" s="133"/>
      <c r="AC12" s="69"/>
      <c r="AD12" s="69"/>
      <c r="AE12" s="69"/>
      <c r="AF12" s="69"/>
      <c r="AG12" s="69"/>
      <c r="AH12" s="69"/>
      <c r="AI12" s="69"/>
      <c r="AJ12" s="69"/>
      <c r="AK12" s="69"/>
    </row>
    <row r="13" ht="16.5" customHeight="1" spans="1:37">
      <c r="A13" s="150" t="s">
        <v>44</v>
      </c>
      <c r="B13" s="47">
        <f t="shared" ref="B13:K13" si="9">SUM(B3:B12)</f>
        <v>5080350</v>
      </c>
      <c r="C13" s="47">
        <f t="shared" si="9"/>
        <v>0</v>
      </c>
      <c r="D13" s="47">
        <f t="shared" si="9"/>
        <v>0</v>
      </c>
      <c r="E13" s="47">
        <f t="shared" si="9"/>
        <v>0</v>
      </c>
      <c r="F13" s="47">
        <f t="shared" si="9"/>
        <v>0</v>
      </c>
      <c r="G13" s="47">
        <f t="shared" si="9"/>
        <v>3527300</v>
      </c>
      <c r="H13" s="47">
        <f t="shared" si="9"/>
        <v>3344550</v>
      </c>
      <c r="I13" s="47">
        <f t="shared" si="9"/>
        <v>182750</v>
      </c>
      <c r="J13" s="47">
        <f t="shared" si="9"/>
        <v>2136400</v>
      </c>
      <c r="K13" s="47">
        <f t="shared" si="9"/>
        <v>-1953650</v>
      </c>
      <c r="L13" s="47">
        <f>L12</f>
        <v>2136400</v>
      </c>
      <c r="M13" s="238"/>
      <c r="N13" s="239">
        <f t="shared" ref="N13:U13" si="10">SUM(N3:N12)</f>
        <v>86500</v>
      </c>
      <c r="O13" s="239">
        <f t="shared" si="10"/>
        <v>316500</v>
      </c>
      <c r="P13" s="239">
        <f t="shared" si="10"/>
        <v>15000</v>
      </c>
      <c r="Q13" s="239">
        <f t="shared" si="10"/>
        <v>23500</v>
      </c>
      <c r="R13" s="239">
        <f t="shared" si="10"/>
        <v>86000</v>
      </c>
      <c r="S13" s="239">
        <f t="shared" si="10"/>
        <v>0</v>
      </c>
      <c r="T13" s="239">
        <f t="shared" si="10"/>
        <v>21500</v>
      </c>
      <c r="U13" s="239">
        <f t="shared" si="10"/>
        <v>2500</v>
      </c>
      <c r="V13" s="259"/>
      <c r="W13" s="259"/>
      <c r="X13" s="239">
        <f t="shared" si="7"/>
        <v>551500</v>
      </c>
      <c r="Y13" s="239">
        <f t="shared" ref="Y13:Z13" si="11">SUM(Y4:Y12)</f>
        <v>10000</v>
      </c>
      <c r="Z13" s="239">
        <f t="shared" si="11"/>
        <v>4000</v>
      </c>
      <c r="AA13" s="259">
        <f>X13+Y13+Z13</f>
        <v>565500</v>
      </c>
      <c r="AB13" s="133"/>
      <c r="AC13" s="69"/>
      <c r="AD13" s="69"/>
      <c r="AE13" s="69"/>
      <c r="AF13" s="69"/>
      <c r="AG13" s="69"/>
      <c r="AH13" s="69"/>
      <c r="AI13" s="69"/>
      <c r="AJ13" s="69"/>
      <c r="AK13" s="69"/>
    </row>
    <row r="14" ht="15.75" customHeight="1" spans="1:37">
      <c r="A14" s="209" t="s">
        <v>40</v>
      </c>
      <c r="B14" s="210"/>
      <c r="C14" s="238"/>
      <c r="D14" s="238"/>
      <c r="E14" s="238"/>
      <c r="F14" s="238"/>
      <c r="G14" s="272"/>
      <c r="H14" s="273">
        <f t="shared" ref="H14:L14" si="12">H13/$G$13</f>
        <v>0.948189833583761</v>
      </c>
      <c r="I14" s="273">
        <f t="shared" si="12"/>
        <v>0.051810166416239</v>
      </c>
      <c r="J14" s="273">
        <f t="shared" si="12"/>
        <v>0.605675729311371</v>
      </c>
      <c r="K14" s="273">
        <f t="shared" si="12"/>
        <v>-0.553865562895132</v>
      </c>
      <c r="L14" s="273">
        <f t="shared" si="12"/>
        <v>0.605675729311371</v>
      </c>
      <c r="M14" s="238"/>
      <c r="N14" s="273">
        <f t="shared" ref="N14:X14" si="13">N13/$AA$13</f>
        <v>0.152961980548187</v>
      </c>
      <c r="O14" s="273">
        <f t="shared" si="13"/>
        <v>0.559681697612732</v>
      </c>
      <c r="P14" s="273">
        <f t="shared" si="13"/>
        <v>0.026525198938992</v>
      </c>
      <c r="Q14" s="273">
        <f t="shared" si="13"/>
        <v>0.0415561450044209</v>
      </c>
      <c r="R14" s="273">
        <f t="shared" si="13"/>
        <v>0.152077807250221</v>
      </c>
      <c r="S14" s="273">
        <f t="shared" si="13"/>
        <v>0</v>
      </c>
      <c r="T14" s="273">
        <f t="shared" si="13"/>
        <v>0.0380194518125553</v>
      </c>
      <c r="U14" s="273">
        <f t="shared" si="13"/>
        <v>0.00442086648983201</v>
      </c>
      <c r="V14" s="273">
        <f t="shared" si="13"/>
        <v>0</v>
      </c>
      <c r="W14" s="273">
        <f t="shared" si="13"/>
        <v>0</v>
      </c>
      <c r="X14" s="273">
        <f t="shared" si="13"/>
        <v>0.975243147656941</v>
      </c>
      <c r="Y14" s="238"/>
      <c r="Z14" s="238"/>
      <c r="AA14" s="238"/>
      <c r="AB14" s="133"/>
      <c r="AC14" s="69"/>
      <c r="AD14" s="69"/>
      <c r="AE14" s="69"/>
      <c r="AF14" s="69"/>
      <c r="AG14" s="69"/>
      <c r="AH14" s="69"/>
      <c r="AI14" s="69"/>
      <c r="AJ14" s="69"/>
      <c r="AK14" s="69"/>
    </row>
    <row r="15" ht="15.75" customHeight="1" spans="1:37">
      <c r="A15" s="274" t="s">
        <v>156</v>
      </c>
      <c r="B15" s="275">
        <f>G13</f>
        <v>3527300</v>
      </c>
      <c r="C15" s="132"/>
      <c r="D15" s="66"/>
      <c r="E15" s="66"/>
      <c r="F15" s="66"/>
      <c r="G15" s="276"/>
      <c r="H15" s="66"/>
      <c r="I15" s="66"/>
      <c r="J15" s="66"/>
      <c r="K15" s="66"/>
      <c r="L15" s="240"/>
      <c r="M15" s="104" t="s">
        <v>175</v>
      </c>
      <c r="N15" s="105">
        <f t="shared" ref="N15:P15" si="14">N13*(1-$M$2)</f>
        <v>25950</v>
      </c>
      <c r="O15" s="105">
        <f t="shared" si="14"/>
        <v>94950</v>
      </c>
      <c r="P15" s="105">
        <f t="shared" si="14"/>
        <v>4500</v>
      </c>
      <c r="Q15" s="132"/>
      <c r="R15" s="66"/>
      <c r="S15" s="66"/>
      <c r="T15" s="66"/>
      <c r="U15" s="66"/>
      <c r="V15" s="66"/>
      <c r="W15" s="66"/>
      <c r="X15" s="57"/>
      <c r="Y15" s="66"/>
      <c r="Z15" s="66"/>
      <c r="AA15" s="66"/>
      <c r="AB15" s="69"/>
      <c r="AC15" s="69"/>
      <c r="AD15" s="69"/>
      <c r="AE15" s="69"/>
      <c r="AF15" s="69"/>
      <c r="AG15" s="69"/>
      <c r="AH15" s="69"/>
      <c r="AI15" s="69"/>
      <c r="AJ15" s="69"/>
      <c r="AK15" s="69"/>
    </row>
    <row r="16" ht="15.75" customHeight="1" spans="1:37">
      <c r="A16" s="274" t="s">
        <v>176</v>
      </c>
      <c r="B16" s="275">
        <f>'Détail Dépenses'!D13+'Détail Dépenses'!E13+'Détail Dépenses'!G13+'Détail Dépenses'!H13+'Détail Dépenses'!I13</f>
        <v>2941200</v>
      </c>
      <c r="C16" s="133"/>
      <c r="D16" s="69"/>
      <c r="E16" s="69"/>
      <c r="F16" s="69"/>
      <c r="G16" s="70"/>
      <c r="H16" s="69"/>
      <c r="I16" s="69"/>
      <c r="J16" s="69"/>
      <c r="K16" s="69"/>
      <c r="L16" s="69"/>
      <c r="M16" s="66"/>
      <c r="N16" s="66"/>
      <c r="O16" s="66"/>
      <c r="P16" s="66"/>
      <c r="Q16" s="69"/>
      <c r="R16" s="69"/>
      <c r="S16" s="69"/>
      <c r="T16" s="69"/>
      <c r="U16" s="69"/>
      <c r="V16" s="69"/>
      <c r="W16" s="69"/>
      <c r="X16" s="106"/>
      <c r="Y16" s="69"/>
      <c r="Z16" s="69"/>
      <c r="AA16" s="69"/>
      <c r="AB16" s="69"/>
      <c r="AC16" s="69"/>
      <c r="AD16" s="69"/>
      <c r="AE16" s="69"/>
      <c r="AF16" s="69"/>
      <c r="AG16" s="69"/>
      <c r="AH16" s="69"/>
      <c r="AI16" s="69"/>
      <c r="AJ16" s="69"/>
      <c r="AK16" s="69"/>
    </row>
    <row r="17" ht="15.75" customHeight="1" spans="1:37">
      <c r="A17" s="274" t="s">
        <v>177</v>
      </c>
      <c r="B17" s="275">
        <f>G13-B16</f>
        <v>586100</v>
      </c>
      <c r="C17" s="133"/>
      <c r="D17" s="69"/>
      <c r="E17" s="69"/>
      <c r="F17" s="69"/>
      <c r="G17" s="70"/>
      <c r="H17" s="69"/>
      <c r="I17" s="69"/>
      <c r="J17" s="69"/>
      <c r="K17" s="69"/>
      <c r="L17" s="69"/>
      <c r="M17" s="69"/>
      <c r="N17" s="69"/>
      <c r="O17" s="69"/>
      <c r="P17" s="69"/>
      <c r="Q17" s="69"/>
      <c r="R17" s="69"/>
      <c r="S17" s="69"/>
      <c r="T17" s="69"/>
      <c r="U17" s="69"/>
      <c r="V17" s="69"/>
      <c r="W17" s="69"/>
      <c r="X17" s="106"/>
      <c r="Y17" s="69"/>
      <c r="Z17" s="69"/>
      <c r="AA17" s="69"/>
      <c r="AB17" s="69"/>
      <c r="AC17" s="69"/>
      <c r="AD17" s="69"/>
      <c r="AE17" s="69"/>
      <c r="AF17" s="69"/>
      <c r="AG17" s="69"/>
      <c r="AH17" s="69"/>
      <c r="AI17" s="69"/>
      <c r="AJ17" s="69"/>
      <c r="AK17" s="69"/>
    </row>
    <row r="18" ht="15.75" customHeight="1" spans="1:37">
      <c r="A18" s="274" t="s">
        <v>178</v>
      </c>
      <c r="B18" s="277">
        <f>B17/G13</f>
        <v>0.166161086383353</v>
      </c>
      <c r="C18" s="133"/>
      <c r="D18" s="69"/>
      <c r="E18" s="69"/>
      <c r="F18" s="69"/>
      <c r="G18" s="70"/>
      <c r="H18" s="69"/>
      <c r="I18" s="69"/>
      <c r="J18" s="69"/>
      <c r="K18" s="69"/>
      <c r="L18" s="69"/>
      <c r="M18" s="69"/>
      <c r="N18" s="69"/>
      <c r="O18" s="69"/>
      <c r="P18" s="69"/>
      <c r="Q18" s="69"/>
      <c r="R18" s="69"/>
      <c r="S18" s="69"/>
      <c r="T18" s="69"/>
      <c r="U18" s="69"/>
      <c r="V18" s="69"/>
      <c r="W18" s="69"/>
      <c r="X18" s="106"/>
      <c r="Y18" s="69"/>
      <c r="Z18" s="69"/>
      <c r="AA18" s="69"/>
      <c r="AB18" s="69"/>
      <c r="AC18" s="69"/>
      <c r="AD18" s="69"/>
      <c r="AE18" s="69"/>
      <c r="AF18" s="69"/>
      <c r="AG18" s="69"/>
      <c r="AH18" s="69"/>
      <c r="AI18" s="69"/>
      <c r="AJ18" s="69"/>
      <c r="AK18" s="69"/>
    </row>
    <row r="19" ht="15.75" customHeight="1" spans="1:37">
      <c r="A19" s="274" t="s">
        <v>20</v>
      </c>
      <c r="B19" s="275">
        <f>SUM('Détail Dépenses'!J13:V13)+'Détail Dépenses'!F13</f>
        <v>329350</v>
      </c>
      <c r="C19" s="133"/>
      <c r="D19" s="69"/>
      <c r="E19" s="69"/>
      <c r="F19" s="69"/>
      <c r="G19" s="70"/>
      <c r="H19" s="69"/>
      <c r="I19" s="69"/>
      <c r="J19" s="69"/>
      <c r="K19" s="69"/>
      <c r="L19" s="69"/>
      <c r="M19" s="69"/>
      <c r="N19" s="69"/>
      <c r="O19" s="69"/>
      <c r="P19" s="69"/>
      <c r="Q19" s="69"/>
      <c r="R19" s="69"/>
      <c r="S19" s="69"/>
      <c r="T19" s="69"/>
      <c r="U19" s="69"/>
      <c r="V19" s="69"/>
      <c r="W19" s="69"/>
      <c r="X19" s="106"/>
      <c r="Y19" s="69"/>
      <c r="Z19" s="69"/>
      <c r="AA19" s="69"/>
      <c r="AB19" s="69"/>
      <c r="AC19" s="69"/>
      <c r="AD19" s="69"/>
      <c r="AE19" s="69"/>
      <c r="AF19" s="69"/>
      <c r="AG19" s="69"/>
      <c r="AH19" s="69"/>
      <c r="AI19" s="69"/>
      <c r="AJ19" s="69"/>
      <c r="AK19" s="69"/>
    </row>
    <row r="20" ht="15.75" customHeight="1" spans="1:37">
      <c r="A20" s="274" t="s">
        <v>179</v>
      </c>
      <c r="B20" s="275">
        <f>'Détail Dépenses'!W13+'Détail Dépenses'!X13</f>
        <v>114000</v>
      </c>
      <c r="C20" s="133"/>
      <c r="D20" s="69"/>
      <c r="E20" s="69"/>
      <c r="F20" s="69"/>
      <c r="G20" s="70"/>
      <c r="H20" s="69"/>
      <c r="I20" s="69"/>
      <c r="J20" s="69"/>
      <c r="K20" s="69"/>
      <c r="L20" s="69"/>
      <c r="M20" s="69"/>
      <c r="N20" s="69"/>
      <c r="O20" s="69"/>
      <c r="P20" s="69"/>
      <c r="Q20" s="69"/>
      <c r="R20" s="69"/>
      <c r="S20" s="69"/>
      <c r="T20" s="69"/>
      <c r="U20" s="69"/>
      <c r="V20" s="69"/>
      <c r="W20" s="69"/>
      <c r="X20" s="106"/>
      <c r="Y20" s="69"/>
      <c r="Z20" s="69"/>
      <c r="AA20" s="69"/>
      <c r="AB20" s="69"/>
      <c r="AC20" s="69"/>
      <c r="AD20" s="69"/>
      <c r="AE20" s="69"/>
      <c r="AF20" s="69"/>
      <c r="AG20" s="69"/>
      <c r="AH20" s="69"/>
      <c r="AI20" s="69"/>
      <c r="AJ20" s="69"/>
      <c r="AK20" s="69"/>
    </row>
    <row r="21" ht="15.75" customHeight="1" spans="1:37">
      <c r="A21" s="274" t="s">
        <v>180</v>
      </c>
      <c r="B21" s="275">
        <f>B17-B19-B20</f>
        <v>142750</v>
      </c>
      <c r="C21" s="133"/>
      <c r="D21" s="69"/>
      <c r="E21" s="69"/>
      <c r="F21" s="69"/>
      <c r="G21" s="70"/>
      <c r="H21" s="69"/>
      <c r="I21" s="69"/>
      <c r="J21" s="69"/>
      <c r="K21" s="69"/>
      <c r="L21" s="69"/>
      <c r="M21" s="69"/>
      <c r="N21" s="69"/>
      <c r="O21" s="69"/>
      <c r="P21" s="69"/>
      <c r="Q21" s="69"/>
      <c r="R21" s="69"/>
      <c r="S21" s="69"/>
      <c r="T21" s="69"/>
      <c r="U21" s="69"/>
      <c r="V21" s="69"/>
      <c r="W21" s="69"/>
      <c r="X21" s="106"/>
      <c r="Y21" s="69"/>
      <c r="Z21" s="69"/>
      <c r="AA21" s="69"/>
      <c r="AB21" s="69"/>
      <c r="AC21" s="69"/>
      <c r="AD21" s="69"/>
      <c r="AE21" s="69"/>
      <c r="AF21" s="69"/>
      <c r="AG21" s="69"/>
      <c r="AH21" s="69"/>
      <c r="AI21" s="69"/>
      <c r="AJ21" s="69"/>
      <c r="AK21" s="69"/>
    </row>
    <row r="22" ht="15.75" customHeight="1" spans="1:37">
      <c r="A22" s="274" t="s">
        <v>181</v>
      </c>
      <c r="B22" s="277">
        <f>B21/G13</f>
        <v>0.0404700479120007</v>
      </c>
      <c r="C22" s="133"/>
      <c r="D22" s="69"/>
      <c r="E22" s="69"/>
      <c r="F22" s="69"/>
      <c r="G22" s="70"/>
      <c r="H22" s="69"/>
      <c r="I22" s="69"/>
      <c r="J22" s="69"/>
      <c r="K22" s="69"/>
      <c r="L22" s="69"/>
      <c r="M22" s="69"/>
      <c r="N22" s="69"/>
      <c r="O22" s="69"/>
      <c r="P22" s="69"/>
      <c r="Q22" s="69"/>
      <c r="R22" s="69"/>
      <c r="S22" s="69"/>
      <c r="T22" s="69"/>
      <c r="U22" s="69"/>
      <c r="V22" s="69"/>
      <c r="W22" s="69"/>
      <c r="X22" s="106"/>
      <c r="Y22" s="69"/>
      <c r="Z22" s="69"/>
      <c r="AA22" s="69"/>
      <c r="AB22" s="69"/>
      <c r="AC22" s="69"/>
      <c r="AD22" s="69"/>
      <c r="AE22" s="69"/>
      <c r="AF22" s="69"/>
      <c r="AG22" s="69"/>
      <c r="AH22" s="69"/>
      <c r="AI22" s="69"/>
      <c r="AJ22" s="69"/>
      <c r="AK22" s="69"/>
    </row>
    <row r="23" ht="15.75" customHeight="1" spans="1:37">
      <c r="A23" s="274" t="s">
        <v>182</v>
      </c>
      <c r="B23" s="275">
        <f>RHv!B58</f>
        <v>549500</v>
      </c>
      <c r="C23" s="133"/>
      <c r="D23" s="69"/>
      <c r="E23" s="69"/>
      <c r="F23" s="69"/>
      <c r="G23" s="70"/>
      <c r="H23" s="69"/>
      <c r="I23" s="69"/>
      <c r="J23" s="69"/>
      <c r="K23" s="69"/>
      <c r="L23" s="69"/>
      <c r="M23" s="69"/>
      <c r="N23" s="69"/>
      <c r="O23" s="69"/>
      <c r="P23" s="69"/>
      <c r="Q23" s="69"/>
      <c r="R23" s="69"/>
      <c r="S23" s="69"/>
      <c r="T23" s="69"/>
      <c r="U23" s="69"/>
      <c r="V23" s="69"/>
      <c r="W23" s="69"/>
      <c r="X23" s="106"/>
      <c r="Y23" s="69"/>
      <c r="Z23" s="69"/>
      <c r="AA23" s="69"/>
      <c r="AB23" s="69"/>
      <c r="AC23" s="69"/>
      <c r="AD23" s="69"/>
      <c r="AE23" s="69"/>
      <c r="AF23" s="69"/>
      <c r="AG23" s="69"/>
      <c r="AH23" s="69"/>
      <c r="AI23" s="69"/>
      <c r="AJ23" s="69"/>
      <c r="AK23" s="69"/>
    </row>
    <row r="24" ht="15.75" customHeight="1" spans="1:37">
      <c r="A24" s="274" t="s">
        <v>183</v>
      </c>
      <c r="B24" s="64">
        <f>B21-B23</f>
        <v>-406750</v>
      </c>
      <c r="C24" s="133"/>
      <c r="D24" s="69"/>
      <c r="E24" s="69"/>
      <c r="F24" s="69"/>
      <c r="G24" s="70"/>
      <c r="H24" s="69"/>
      <c r="I24" s="69"/>
      <c r="J24" s="69"/>
      <c r="K24" s="69"/>
      <c r="L24" s="69"/>
      <c r="M24" s="69"/>
      <c r="N24" s="69"/>
      <c r="O24" s="69"/>
      <c r="P24" s="69"/>
      <c r="Q24" s="69"/>
      <c r="R24" s="69"/>
      <c r="S24" s="69"/>
      <c r="T24" s="69"/>
      <c r="U24" s="69"/>
      <c r="V24" s="69"/>
      <c r="W24" s="69"/>
      <c r="X24" s="106"/>
      <c r="Y24" s="69"/>
      <c r="Z24" s="69"/>
      <c r="AA24" s="69"/>
      <c r="AB24" s="69"/>
      <c r="AC24" s="69"/>
      <c r="AD24" s="69"/>
      <c r="AE24" s="69"/>
      <c r="AF24" s="69"/>
      <c r="AG24" s="69"/>
      <c r="AH24" s="69"/>
      <c r="AI24" s="69"/>
      <c r="AJ24" s="69"/>
      <c r="AK24" s="69"/>
    </row>
    <row r="25" ht="15.75" customHeight="1" spans="1:37">
      <c r="A25" s="274" t="s">
        <v>184</v>
      </c>
      <c r="B25" s="277">
        <f>B24/G13</f>
        <v>-0.115314830039974</v>
      </c>
      <c r="C25" s="133"/>
      <c r="D25" s="69"/>
      <c r="E25" s="69"/>
      <c r="F25" s="69"/>
      <c r="G25" s="70"/>
      <c r="H25" s="69"/>
      <c r="I25" s="69"/>
      <c r="J25" s="69"/>
      <c r="K25" s="69"/>
      <c r="L25" s="69"/>
      <c r="M25" s="69"/>
      <c r="N25" s="69"/>
      <c r="O25" s="69"/>
      <c r="P25" s="69"/>
      <c r="Q25" s="69"/>
      <c r="R25" s="69"/>
      <c r="S25" s="69"/>
      <c r="T25" s="69"/>
      <c r="U25" s="69"/>
      <c r="V25" s="69"/>
      <c r="W25" s="69"/>
      <c r="X25" s="106"/>
      <c r="Y25" s="69"/>
      <c r="Z25" s="69"/>
      <c r="AA25" s="69"/>
      <c r="AB25" s="69"/>
      <c r="AC25" s="69"/>
      <c r="AD25" s="69"/>
      <c r="AE25" s="69"/>
      <c r="AF25" s="69"/>
      <c r="AG25" s="69"/>
      <c r="AH25" s="69"/>
      <c r="AI25" s="69"/>
      <c r="AJ25" s="69"/>
      <c r="AK25" s="69"/>
    </row>
    <row r="26" ht="15.75" customHeight="1" spans="1:37">
      <c r="A26" s="162"/>
      <c r="B26" s="66"/>
      <c r="C26" s="69"/>
      <c r="D26" s="69"/>
      <c r="E26" s="69"/>
      <c r="F26" s="69"/>
      <c r="G26" s="70"/>
      <c r="H26" s="69"/>
      <c r="I26" s="69"/>
      <c r="J26" s="69"/>
      <c r="K26" s="69"/>
      <c r="L26" s="69"/>
      <c r="M26" s="69"/>
      <c r="N26" s="69"/>
      <c r="O26" s="69"/>
      <c r="P26" s="69"/>
      <c r="Q26" s="69"/>
      <c r="R26" s="69"/>
      <c r="S26" s="69"/>
      <c r="T26" s="69"/>
      <c r="U26" s="69"/>
      <c r="V26" s="69"/>
      <c r="W26" s="69"/>
      <c r="X26" s="106"/>
      <c r="Y26" s="69"/>
      <c r="Z26" s="69"/>
      <c r="AA26" s="69"/>
      <c r="AB26" s="69"/>
      <c r="AC26" s="69"/>
      <c r="AD26" s="69"/>
      <c r="AE26" s="69"/>
      <c r="AF26" s="69"/>
      <c r="AG26" s="69"/>
      <c r="AH26" s="69"/>
      <c r="AI26" s="69"/>
      <c r="AJ26" s="69"/>
      <c r="AK26" s="69"/>
    </row>
    <row r="27" ht="15.75" customHeight="1" spans="1:37">
      <c r="A27" s="163"/>
      <c r="B27" s="69"/>
      <c r="C27" s="69"/>
      <c r="D27" s="69"/>
      <c r="E27" s="69"/>
      <c r="F27" s="69"/>
      <c r="G27" s="70"/>
      <c r="H27" s="69"/>
      <c r="I27" s="69"/>
      <c r="J27" s="69"/>
      <c r="K27" s="69"/>
      <c r="L27" s="69"/>
      <c r="M27" s="69"/>
      <c r="N27" s="69"/>
      <c r="O27" s="69"/>
      <c r="P27" s="69"/>
      <c r="Q27" s="69"/>
      <c r="R27" s="69"/>
      <c r="S27" s="69"/>
      <c r="T27" s="69"/>
      <c r="U27" s="69"/>
      <c r="V27" s="69"/>
      <c r="W27" s="69"/>
      <c r="X27" s="106"/>
      <c r="Y27" s="69"/>
      <c r="Z27" s="69"/>
      <c r="AA27" s="69"/>
      <c r="AB27" s="69"/>
      <c r="AC27" s="69"/>
      <c r="AD27" s="69"/>
      <c r="AE27" s="69"/>
      <c r="AF27" s="69"/>
      <c r="AG27" s="69"/>
      <c r="AH27" s="69"/>
      <c r="AI27" s="69"/>
      <c r="AJ27" s="69"/>
      <c r="AK27" s="69"/>
    </row>
    <row r="28" ht="15.75" customHeight="1" spans="1:37">
      <c r="A28" s="163"/>
      <c r="B28" s="69"/>
      <c r="C28" s="69"/>
      <c r="D28" s="69"/>
      <c r="E28" s="69"/>
      <c r="F28" s="69"/>
      <c r="G28" s="70"/>
      <c r="H28" s="69"/>
      <c r="I28" s="69"/>
      <c r="J28" s="69"/>
      <c r="K28" s="69"/>
      <c r="L28" s="69"/>
      <c r="M28" s="69"/>
      <c r="N28" s="69"/>
      <c r="O28" s="69"/>
      <c r="P28" s="69"/>
      <c r="Q28" s="69"/>
      <c r="R28" s="69"/>
      <c r="S28" s="69"/>
      <c r="T28" s="69"/>
      <c r="U28" s="69"/>
      <c r="V28" s="69"/>
      <c r="W28" s="69"/>
      <c r="X28" s="106"/>
      <c r="Y28" s="69"/>
      <c r="Z28" s="69"/>
      <c r="AA28" s="69"/>
      <c r="AB28" s="69"/>
      <c r="AC28" s="69"/>
      <c r="AD28" s="69"/>
      <c r="AE28" s="69"/>
      <c r="AF28" s="69"/>
      <c r="AG28" s="69"/>
      <c r="AH28" s="69"/>
      <c r="AI28" s="69"/>
      <c r="AJ28" s="69"/>
      <c r="AK28" s="69"/>
    </row>
    <row r="29" ht="15.75" customHeight="1" spans="1:37">
      <c r="A29" s="163"/>
      <c r="B29" s="69"/>
      <c r="C29" s="69"/>
      <c r="D29" s="69"/>
      <c r="E29" s="69"/>
      <c r="F29" s="69"/>
      <c r="G29" s="70"/>
      <c r="H29" s="69"/>
      <c r="I29" s="69"/>
      <c r="J29" s="69"/>
      <c r="K29" s="69"/>
      <c r="L29" s="69"/>
      <c r="M29" s="69"/>
      <c r="N29" s="69"/>
      <c r="O29" s="69"/>
      <c r="P29" s="69"/>
      <c r="Q29" s="69"/>
      <c r="R29" s="69"/>
      <c r="S29" s="69"/>
      <c r="T29" s="69"/>
      <c r="U29" s="69"/>
      <c r="V29" s="69"/>
      <c r="W29" s="69"/>
      <c r="X29" s="106"/>
      <c r="Y29" s="69"/>
      <c r="Z29" s="69"/>
      <c r="AA29" s="69"/>
      <c r="AB29" s="69"/>
      <c r="AC29" s="69"/>
      <c r="AD29" s="69"/>
      <c r="AE29" s="69"/>
      <c r="AF29" s="69"/>
      <c r="AG29" s="69"/>
      <c r="AH29" s="69"/>
      <c r="AI29" s="69"/>
      <c r="AJ29" s="69"/>
      <c r="AK29" s="69"/>
    </row>
    <row r="30" ht="15.75" customHeight="1" spans="1:37">
      <c r="A30" s="163"/>
      <c r="B30" s="69"/>
      <c r="C30" s="69"/>
      <c r="D30" s="69"/>
      <c r="E30" s="69"/>
      <c r="F30" s="69"/>
      <c r="G30" s="70"/>
      <c r="H30" s="69"/>
      <c r="I30" s="69"/>
      <c r="J30" s="69"/>
      <c r="K30" s="69"/>
      <c r="L30" s="69"/>
      <c r="M30" s="69"/>
      <c r="N30" s="69"/>
      <c r="O30" s="69"/>
      <c r="P30" s="69"/>
      <c r="Q30" s="69"/>
      <c r="R30" s="69"/>
      <c r="S30" s="69"/>
      <c r="T30" s="69"/>
      <c r="U30" s="69"/>
      <c r="V30" s="69"/>
      <c r="W30" s="69"/>
      <c r="X30" s="106"/>
      <c r="Y30" s="69"/>
      <c r="Z30" s="69"/>
      <c r="AA30" s="69"/>
      <c r="AB30" s="69"/>
      <c r="AC30" s="69"/>
      <c r="AD30" s="69"/>
      <c r="AE30" s="69"/>
      <c r="AF30" s="69"/>
      <c r="AG30" s="69"/>
      <c r="AH30" s="69"/>
      <c r="AI30" s="69"/>
      <c r="AJ30" s="69"/>
      <c r="AK30" s="69"/>
    </row>
    <row r="31" ht="15.75" customHeight="1" spans="1:37">
      <c r="A31" s="163"/>
      <c r="B31" s="69"/>
      <c r="C31" s="69"/>
      <c r="D31" s="69"/>
      <c r="E31" s="69"/>
      <c r="F31" s="69"/>
      <c r="G31" s="70"/>
      <c r="H31" s="69"/>
      <c r="I31" s="69"/>
      <c r="J31" s="69"/>
      <c r="K31" s="69"/>
      <c r="L31" s="69"/>
      <c r="M31" s="69"/>
      <c r="N31" s="69"/>
      <c r="O31" s="69"/>
      <c r="P31" s="69"/>
      <c r="Q31" s="69"/>
      <c r="R31" s="69"/>
      <c r="S31" s="69"/>
      <c r="T31" s="69"/>
      <c r="U31" s="69"/>
      <c r="V31" s="69"/>
      <c r="W31" s="69"/>
      <c r="X31" s="106"/>
      <c r="Y31" s="69"/>
      <c r="Z31" s="69"/>
      <c r="AA31" s="69"/>
      <c r="AB31" s="69"/>
      <c r="AC31" s="69"/>
      <c r="AD31" s="69"/>
      <c r="AE31" s="69"/>
      <c r="AF31" s="69"/>
      <c r="AG31" s="69"/>
      <c r="AH31" s="69"/>
      <c r="AI31" s="69"/>
      <c r="AJ31" s="69"/>
      <c r="AK31" s="69"/>
    </row>
    <row r="32" ht="15.75" customHeight="1" spans="1:37">
      <c r="A32" s="163"/>
      <c r="B32" s="69"/>
      <c r="C32" s="69"/>
      <c r="D32" s="69"/>
      <c r="E32" s="69"/>
      <c r="F32" s="69"/>
      <c r="G32" s="70"/>
      <c r="H32" s="69"/>
      <c r="I32" s="69"/>
      <c r="J32" s="69"/>
      <c r="K32" s="69"/>
      <c r="L32" s="69"/>
      <c r="M32" s="69"/>
      <c r="N32" s="69"/>
      <c r="O32" s="69"/>
      <c r="P32" s="69"/>
      <c r="Q32" s="69"/>
      <c r="R32" s="69"/>
      <c r="S32" s="69"/>
      <c r="T32" s="69"/>
      <c r="U32" s="69"/>
      <c r="V32" s="69"/>
      <c r="W32" s="69"/>
      <c r="X32" s="106"/>
      <c r="Y32" s="69"/>
      <c r="Z32" s="69"/>
      <c r="AA32" s="69"/>
      <c r="AB32" s="69"/>
      <c r="AC32" s="69"/>
      <c r="AD32" s="69"/>
      <c r="AE32" s="69"/>
      <c r="AF32" s="69"/>
      <c r="AG32" s="69"/>
      <c r="AH32" s="69"/>
      <c r="AI32" s="69"/>
      <c r="AJ32" s="69"/>
      <c r="AK32" s="69"/>
    </row>
    <row r="33" ht="15.75" customHeight="1" spans="1:37">
      <c r="A33" s="163"/>
      <c r="B33" s="69"/>
      <c r="C33" s="69"/>
      <c r="D33" s="69"/>
      <c r="E33" s="69"/>
      <c r="F33" s="69"/>
      <c r="G33" s="70"/>
      <c r="H33" s="69"/>
      <c r="I33" s="69"/>
      <c r="J33" s="69"/>
      <c r="K33" s="69"/>
      <c r="L33" s="69"/>
      <c r="M33" s="69"/>
      <c r="N33" s="69"/>
      <c r="O33" s="69"/>
      <c r="P33" s="69"/>
      <c r="Q33" s="69"/>
      <c r="R33" s="69"/>
      <c r="S33" s="69"/>
      <c r="T33" s="69"/>
      <c r="U33" s="69"/>
      <c r="V33" s="69"/>
      <c r="W33" s="69"/>
      <c r="X33" s="106"/>
      <c r="Y33" s="69"/>
      <c r="Z33" s="69"/>
      <c r="AA33" s="69"/>
      <c r="AB33" s="69"/>
      <c r="AC33" s="69"/>
      <c r="AD33" s="69"/>
      <c r="AE33" s="69"/>
      <c r="AF33" s="69"/>
      <c r="AG33" s="69"/>
      <c r="AH33" s="69"/>
      <c r="AI33" s="69"/>
      <c r="AJ33" s="69"/>
      <c r="AK33" s="69"/>
    </row>
    <row r="34" ht="15.75" customHeight="1" spans="1:37">
      <c r="A34" s="163"/>
      <c r="B34" s="69"/>
      <c r="C34" s="69"/>
      <c r="D34" s="69"/>
      <c r="E34" s="69"/>
      <c r="F34" s="69"/>
      <c r="G34" s="70"/>
      <c r="H34" s="69"/>
      <c r="I34" s="69"/>
      <c r="J34" s="69"/>
      <c r="K34" s="69"/>
      <c r="L34" s="69"/>
      <c r="M34" s="69"/>
      <c r="N34" s="69"/>
      <c r="O34" s="69"/>
      <c r="P34" s="69"/>
      <c r="Q34" s="69"/>
      <c r="R34" s="69"/>
      <c r="S34" s="69"/>
      <c r="T34" s="69"/>
      <c r="U34" s="69"/>
      <c r="V34" s="69"/>
      <c r="W34" s="69"/>
      <c r="X34" s="106"/>
      <c r="Y34" s="69"/>
      <c r="Z34" s="69"/>
      <c r="AA34" s="69"/>
      <c r="AB34" s="69"/>
      <c r="AC34" s="69"/>
      <c r="AD34" s="69"/>
      <c r="AE34" s="69"/>
      <c r="AF34" s="69"/>
      <c r="AG34" s="69"/>
      <c r="AH34" s="69"/>
      <c r="AI34" s="69"/>
      <c r="AJ34" s="69"/>
      <c r="AK34" s="69"/>
    </row>
    <row r="35" ht="15.75" customHeight="1" spans="1:37">
      <c r="A35" s="163"/>
      <c r="B35" s="69"/>
      <c r="C35" s="69"/>
      <c r="D35" s="69"/>
      <c r="E35" s="69"/>
      <c r="F35" s="69"/>
      <c r="G35" s="70"/>
      <c r="H35" s="69"/>
      <c r="I35" s="69"/>
      <c r="J35" s="69"/>
      <c r="K35" s="69"/>
      <c r="L35" s="69"/>
      <c r="M35" s="69"/>
      <c r="N35" s="69"/>
      <c r="O35" s="69"/>
      <c r="P35" s="69"/>
      <c r="Q35" s="69"/>
      <c r="R35" s="69"/>
      <c r="S35" s="69"/>
      <c r="T35" s="69"/>
      <c r="U35" s="69"/>
      <c r="V35" s="69"/>
      <c r="W35" s="69"/>
      <c r="X35" s="106"/>
      <c r="Y35" s="69"/>
      <c r="Z35" s="69"/>
      <c r="AA35" s="69"/>
      <c r="AB35" s="69"/>
      <c r="AC35" s="69"/>
      <c r="AD35" s="69"/>
      <c r="AE35" s="69"/>
      <c r="AF35" s="69"/>
      <c r="AG35" s="69"/>
      <c r="AH35" s="69"/>
      <c r="AI35" s="69"/>
      <c r="AJ35" s="69"/>
      <c r="AK35" s="69"/>
    </row>
    <row r="36" ht="15.75" customHeight="1" spans="1:37">
      <c r="A36" s="163"/>
      <c r="B36" s="69"/>
      <c r="C36" s="69"/>
      <c r="D36" s="69"/>
      <c r="E36" s="69"/>
      <c r="F36" s="69"/>
      <c r="G36" s="70"/>
      <c r="H36" s="69"/>
      <c r="I36" s="69"/>
      <c r="J36" s="69"/>
      <c r="K36" s="69"/>
      <c r="L36" s="69"/>
      <c r="M36" s="69"/>
      <c r="N36" s="69"/>
      <c r="O36" s="69"/>
      <c r="P36" s="69"/>
      <c r="Q36" s="69"/>
      <c r="R36" s="69"/>
      <c r="S36" s="69"/>
      <c r="T36" s="69"/>
      <c r="U36" s="69"/>
      <c r="V36" s="69"/>
      <c r="W36" s="69"/>
      <c r="X36" s="106"/>
      <c r="Y36" s="69"/>
      <c r="Z36" s="69"/>
      <c r="AA36" s="69"/>
      <c r="AB36" s="69"/>
      <c r="AC36" s="69"/>
      <c r="AD36" s="69"/>
      <c r="AE36" s="69"/>
      <c r="AF36" s="69"/>
      <c r="AG36" s="69"/>
      <c r="AH36" s="69"/>
      <c r="AI36" s="69"/>
      <c r="AJ36" s="69"/>
      <c r="AK36" s="69"/>
    </row>
    <row r="37" ht="15.75" customHeight="1" spans="1:37">
      <c r="A37" s="163"/>
      <c r="B37" s="69"/>
      <c r="C37" s="69"/>
      <c r="D37" s="69"/>
      <c r="E37" s="69"/>
      <c r="F37" s="69"/>
      <c r="G37" s="70"/>
      <c r="H37" s="69"/>
      <c r="I37" s="69"/>
      <c r="J37" s="69"/>
      <c r="K37" s="69"/>
      <c r="L37" s="69"/>
      <c r="M37" s="69"/>
      <c r="N37" s="69"/>
      <c r="O37" s="69"/>
      <c r="P37" s="69"/>
      <c r="Q37" s="69"/>
      <c r="R37" s="69"/>
      <c r="S37" s="69"/>
      <c r="T37" s="69"/>
      <c r="U37" s="69"/>
      <c r="V37" s="69"/>
      <c r="W37" s="69"/>
      <c r="X37" s="106"/>
      <c r="Y37" s="69"/>
      <c r="Z37" s="69"/>
      <c r="AA37" s="69"/>
      <c r="AB37" s="69"/>
      <c r="AC37" s="69"/>
      <c r="AD37" s="69"/>
      <c r="AE37" s="69"/>
      <c r="AF37" s="69"/>
      <c r="AG37" s="69"/>
      <c r="AH37" s="69"/>
      <c r="AI37" s="69"/>
      <c r="AJ37" s="69"/>
      <c r="AK37" s="69"/>
    </row>
    <row r="38" ht="15.75" customHeight="1" spans="1:37">
      <c r="A38" s="163"/>
      <c r="B38" s="69"/>
      <c r="C38" s="69"/>
      <c r="D38" s="69"/>
      <c r="E38" s="69"/>
      <c r="F38" s="69"/>
      <c r="G38" s="70"/>
      <c r="H38" s="69"/>
      <c r="I38" s="69"/>
      <c r="J38" s="69"/>
      <c r="K38" s="69"/>
      <c r="L38" s="69"/>
      <c r="M38" s="69"/>
      <c r="N38" s="69"/>
      <c r="O38" s="69"/>
      <c r="P38" s="69"/>
      <c r="Q38" s="69"/>
      <c r="R38" s="69"/>
      <c r="S38" s="69"/>
      <c r="T38" s="69"/>
      <c r="U38" s="69"/>
      <c r="V38" s="69"/>
      <c r="W38" s="69"/>
      <c r="X38" s="106"/>
      <c r="Y38" s="69"/>
      <c r="Z38" s="69"/>
      <c r="AA38" s="69"/>
      <c r="AB38" s="69"/>
      <c r="AC38" s="69"/>
      <c r="AD38" s="69"/>
      <c r="AE38" s="69"/>
      <c r="AF38" s="69"/>
      <c r="AG38" s="69"/>
      <c r="AH38" s="69"/>
      <c r="AI38" s="69"/>
      <c r="AJ38" s="69"/>
      <c r="AK38" s="69"/>
    </row>
    <row r="39" ht="15.75" customHeight="1" spans="1:37">
      <c r="A39" s="163"/>
      <c r="B39" s="69"/>
      <c r="C39" s="69"/>
      <c r="D39" s="69"/>
      <c r="E39" s="69"/>
      <c r="F39" s="69"/>
      <c r="G39" s="70"/>
      <c r="H39" s="69"/>
      <c r="I39" s="69"/>
      <c r="J39" s="69"/>
      <c r="K39" s="69"/>
      <c r="L39" s="69"/>
      <c r="M39" s="69"/>
      <c r="N39" s="69"/>
      <c r="O39" s="69"/>
      <c r="P39" s="69"/>
      <c r="Q39" s="69"/>
      <c r="R39" s="69"/>
      <c r="S39" s="69"/>
      <c r="T39" s="69"/>
      <c r="U39" s="69"/>
      <c r="V39" s="69"/>
      <c r="W39" s="69"/>
      <c r="X39" s="106"/>
      <c r="Y39" s="69"/>
      <c r="Z39" s="69"/>
      <c r="AA39" s="69"/>
      <c r="AB39" s="69"/>
      <c r="AC39" s="69"/>
      <c r="AD39" s="69"/>
      <c r="AE39" s="69"/>
      <c r="AF39" s="69"/>
      <c r="AG39" s="69"/>
      <c r="AH39" s="69"/>
      <c r="AI39" s="69"/>
      <c r="AJ39" s="69"/>
      <c r="AK39" s="69"/>
    </row>
    <row r="40" ht="15.75" customHeight="1" spans="1:37">
      <c r="A40" s="163"/>
      <c r="B40" s="69"/>
      <c r="C40" s="69"/>
      <c r="D40" s="69"/>
      <c r="E40" s="69"/>
      <c r="F40" s="69"/>
      <c r="G40" s="70"/>
      <c r="H40" s="69"/>
      <c r="I40" s="69"/>
      <c r="J40" s="69"/>
      <c r="K40" s="69"/>
      <c r="L40" s="69"/>
      <c r="M40" s="69"/>
      <c r="N40" s="69"/>
      <c r="O40" s="69"/>
      <c r="P40" s="69"/>
      <c r="Q40" s="69"/>
      <c r="R40" s="69"/>
      <c r="S40" s="69"/>
      <c r="T40" s="69"/>
      <c r="U40" s="69"/>
      <c r="V40" s="69"/>
      <c r="W40" s="69"/>
      <c r="X40" s="106"/>
      <c r="Y40" s="69"/>
      <c r="Z40" s="69"/>
      <c r="AA40" s="69"/>
      <c r="AB40" s="69"/>
      <c r="AC40" s="69"/>
      <c r="AD40" s="69"/>
      <c r="AE40" s="69"/>
      <c r="AF40" s="69"/>
      <c r="AG40" s="69"/>
      <c r="AH40" s="69"/>
      <c r="AI40" s="69"/>
      <c r="AJ40" s="69"/>
      <c r="AK40" s="69"/>
    </row>
    <row r="41" ht="15.75" customHeight="1" spans="1:37">
      <c r="A41" s="163"/>
      <c r="B41" s="69"/>
      <c r="C41" s="69"/>
      <c r="D41" s="69"/>
      <c r="E41" s="69"/>
      <c r="F41" s="69"/>
      <c r="G41" s="70"/>
      <c r="H41" s="69"/>
      <c r="I41" s="69"/>
      <c r="J41" s="69"/>
      <c r="K41" s="69"/>
      <c r="L41" s="69"/>
      <c r="M41" s="69"/>
      <c r="N41" s="69"/>
      <c r="O41" s="69"/>
      <c r="P41" s="69"/>
      <c r="Q41" s="69"/>
      <c r="R41" s="69"/>
      <c r="S41" s="69"/>
      <c r="T41" s="69"/>
      <c r="U41" s="69"/>
      <c r="V41" s="69"/>
      <c r="W41" s="69"/>
      <c r="X41" s="106"/>
      <c r="Y41" s="69"/>
      <c r="Z41" s="69"/>
      <c r="AA41" s="69"/>
      <c r="AB41" s="69"/>
      <c r="AC41" s="69"/>
      <c r="AD41" s="69"/>
      <c r="AE41" s="69"/>
      <c r="AF41" s="69"/>
      <c r="AG41" s="69"/>
      <c r="AH41" s="69"/>
      <c r="AI41" s="69"/>
      <c r="AJ41" s="69"/>
      <c r="AK41" s="69"/>
    </row>
    <row r="42" ht="15.75" customHeight="1" spans="1:37">
      <c r="A42" s="163"/>
      <c r="B42" s="69"/>
      <c r="C42" s="69"/>
      <c r="D42" s="69"/>
      <c r="E42" s="69"/>
      <c r="F42" s="69"/>
      <c r="G42" s="70"/>
      <c r="H42" s="69"/>
      <c r="I42" s="69"/>
      <c r="J42" s="69"/>
      <c r="K42" s="69"/>
      <c r="L42" s="69"/>
      <c r="M42" s="69"/>
      <c r="N42" s="69"/>
      <c r="O42" s="69"/>
      <c r="P42" s="69"/>
      <c r="Q42" s="69"/>
      <c r="R42" s="69"/>
      <c r="S42" s="69"/>
      <c r="T42" s="69"/>
      <c r="U42" s="69"/>
      <c r="V42" s="69"/>
      <c r="W42" s="69"/>
      <c r="X42" s="106"/>
      <c r="Y42" s="69"/>
      <c r="Z42" s="69"/>
      <c r="AA42" s="69"/>
      <c r="AB42" s="69"/>
      <c r="AC42" s="69"/>
      <c r="AD42" s="69"/>
      <c r="AE42" s="69"/>
      <c r="AF42" s="69"/>
      <c r="AG42" s="69"/>
      <c r="AH42" s="69"/>
      <c r="AI42" s="69"/>
      <c r="AJ42" s="69"/>
      <c r="AK42" s="69"/>
    </row>
    <row r="43" ht="15.75" customHeight="1" spans="1:37">
      <c r="A43" s="163"/>
      <c r="B43" s="69"/>
      <c r="C43" s="69"/>
      <c r="D43" s="69"/>
      <c r="E43" s="69"/>
      <c r="F43" s="69"/>
      <c r="G43" s="70"/>
      <c r="H43" s="69"/>
      <c r="I43" s="69"/>
      <c r="J43" s="69"/>
      <c r="K43" s="69"/>
      <c r="L43" s="69"/>
      <c r="M43" s="69"/>
      <c r="N43" s="69"/>
      <c r="O43" s="69"/>
      <c r="P43" s="69"/>
      <c r="Q43" s="69"/>
      <c r="R43" s="69"/>
      <c r="S43" s="69"/>
      <c r="T43" s="69"/>
      <c r="U43" s="69"/>
      <c r="V43" s="69"/>
      <c r="W43" s="69"/>
      <c r="X43" s="106"/>
      <c r="Y43" s="69"/>
      <c r="Z43" s="69"/>
      <c r="AA43" s="69"/>
      <c r="AB43" s="69"/>
      <c r="AC43" s="69"/>
      <c r="AD43" s="69"/>
      <c r="AE43" s="69"/>
      <c r="AF43" s="69"/>
      <c r="AG43" s="69"/>
      <c r="AH43" s="69"/>
      <c r="AI43" s="69"/>
      <c r="AJ43" s="69"/>
      <c r="AK43" s="69"/>
    </row>
    <row r="44" ht="15.75" customHeight="1" spans="1:37">
      <c r="A44" s="163"/>
      <c r="B44" s="69"/>
      <c r="C44" s="69"/>
      <c r="D44" s="69"/>
      <c r="E44" s="69"/>
      <c r="F44" s="69"/>
      <c r="G44" s="70"/>
      <c r="H44" s="69"/>
      <c r="I44" s="69"/>
      <c r="J44" s="69"/>
      <c r="K44" s="69"/>
      <c r="L44" s="69"/>
      <c r="M44" s="69"/>
      <c r="N44" s="69"/>
      <c r="O44" s="69"/>
      <c r="P44" s="69"/>
      <c r="Q44" s="69"/>
      <c r="R44" s="69"/>
      <c r="S44" s="69"/>
      <c r="T44" s="69"/>
      <c r="U44" s="69"/>
      <c r="V44" s="69"/>
      <c r="W44" s="69"/>
      <c r="X44" s="106"/>
      <c r="Y44" s="69"/>
      <c r="Z44" s="69"/>
      <c r="AA44" s="69"/>
      <c r="AB44" s="69"/>
      <c r="AC44" s="69"/>
      <c r="AD44" s="69"/>
      <c r="AE44" s="69"/>
      <c r="AF44" s="69"/>
      <c r="AG44" s="69"/>
      <c r="AH44" s="69"/>
      <c r="AI44" s="69"/>
      <c r="AJ44" s="69"/>
      <c r="AK44" s="69"/>
    </row>
    <row r="45" ht="15.75" customHeight="1" spans="1:37">
      <c r="A45" s="163"/>
      <c r="B45" s="69"/>
      <c r="C45" s="69"/>
      <c r="D45" s="69"/>
      <c r="E45" s="69"/>
      <c r="F45" s="69"/>
      <c r="G45" s="70"/>
      <c r="H45" s="69"/>
      <c r="I45" s="69"/>
      <c r="J45" s="69"/>
      <c r="K45" s="69"/>
      <c r="L45" s="69"/>
      <c r="M45" s="69"/>
      <c r="N45" s="69"/>
      <c r="O45" s="69"/>
      <c r="P45" s="69"/>
      <c r="Q45" s="69"/>
      <c r="R45" s="69"/>
      <c r="S45" s="69"/>
      <c r="T45" s="69"/>
      <c r="U45" s="69"/>
      <c r="V45" s="69"/>
      <c r="W45" s="69"/>
      <c r="X45" s="106"/>
      <c r="Y45" s="69"/>
      <c r="Z45" s="69"/>
      <c r="AA45" s="69"/>
      <c r="AB45" s="69"/>
      <c r="AC45" s="69"/>
      <c r="AD45" s="69"/>
      <c r="AE45" s="69"/>
      <c r="AF45" s="69"/>
      <c r="AG45" s="69"/>
      <c r="AH45" s="69"/>
      <c r="AI45" s="69"/>
      <c r="AJ45" s="69"/>
      <c r="AK45" s="69"/>
    </row>
    <row r="46" ht="15.75" customHeight="1" spans="1:37">
      <c r="A46" s="163"/>
      <c r="B46" s="69"/>
      <c r="C46" s="69"/>
      <c r="D46" s="69"/>
      <c r="E46" s="69"/>
      <c r="F46" s="69"/>
      <c r="G46" s="70"/>
      <c r="H46" s="69"/>
      <c r="I46" s="69"/>
      <c r="J46" s="69"/>
      <c r="K46" s="69"/>
      <c r="L46" s="69"/>
      <c r="M46" s="69"/>
      <c r="N46" s="69"/>
      <c r="O46" s="69"/>
      <c r="P46" s="69"/>
      <c r="Q46" s="69"/>
      <c r="R46" s="69"/>
      <c r="S46" s="69"/>
      <c r="T46" s="69"/>
      <c r="U46" s="69"/>
      <c r="V46" s="69"/>
      <c r="W46" s="69"/>
      <c r="X46" s="106"/>
      <c r="Y46" s="69"/>
      <c r="Z46" s="69"/>
      <c r="AA46" s="69"/>
      <c r="AB46" s="69"/>
      <c r="AC46" s="69"/>
      <c r="AD46" s="69"/>
      <c r="AE46" s="69"/>
      <c r="AF46" s="69"/>
      <c r="AG46" s="69"/>
      <c r="AH46" s="69"/>
      <c r="AI46" s="69"/>
      <c r="AJ46" s="69"/>
      <c r="AK46" s="69"/>
    </row>
    <row r="47" ht="15.75" customHeight="1" spans="1:37">
      <c r="A47" s="163"/>
      <c r="B47" s="69"/>
      <c r="C47" s="69"/>
      <c r="D47" s="69"/>
      <c r="E47" s="69"/>
      <c r="F47" s="69"/>
      <c r="G47" s="70"/>
      <c r="H47" s="69"/>
      <c r="I47" s="69"/>
      <c r="J47" s="69"/>
      <c r="K47" s="69"/>
      <c r="L47" s="69"/>
      <c r="M47" s="69"/>
      <c r="N47" s="69"/>
      <c r="O47" s="69"/>
      <c r="P47" s="69"/>
      <c r="Q47" s="69"/>
      <c r="R47" s="69"/>
      <c r="S47" s="69"/>
      <c r="T47" s="69"/>
      <c r="U47" s="69"/>
      <c r="V47" s="69"/>
      <c r="W47" s="69"/>
      <c r="X47" s="106"/>
      <c r="Y47" s="69"/>
      <c r="Z47" s="69"/>
      <c r="AA47" s="69"/>
      <c r="AB47" s="69"/>
      <c r="AC47" s="69"/>
      <c r="AD47" s="69"/>
      <c r="AE47" s="69"/>
      <c r="AF47" s="69"/>
      <c r="AG47" s="69"/>
      <c r="AH47" s="69"/>
      <c r="AI47" s="69"/>
      <c r="AJ47" s="69"/>
      <c r="AK47" s="69"/>
    </row>
    <row r="48" ht="15.75" customHeight="1" spans="1:37">
      <c r="A48" s="163"/>
      <c r="B48" s="69"/>
      <c r="C48" s="69"/>
      <c r="D48" s="69"/>
      <c r="E48" s="69"/>
      <c r="F48" s="69"/>
      <c r="G48" s="70"/>
      <c r="H48" s="69"/>
      <c r="I48" s="69"/>
      <c r="J48" s="69"/>
      <c r="K48" s="69"/>
      <c r="L48" s="69"/>
      <c r="M48" s="69"/>
      <c r="N48" s="69"/>
      <c r="O48" s="69"/>
      <c r="P48" s="69"/>
      <c r="Q48" s="69"/>
      <c r="R48" s="69"/>
      <c r="S48" s="69"/>
      <c r="T48" s="69"/>
      <c r="U48" s="69"/>
      <c r="V48" s="69"/>
      <c r="W48" s="69"/>
      <c r="X48" s="106"/>
      <c r="Y48" s="69"/>
      <c r="Z48" s="69"/>
      <c r="AA48" s="69"/>
      <c r="AB48" s="69"/>
      <c r="AC48" s="69"/>
      <c r="AD48" s="69"/>
      <c r="AE48" s="69"/>
      <c r="AF48" s="69"/>
      <c r="AG48" s="69"/>
      <c r="AH48" s="69"/>
      <c r="AI48" s="69"/>
      <c r="AJ48" s="69"/>
      <c r="AK48" s="69"/>
    </row>
    <row r="49" ht="15.75" customHeight="1" spans="1:37">
      <c r="A49" s="163"/>
      <c r="B49" s="69"/>
      <c r="C49" s="69"/>
      <c r="D49" s="69"/>
      <c r="E49" s="69"/>
      <c r="F49" s="69"/>
      <c r="G49" s="70"/>
      <c r="H49" s="69"/>
      <c r="I49" s="69"/>
      <c r="J49" s="69"/>
      <c r="K49" s="69"/>
      <c r="L49" s="69"/>
      <c r="M49" s="69"/>
      <c r="N49" s="69"/>
      <c r="O49" s="69"/>
      <c r="P49" s="69"/>
      <c r="Q49" s="69"/>
      <c r="R49" s="69"/>
      <c r="S49" s="69"/>
      <c r="T49" s="69"/>
      <c r="U49" s="69"/>
      <c r="V49" s="69"/>
      <c r="W49" s="69"/>
      <c r="X49" s="106"/>
      <c r="Y49" s="69"/>
      <c r="Z49" s="69"/>
      <c r="AA49" s="69"/>
      <c r="AB49" s="69"/>
      <c r="AC49" s="69"/>
      <c r="AD49" s="69"/>
      <c r="AE49" s="69"/>
      <c r="AF49" s="69"/>
      <c r="AG49" s="69"/>
      <c r="AH49" s="69"/>
      <c r="AI49" s="69"/>
      <c r="AJ49" s="69"/>
      <c r="AK49" s="69"/>
    </row>
    <row r="50" ht="15.75" customHeight="1" spans="1:37">
      <c r="A50" s="163"/>
      <c r="B50" s="69"/>
      <c r="C50" s="69"/>
      <c r="D50" s="69"/>
      <c r="E50" s="69"/>
      <c r="F50" s="69"/>
      <c r="G50" s="70"/>
      <c r="H50" s="69"/>
      <c r="I50" s="69"/>
      <c r="J50" s="69"/>
      <c r="K50" s="69"/>
      <c r="L50" s="69"/>
      <c r="M50" s="69"/>
      <c r="N50" s="69"/>
      <c r="O50" s="69"/>
      <c r="P50" s="69"/>
      <c r="Q50" s="69"/>
      <c r="R50" s="69"/>
      <c r="S50" s="69"/>
      <c r="T50" s="69"/>
      <c r="U50" s="69"/>
      <c r="V50" s="69"/>
      <c r="W50" s="69"/>
      <c r="X50" s="106"/>
      <c r="Y50" s="69"/>
      <c r="Z50" s="69"/>
      <c r="AA50" s="69"/>
      <c r="AB50" s="69"/>
      <c r="AC50" s="69"/>
      <c r="AD50" s="69"/>
      <c r="AE50" s="69"/>
      <c r="AF50" s="69"/>
      <c r="AG50" s="69"/>
      <c r="AH50" s="69"/>
      <c r="AI50" s="69"/>
      <c r="AJ50" s="69"/>
      <c r="AK50" s="69"/>
    </row>
    <row r="51" ht="15.75" customHeight="1" spans="1:37">
      <c r="A51" s="163"/>
      <c r="B51" s="69"/>
      <c r="C51" s="69"/>
      <c r="D51" s="69"/>
      <c r="E51" s="69"/>
      <c r="F51" s="69"/>
      <c r="G51" s="70"/>
      <c r="H51" s="69"/>
      <c r="I51" s="69"/>
      <c r="J51" s="69"/>
      <c r="K51" s="69"/>
      <c r="L51" s="69"/>
      <c r="M51" s="69"/>
      <c r="N51" s="69"/>
      <c r="O51" s="69"/>
      <c r="P51" s="69"/>
      <c r="Q51" s="69"/>
      <c r="R51" s="69"/>
      <c r="S51" s="69"/>
      <c r="T51" s="69"/>
      <c r="U51" s="69"/>
      <c r="V51" s="69"/>
      <c r="W51" s="69"/>
      <c r="X51" s="106"/>
      <c r="Y51" s="69"/>
      <c r="Z51" s="69"/>
      <c r="AA51" s="69"/>
      <c r="AB51" s="69"/>
      <c r="AC51" s="69"/>
      <c r="AD51" s="69"/>
      <c r="AE51" s="69"/>
      <c r="AF51" s="69"/>
      <c r="AG51" s="69"/>
      <c r="AH51" s="69"/>
      <c r="AI51" s="69"/>
      <c r="AJ51" s="69"/>
      <c r="AK51" s="69"/>
    </row>
    <row r="52" ht="15.75" customHeight="1" spans="1:37">
      <c r="A52" s="163"/>
      <c r="B52" s="69"/>
      <c r="C52" s="69"/>
      <c r="D52" s="69"/>
      <c r="E52" s="69"/>
      <c r="F52" s="69"/>
      <c r="G52" s="70"/>
      <c r="H52" s="69"/>
      <c r="I52" s="69"/>
      <c r="J52" s="69"/>
      <c r="K52" s="69"/>
      <c r="L52" s="69"/>
      <c r="M52" s="69"/>
      <c r="N52" s="69"/>
      <c r="O52" s="69"/>
      <c r="P52" s="69"/>
      <c r="Q52" s="69"/>
      <c r="R52" s="69"/>
      <c r="S52" s="69"/>
      <c r="T52" s="69"/>
      <c r="U52" s="69"/>
      <c r="V52" s="69"/>
      <c r="W52" s="69"/>
      <c r="X52" s="106"/>
      <c r="Y52" s="69"/>
      <c r="Z52" s="69"/>
      <c r="AA52" s="69"/>
      <c r="AB52" s="69"/>
      <c r="AC52" s="69"/>
      <c r="AD52" s="69"/>
      <c r="AE52" s="69"/>
      <c r="AF52" s="69"/>
      <c r="AG52" s="69"/>
      <c r="AH52" s="69"/>
      <c r="AI52" s="69"/>
      <c r="AJ52" s="69"/>
      <c r="AK52" s="69"/>
    </row>
    <row r="53" ht="15.75" customHeight="1" spans="1:37">
      <c r="A53" s="163"/>
      <c r="B53" s="69"/>
      <c r="C53" s="69"/>
      <c r="D53" s="69"/>
      <c r="E53" s="69"/>
      <c r="F53" s="69"/>
      <c r="G53" s="70"/>
      <c r="H53" s="69"/>
      <c r="I53" s="69"/>
      <c r="J53" s="69"/>
      <c r="K53" s="69"/>
      <c r="L53" s="69"/>
      <c r="M53" s="69"/>
      <c r="N53" s="69"/>
      <c r="O53" s="69"/>
      <c r="P53" s="69"/>
      <c r="Q53" s="69"/>
      <c r="R53" s="69"/>
      <c r="S53" s="69"/>
      <c r="T53" s="69"/>
      <c r="U53" s="69"/>
      <c r="V53" s="69"/>
      <c r="W53" s="69"/>
      <c r="X53" s="106"/>
      <c r="Y53" s="69"/>
      <c r="Z53" s="69"/>
      <c r="AA53" s="69"/>
      <c r="AB53" s="69"/>
      <c r="AC53" s="69"/>
      <c r="AD53" s="69"/>
      <c r="AE53" s="69"/>
      <c r="AF53" s="69"/>
      <c r="AG53" s="69"/>
      <c r="AH53" s="69"/>
      <c r="AI53" s="69"/>
      <c r="AJ53" s="69"/>
      <c r="AK53" s="69"/>
    </row>
    <row r="54" ht="15.75" customHeight="1" spans="1:37">
      <c r="A54" s="163"/>
      <c r="B54" s="69"/>
      <c r="C54" s="69"/>
      <c r="D54" s="69"/>
      <c r="E54" s="69"/>
      <c r="F54" s="69"/>
      <c r="G54" s="70"/>
      <c r="H54" s="69"/>
      <c r="I54" s="69"/>
      <c r="J54" s="69"/>
      <c r="K54" s="69"/>
      <c r="L54" s="69"/>
      <c r="M54" s="69"/>
      <c r="N54" s="69"/>
      <c r="O54" s="69"/>
      <c r="P54" s="69"/>
      <c r="Q54" s="69"/>
      <c r="R54" s="69"/>
      <c r="S54" s="69"/>
      <c r="T54" s="69"/>
      <c r="U54" s="69"/>
      <c r="V54" s="69"/>
      <c r="W54" s="69"/>
      <c r="X54" s="106"/>
      <c r="Y54" s="69"/>
      <c r="Z54" s="69"/>
      <c r="AA54" s="69"/>
      <c r="AB54" s="69"/>
      <c r="AC54" s="69"/>
      <c r="AD54" s="69"/>
      <c r="AE54" s="69"/>
      <c r="AF54" s="69"/>
      <c r="AG54" s="69"/>
      <c r="AH54" s="69"/>
      <c r="AI54" s="69"/>
      <c r="AJ54" s="69"/>
      <c r="AK54" s="69"/>
    </row>
    <row r="55" ht="15.75" customHeight="1" spans="1:37">
      <c r="A55" s="163"/>
      <c r="B55" s="69"/>
      <c r="C55" s="69"/>
      <c r="D55" s="69"/>
      <c r="E55" s="69"/>
      <c r="F55" s="69"/>
      <c r="G55" s="70"/>
      <c r="H55" s="69"/>
      <c r="I55" s="69"/>
      <c r="J55" s="69"/>
      <c r="K55" s="69"/>
      <c r="L55" s="69"/>
      <c r="M55" s="69"/>
      <c r="N55" s="69"/>
      <c r="O55" s="69"/>
      <c r="P55" s="69"/>
      <c r="Q55" s="69"/>
      <c r="R55" s="69"/>
      <c r="S55" s="69"/>
      <c r="T55" s="69"/>
      <c r="U55" s="69"/>
      <c r="V55" s="69"/>
      <c r="W55" s="69"/>
      <c r="X55" s="106"/>
      <c r="Y55" s="69"/>
      <c r="Z55" s="69"/>
      <c r="AA55" s="69"/>
      <c r="AB55" s="69"/>
      <c r="AC55" s="69"/>
      <c r="AD55" s="69"/>
      <c r="AE55" s="69"/>
      <c r="AF55" s="69"/>
      <c r="AG55" s="69"/>
      <c r="AH55" s="69"/>
      <c r="AI55" s="69"/>
      <c r="AJ55" s="69"/>
      <c r="AK55" s="69"/>
    </row>
    <row r="56" ht="15.75" customHeight="1" spans="1:37">
      <c r="A56" s="163"/>
      <c r="B56" s="69"/>
      <c r="C56" s="69"/>
      <c r="D56" s="69"/>
      <c r="E56" s="69"/>
      <c r="F56" s="69"/>
      <c r="G56" s="70"/>
      <c r="H56" s="69"/>
      <c r="I56" s="69"/>
      <c r="J56" s="69"/>
      <c r="K56" s="69"/>
      <c r="L56" s="69"/>
      <c r="M56" s="69"/>
      <c r="N56" s="69"/>
      <c r="O56" s="69"/>
      <c r="P56" s="69"/>
      <c r="Q56" s="69"/>
      <c r="R56" s="69"/>
      <c r="S56" s="69"/>
      <c r="T56" s="69"/>
      <c r="U56" s="69"/>
      <c r="V56" s="69"/>
      <c r="W56" s="69"/>
      <c r="X56" s="106"/>
      <c r="Y56" s="69"/>
      <c r="Z56" s="69"/>
      <c r="AA56" s="69"/>
      <c r="AB56" s="69"/>
      <c r="AC56" s="69"/>
      <c r="AD56" s="69"/>
      <c r="AE56" s="69"/>
      <c r="AF56" s="69"/>
      <c r="AG56" s="69"/>
      <c r="AH56" s="69"/>
      <c r="AI56" s="69"/>
      <c r="AJ56" s="69"/>
      <c r="AK56" s="69"/>
    </row>
    <row r="57" ht="15.75" customHeight="1" spans="1:37">
      <c r="A57" s="163"/>
      <c r="B57" s="69"/>
      <c r="C57" s="69"/>
      <c r="D57" s="69"/>
      <c r="E57" s="69"/>
      <c r="F57" s="69"/>
      <c r="G57" s="70"/>
      <c r="H57" s="69"/>
      <c r="I57" s="69"/>
      <c r="J57" s="69"/>
      <c r="K57" s="69"/>
      <c r="L57" s="69"/>
      <c r="M57" s="69"/>
      <c r="N57" s="69"/>
      <c r="O57" s="69"/>
      <c r="P57" s="69"/>
      <c r="Q57" s="69"/>
      <c r="R57" s="69"/>
      <c r="S57" s="69"/>
      <c r="T57" s="69"/>
      <c r="U57" s="69"/>
      <c r="V57" s="69"/>
      <c r="W57" s="69"/>
      <c r="X57" s="106"/>
      <c r="Y57" s="69"/>
      <c r="Z57" s="69"/>
      <c r="AA57" s="69"/>
      <c r="AB57" s="69"/>
      <c r="AC57" s="69"/>
      <c r="AD57" s="69"/>
      <c r="AE57" s="69"/>
      <c r="AF57" s="69"/>
      <c r="AG57" s="69"/>
      <c r="AH57" s="69"/>
      <c r="AI57" s="69"/>
      <c r="AJ57" s="69"/>
      <c r="AK57" s="69"/>
    </row>
    <row r="58" ht="15.75" customHeight="1" spans="1:37">
      <c r="A58" s="163"/>
      <c r="B58" s="69"/>
      <c r="C58" s="69"/>
      <c r="D58" s="69"/>
      <c r="E58" s="69"/>
      <c r="F58" s="69"/>
      <c r="G58" s="70"/>
      <c r="H58" s="69"/>
      <c r="I58" s="69"/>
      <c r="J58" s="69"/>
      <c r="K58" s="69"/>
      <c r="L58" s="69"/>
      <c r="M58" s="69"/>
      <c r="N58" s="69"/>
      <c r="O58" s="69"/>
      <c r="P58" s="69"/>
      <c r="Q58" s="69"/>
      <c r="R58" s="69"/>
      <c r="S58" s="69"/>
      <c r="T58" s="69"/>
      <c r="U58" s="69"/>
      <c r="V58" s="69"/>
      <c r="W58" s="69"/>
      <c r="X58" s="106"/>
      <c r="Y58" s="69"/>
      <c r="Z58" s="69"/>
      <c r="AA58" s="69"/>
      <c r="AB58" s="69"/>
      <c r="AC58" s="69"/>
      <c r="AD58" s="69"/>
      <c r="AE58" s="69"/>
      <c r="AF58" s="69"/>
      <c r="AG58" s="69"/>
      <c r="AH58" s="69"/>
      <c r="AI58" s="69"/>
      <c r="AJ58" s="69"/>
      <c r="AK58" s="69"/>
    </row>
    <row r="59" ht="15.75" customHeight="1" spans="1:37">
      <c r="A59" s="163"/>
      <c r="B59" s="69"/>
      <c r="C59" s="69"/>
      <c r="D59" s="69"/>
      <c r="E59" s="69"/>
      <c r="F59" s="69"/>
      <c r="G59" s="70"/>
      <c r="H59" s="69"/>
      <c r="I59" s="69"/>
      <c r="J59" s="69"/>
      <c r="K59" s="69"/>
      <c r="L59" s="69"/>
      <c r="M59" s="69"/>
      <c r="N59" s="69"/>
      <c r="O59" s="69"/>
      <c r="P59" s="69"/>
      <c r="Q59" s="69"/>
      <c r="R59" s="69"/>
      <c r="S59" s="69"/>
      <c r="T59" s="69"/>
      <c r="U59" s="69"/>
      <c r="V59" s="69"/>
      <c r="W59" s="69"/>
      <c r="X59" s="106"/>
      <c r="Y59" s="69"/>
      <c r="Z59" s="69"/>
      <c r="AA59" s="69"/>
      <c r="AB59" s="69"/>
      <c r="AC59" s="69"/>
      <c r="AD59" s="69"/>
      <c r="AE59" s="69"/>
      <c r="AF59" s="69"/>
      <c r="AG59" s="69"/>
      <c r="AH59" s="69"/>
      <c r="AI59" s="69"/>
      <c r="AJ59" s="69"/>
      <c r="AK59" s="69"/>
    </row>
    <row r="60" ht="15.75" customHeight="1" spans="1:37">
      <c r="A60" s="163"/>
      <c r="B60" s="69"/>
      <c r="C60" s="69"/>
      <c r="D60" s="69"/>
      <c r="E60" s="69"/>
      <c r="F60" s="69"/>
      <c r="G60" s="70"/>
      <c r="H60" s="69"/>
      <c r="I60" s="69"/>
      <c r="J60" s="69"/>
      <c r="K60" s="69"/>
      <c r="L60" s="69"/>
      <c r="M60" s="69"/>
      <c r="N60" s="69"/>
      <c r="O60" s="69"/>
      <c r="P60" s="69"/>
      <c r="Q60" s="69"/>
      <c r="R60" s="69"/>
      <c r="S60" s="69"/>
      <c r="T60" s="69"/>
      <c r="U60" s="69"/>
      <c r="V60" s="69"/>
      <c r="W60" s="69"/>
      <c r="X60" s="106"/>
      <c r="Y60" s="69"/>
      <c r="Z60" s="69"/>
      <c r="AA60" s="69"/>
      <c r="AB60" s="69"/>
      <c r="AC60" s="69"/>
      <c r="AD60" s="69"/>
      <c r="AE60" s="69"/>
      <c r="AF60" s="69"/>
      <c r="AG60" s="69"/>
      <c r="AH60" s="69"/>
      <c r="AI60" s="69"/>
      <c r="AJ60" s="69"/>
      <c r="AK60" s="69"/>
    </row>
    <row r="61" ht="15.75" customHeight="1" spans="1:37">
      <c r="A61" s="163"/>
      <c r="B61" s="69"/>
      <c r="C61" s="69"/>
      <c r="D61" s="69"/>
      <c r="E61" s="69"/>
      <c r="F61" s="69"/>
      <c r="G61" s="70"/>
      <c r="H61" s="69"/>
      <c r="I61" s="69"/>
      <c r="J61" s="69"/>
      <c r="K61" s="69"/>
      <c r="L61" s="69"/>
      <c r="M61" s="69"/>
      <c r="N61" s="69"/>
      <c r="O61" s="69"/>
      <c r="P61" s="69"/>
      <c r="Q61" s="69"/>
      <c r="R61" s="69"/>
      <c r="S61" s="69"/>
      <c r="T61" s="69"/>
      <c r="U61" s="69"/>
      <c r="V61" s="69"/>
      <c r="W61" s="69"/>
      <c r="X61" s="106"/>
      <c r="Y61" s="69"/>
      <c r="Z61" s="69"/>
      <c r="AA61" s="69"/>
      <c r="AB61" s="69"/>
      <c r="AC61" s="69"/>
      <c r="AD61" s="69"/>
      <c r="AE61" s="69"/>
      <c r="AF61" s="69"/>
      <c r="AG61" s="69"/>
      <c r="AH61" s="69"/>
      <c r="AI61" s="69"/>
      <c r="AJ61" s="69"/>
      <c r="AK61" s="69"/>
    </row>
    <row r="62" ht="15.75" customHeight="1" spans="1:37">
      <c r="A62" s="163"/>
      <c r="B62" s="69"/>
      <c r="C62" s="69"/>
      <c r="D62" s="69"/>
      <c r="E62" s="69"/>
      <c r="F62" s="69"/>
      <c r="G62" s="70"/>
      <c r="H62" s="69"/>
      <c r="I62" s="69"/>
      <c r="J62" s="69"/>
      <c r="K62" s="69"/>
      <c r="L62" s="69"/>
      <c r="M62" s="69"/>
      <c r="N62" s="69"/>
      <c r="O62" s="69"/>
      <c r="P62" s="69"/>
      <c r="Q62" s="69"/>
      <c r="R62" s="69"/>
      <c r="S62" s="69"/>
      <c r="T62" s="69"/>
      <c r="U62" s="69"/>
      <c r="V62" s="69"/>
      <c r="W62" s="69"/>
      <c r="X62" s="106"/>
      <c r="Y62" s="69"/>
      <c r="Z62" s="69"/>
      <c r="AA62" s="69"/>
      <c r="AB62" s="69"/>
      <c r="AC62" s="69"/>
      <c r="AD62" s="69"/>
      <c r="AE62" s="69"/>
      <c r="AF62" s="69"/>
      <c r="AG62" s="69"/>
      <c r="AH62" s="69"/>
      <c r="AI62" s="69"/>
      <c r="AJ62" s="69"/>
      <c r="AK62" s="69"/>
    </row>
    <row r="63" ht="15.75" customHeight="1" spans="1:37">
      <c r="A63" s="163"/>
      <c r="B63" s="69"/>
      <c r="C63" s="69"/>
      <c r="D63" s="69"/>
      <c r="E63" s="69"/>
      <c r="F63" s="69"/>
      <c r="G63" s="70"/>
      <c r="H63" s="69"/>
      <c r="I63" s="69"/>
      <c r="J63" s="69"/>
      <c r="K63" s="69"/>
      <c r="L63" s="69"/>
      <c r="M63" s="69"/>
      <c r="N63" s="69"/>
      <c r="O63" s="69"/>
      <c r="P63" s="69"/>
      <c r="Q63" s="69"/>
      <c r="R63" s="69"/>
      <c r="S63" s="69"/>
      <c r="T63" s="69"/>
      <c r="U63" s="69"/>
      <c r="V63" s="69"/>
      <c r="W63" s="69"/>
      <c r="X63" s="106"/>
      <c r="Y63" s="69"/>
      <c r="Z63" s="69"/>
      <c r="AA63" s="69"/>
      <c r="AB63" s="69"/>
      <c r="AC63" s="69"/>
      <c r="AD63" s="69"/>
      <c r="AE63" s="69"/>
      <c r="AF63" s="69"/>
      <c r="AG63" s="69"/>
      <c r="AH63" s="69"/>
      <c r="AI63" s="69"/>
      <c r="AJ63" s="69"/>
      <c r="AK63" s="69"/>
    </row>
    <row r="64" ht="15.75" customHeight="1" spans="1:37">
      <c r="A64" s="163"/>
      <c r="B64" s="69"/>
      <c r="C64" s="69"/>
      <c r="D64" s="69"/>
      <c r="E64" s="69"/>
      <c r="F64" s="69"/>
      <c r="G64" s="70"/>
      <c r="H64" s="69"/>
      <c r="I64" s="69"/>
      <c r="J64" s="69"/>
      <c r="K64" s="69"/>
      <c r="L64" s="69"/>
      <c r="M64" s="69"/>
      <c r="N64" s="69"/>
      <c r="O64" s="69"/>
      <c r="P64" s="69"/>
      <c r="Q64" s="69"/>
      <c r="R64" s="69"/>
      <c r="S64" s="69"/>
      <c r="T64" s="69"/>
      <c r="U64" s="69"/>
      <c r="V64" s="69"/>
      <c r="W64" s="69"/>
      <c r="X64" s="106"/>
      <c r="Y64" s="69"/>
      <c r="Z64" s="69"/>
      <c r="AA64" s="69"/>
      <c r="AB64" s="69"/>
      <c r="AC64" s="69"/>
      <c r="AD64" s="69"/>
      <c r="AE64" s="69"/>
      <c r="AF64" s="69"/>
      <c r="AG64" s="69"/>
      <c r="AH64" s="69"/>
      <c r="AI64" s="69"/>
      <c r="AJ64" s="69"/>
      <c r="AK64" s="69"/>
    </row>
    <row r="65" ht="15.75" customHeight="1" spans="1:37">
      <c r="A65" s="163"/>
      <c r="B65" s="69"/>
      <c r="C65" s="69"/>
      <c r="D65" s="69"/>
      <c r="E65" s="69"/>
      <c r="F65" s="69"/>
      <c r="G65" s="70"/>
      <c r="H65" s="69"/>
      <c r="I65" s="69"/>
      <c r="J65" s="69"/>
      <c r="K65" s="69"/>
      <c r="L65" s="69"/>
      <c r="M65" s="69"/>
      <c r="N65" s="69"/>
      <c r="O65" s="69"/>
      <c r="P65" s="69"/>
      <c r="Q65" s="69"/>
      <c r="R65" s="69"/>
      <c r="S65" s="69"/>
      <c r="T65" s="69"/>
      <c r="U65" s="69"/>
      <c r="V65" s="69"/>
      <c r="W65" s="69"/>
      <c r="X65" s="106"/>
      <c r="Y65" s="69"/>
      <c r="Z65" s="69"/>
      <c r="AA65" s="69"/>
      <c r="AB65" s="69"/>
      <c r="AC65" s="69"/>
      <c r="AD65" s="69"/>
      <c r="AE65" s="69"/>
      <c r="AF65" s="69"/>
      <c r="AG65" s="69"/>
      <c r="AH65" s="69"/>
      <c r="AI65" s="69"/>
      <c r="AJ65" s="69"/>
      <c r="AK65" s="69"/>
    </row>
    <row r="66" ht="15.75" customHeight="1" spans="1:37">
      <c r="A66" s="163"/>
      <c r="B66" s="69"/>
      <c r="C66" s="69"/>
      <c r="D66" s="69"/>
      <c r="E66" s="69"/>
      <c r="F66" s="69"/>
      <c r="G66" s="70"/>
      <c r="H66" s="69"/>
      <c r="I66" s="69"/>
      <c r="J66" s="69"/>
      <c r="K66" s="69"/>
      <c r="L66" s="69"/>
      <c r="M66" s="69"/>
      <c r="N66" s="69"/>
      <c r="O66" s="69"/>
      <c r="P66" s="69"/>
      <c r="Q66" s="69"/>
      <c r="R66" s="69"/>
      <c r="S66" s="69"/>
      <c r="T66" s="69"/>
      <c r="U66" s="69"/>
      <c r="V66" s="69"/>
      <c r="W66" s="69"/>
      <c r="X66" s="106"/>
      <c r="Y66" s="69"/>
      <c r="Z66" s="69"/>
      <c r="AA66" s="69"/>
      <c r="AB66" s="69"/>
      <c r="AC66" s="69"/>
      <c r="AD66" s="69"/>
      <c r="AE66" s="69"/>
      <c r="AF66" s="69"/>
      <c r="AG66" s="69"/>
      <c r="AH66" s="69"/>
      <c r="AI66" s="69"/>
      <c r="AJ66" s="69"/>
      <c r="AK66" s="69"/>
    </row>
    <row r="67" ht="15.75" customHeight="1" spans="1:37">
      <c r="A67" s="163"/>
      <c r="B67" s="69"/>
      <c r="C67" s="69"/>
      <c r="D67" s="69"/>
      <c r="E67" s="69"/>
      <c r="F67" s="69"/>
      <c r="G67" s="70"/>
      <c r="H67" s="69"/>
      <c r="I67" s="69"/>
      <c r="J67" s="69"/>
      <c r="K67" s="69"/>
      <c r="L67" s="69"/>
      <c r="M67" s="69"/>
      <c r="N67" s="69"/>
      <c r="O67" s="69"/>
      <c r="P67" s="69"/>
      <c r="Q67" s="69"/>
      <c r="R67" s="69"/>
      <c r="S67" s="69"/>
      <c r="T67" s="69"/>
      <c r="U67" s="69"/>
      <c r="V67" s="69"/>
      <c r="W67" s="69"/>
      <c r="X67" s="106"/>
      <c r="Y67" s="69"/>
      <c r="Z67" s="69"/>
      <c r="AA67" s="69"/>
      <c r="AB67" s="69"/>
      <c r="AC67" s="69"/>
      <c r="AD67" s="69"/>
      <c r="AE67" s="69"/>
      <c r="AF67" s="69"/>
      <c r="AG67" s="69"/>
      <c r="AH67" s="69"/>
      <c r="AI67" s="69"/>
      <c r="AJ67" s="69"/>
      <c r="AK67" s="69"/>
    </row>
    <row r="68" ht="15.75" customHeight="1" spans="1:37">
      <c r="A68" s="163"/>
      <c r="B68" s="69"/>
      <c r="C68" s="69"/>
      <c r="D68" s="69"/>
      <c r="E68" s="69"/>
      <c r="F68" s="69"/>
      <c r="G68" s="70"/>
      <c r="H68" s="69"/>
      <c r="I68" s="69"/>
      <c r="J68" s="69"/>
      <c r="K68" s="69"/>
      <c r="L68" s="69"/>
      <c r="M68" s="69"/>
      <c r="N68" s="69"/>
      <c r="O68" s="69"/>
      <c r="P68" s="69"/>
      <c r="Q68" s="69"/>
      <c r="R68" s="69"/>
      <c r="S68" s="69"/>
      <c r="T68" s="69"/>
      <c r="U68" s="69"/>
      <c r="V68" s="69"/>
      <c r="W68" s="69"/>
      <c r="X68" s="106"/>
      <c r="Y68" s="69"/>
      <c r="Z68" s="69"/>
      <c r="AA68" s="69"/>
      <c r="AB68" s="69"/>
      <c r="AC68" s="69"/>
      <c r="AD68" s="69"/>
      <c r="AE68" s="69"/>
      <c r="AF68" s="69"/>
      <c r="AG68" s="69"/>
      <c r="AH68" s="69"/>
      <c r="AI68" s="69"/>
      <c r="AJ68" s="69"/>
      <c r="AK68" s="69"/>
    </row>
    <row r="69" ht="15.75" customHeight="1" spans="1:37">
      <c r="A69" s="163"/>
      <c r="B69" s="69"/>
      <c r="C69" s="69"/>
      <c r="D69" s="69"/>
      <c r="E69" s="69"/>
      <c r="F69" s="69"/>
      <c r="G69" s="70"/>
      <c r="H69" s="69"/>
      <c r="I69" s="69"/>
      <c r="J69" s="69"/>
      <c r="K69" s="69"/>
      <c r="L69" s="69"/>
      <c r="M69" s="69"/>
      <c r="N69" s="69"/>
      <c r="O69" s="69"/>
      <c r="P69" s="69"/>
      <c r="Q69" s="69"/>
      <c r="R69" s="69"/>
      <c r="S69" s="69"/>
      <c r="T69" s="69"/>
      <c r="U69" s="69"/>
      <c r="V69" s="69"/>
      <c r="W69" s="69"/>
      <c r="X69" s="106"/>
      <c r="Y69" s="69"/>
      <c r="Z69" s="69"/>
      <c r="AA69" s="69"/>
      <c r="AB69" s="69"/>
      <c r="AC69" s="69"/>
      <c r="AD69" s="69"/>
      <c r="AE69" s="69"/>
      <c r="AF69" s="69"/>
      <c r="AG69" s="69"/>
      <c r="AH69" s="69"/>
      <c r="AI69" s="69"/>
      <c r="AJ69" s="69"/>
      <c r="AK69" s="69"/>
    </row>
    <row r="70" ht="15.75" customHeight="1" spans="1:37">
      <c r="A70" s="163"/>
      <c r="B70" s="69"/>
      <c r="C70" s="69"/>
      <c r="D70" s="69"/>
      <c r="E70" s="69"/>
      <c r="F70" s="69"/>
      <c r="G70" s="70"/>
      <c r="H70" s="69"/>
      <c r="I70" s="69"/>
      <c r="J70" s="69"/>
      <c r="K70" s="69"/>
      <c r="L70" s="69"/>
      <c r="M70" s="69"/>
      <c r="N70" s="69"/>
      <c r="O70" s="69"/>
      <c r="P70" s="69"/>
      <c r="Q70" s="69"/>
      <c r="R70" s="69"/>
      <c r="S70" s="69"/>
      <c r="T70" s="69"/>
      <c r="U70" s="69"/>
      <c r="V70" s="69"/>
      <c r="W70" s="69"/>
      <c r="X70" s="106"/>
      <c r="Y70" s="69"/>
      <c r="Z70" s="69"/>
      <c r="AA70" s="69"/>
      <c r="AB70" s="69"/>
      <c r="AC70" s="69"/>
      <c r="AD70" s="69"/>
      <c r="AE70" s="69"/>
      <c r="AF70" s="69"/>
      <c r="AG70" s="69"/>
      <c r="AH70" s="69"/>
      <c r="AI70" s="69"/>
      <c r="AJ70" s="69"/>
      <c r="AK70" s="69"/>
    </row>
    <row r="71" ht="15.75" customHeight="1" spans="1:37">
      <c r="A71" s="163"/>
      <c r="B71" s="69"/>
      <c r="C71" s="69"/>
      <c r="D71" s="69"/>
      <c r="E71" s="69"/>
      <c r="F71" s="69"/>
      <c r="G71" s="70"/>
      <c r="H71" s="69"/>
      <c r="I71" s="69"/>
      <c r="J71" s="69"/>
      <c r="K71" s="69"/>
      <c r="L71" s="69"/>
      <c r="M71" s="69"/>
      <c r="N71" s="69"/>
      <c r="O71" s="69"/>
      <c r="P71" s="69"/>
      <c r="Q71" s="69"/>
      <c r="R71" s="69"/>
      <c r="S71" s="69"/>
      <c r="T71" s="69"/>
      <c r="U71" s="69"/>
      <c r="V71" s="69"/>
      <c r="W71" s="69"/>
      <c r="X71" s="106"/>
      <c r="Y71" s="69"/>
      <c r="Z71" s="69"/>
      <c r="AA71" s="69"/>
      <c r="AB71" s="69"/>
      <c r="AC71" s="69"/>
      <c r="AD71" s="69"/>
      <c r="AE71" s="69"/>
      <c r="AF71" s="69"/>
      <c r="AG71" s="69"/>
      <c r="AH71" s="69"/>
      <c r="AI71" s="69"/>
      <c r="AJ71" s="69"/>
      <c r="AK71" s="69"/>
    </row>
    <row r="72" ht="15.75" customHeight="1" spans="1:37">
      <c r="A72" s="163"/>
      <c r="B72" s="69"/>
      <c r="C72" s="69"/>
      <c r="D72" s="69"/>
      <c r="E72" s="69"/>
      <c r="F72" s="69"/>
      <c r="G72" s="70"/>
      <c r="H72" s="69"/>
      <c r="I72" s="69"/>
      <c r="J72" s="69"/>
      <c r="K72" s="69"/>
      <c r="L72" s="69"/>
      <c r="M72" s="69"/>
      <c r="N72" s="69"/>
      <c r="O72" s="69"/>
      <c r="P72" s="69"/>
      <c r="Q72" s="69"/>
      <c r="R72" s="69"/>
      <c r="S72" s="69"/>
      <c r="T72" s="69"/>
      <c r="U72" s="69"/>
      <c r="V72" s="69"/>
      <c r="W72" s="69"/>
      <c r="X72" s="106"/>
      <c r="Y72" s="69"/>
      <c r="Z72" s="69"/>
      <c r="AA72" s="69"/>
      <c r="AB72" s="69"/>
      <c r="AC72" s="69"/>
      <c r="AD72" s="69"/>
      <c r="AE72" s="69"/>
      <c r="AF72" s="69"/>
      <c r="AG72" s="69"/>
      <c r="AH72" s="69"/>
      <c r="AI72" s="69"/>
      <c r="AJ72" s="69"/>
      <c r="AK72" s="69"/>
    </row>
    <row r="73" ht="15.75" customHeight="1" spans="1:37">
      <c r="A73" s="163"/>
      <c r="B73" s="69"/>
      <c r="C73" s="69"/>
      <c r="D73" s="69"/>
      <c r="E73" s="69"/>
      <c r="F73" s="69"/>
      <c r="G73" s="70"/>
      <c r="H73" s="69"/>
      <c r="I73" s="69"/>
      <c r="J73" s="69"/>
      <c r="K73" s="69"/>
      <c r="L73" s="69"/>
      <c r="M73" s="69"/>
      <c r="N73" s="69"/>
      <c r="O73" s="69"/>
      <c r="P73" s="69"/>
      <c r="Q73" s="69"/>
      <c r="R73" s="69"/>
      <c r="S73" s="69"/>
      <c r="T73" s="69"/>
      <c r="U73" s="69"/>
      <c r="V73" s="69"/>
      <c r="W73" s="69"/>
      <c r="X73" s="106"/>
      <c r="Y73" s="69"/>
      <c r="Z73" s="69"/>
      <c r="AA73" s="69"/>
      <c r="AB73" s="69"/>
      <c r="AC73" s="69"/>
      <c r="AD73" s="69"/>
      <c r="AE73" s="69"/>
      <c r="AF73" s="69"/>
      <c r="AG73" s="69"/>
      <c r="AH73" s="69"/>
      <c r="AI73" s="69"/>
      <c r="AJ73" s="69"/>
      <c r="AK73" s="69"/>
    </row>
    <row r="74" ht="15.75" customHeight="1" spans="1:37">
      <c r="A74" s="163"/>
      <c r="B74" s="69"/>
      <c r="C74" s="69"/>
      <c r="D74" s="69"/>
      <c r="E74" s="69"/>
      <c r="F74" s="69"/>
      <c r="G74" s="70"/>
      <c r="H74" s="69"/>
      <c r="I74" s="69"/>
      <c r="J74" s="69"/>
      <c r="K74" s="69"/>
      <c r="L74" s="69"/>
      <c r="M74" s="69"/>
      <c r="N74" s="69"/>
      <c r="O74" s="69"/>
      <c r="P74" s="69"/>
      <c r="Q74" s="69"/>
      <c r="R74" s="69"/>
      <c r="S74" s="69"/>
      <c r="T74" s="69"/>
      <c r="U74" s="69"/>
      <c r="V74" s="69"/>
      <c r="W74" s="69"/>
      <c r="X74" s="106"/>
      <c r="Y74" s="69"/>
      <c r="Z74" s="69"/>
      <c r="AA74" s="69"/>
      <c r="AB74" s="69"/>
      <c r="AC74" s="69"/>
      <c r="AD74" s="69"/>
      <c r="AE74" s="69"/>
      <c r="AF74" s="69"/>
      <c r="AG74" s="69"/>
      <c r="AH74" s="69"/>
      <c r="AI74" s="69"/>
      <c r="AJ74" s="69"/>
      <c r="AK74" s="69"/>
    </row>
    <row r="75" ht="15.75" customHeight="1" spans="1:37">
      <c r="A75" s="163"/>
      <c r="B75" s="69"/>
      <c r="C75" s="69"/>
      <c r="D75" s="69"/>
      <c r="E75" s="69"/>
      <c r="F75" s="69"/>
      <c r="G75" s="70"/>
      <c r="H75" s="69"/>
      <c r="I75" s="69"/>
      <c r="J75" s="69"/>
      <c r="K75" s="69"/>
      <c r="L75" s="69"/>
      <c r="M75" s="69"/>
      <c r="N75" s="69"/>
      <c r="O75" s="69"/>
      <c r="P75" s="69"/>
      <c r="Q75" s="69"/>
      <c r="R75" s="69"/>
      <c r="S75" s="69"/>
      <c r="T75" s="69"/>
      <c r="U75" s="69"/>
      <c r="V75" s="69"/>
      <c r="W75" s="69"/>
      <c r="X75" s="106"/>
      <c r="Y75" s="69"/>
      <c r="Z75" s="69"/>
      <c r="AA75" s="69"/>
      <c r="AB75" s="69"/>
      <c r="AC75" s="69"/>
      <c r="AD75" s="69"/>
      <c r="AE75" s="69"/>
      <c r="AF75" s="69"/>
      <c r="AG75" s="69"/>
      <c r="AH75" s="69"/>
      <c r="AI75" s="69"/>
      <c r="AJ75" s="69"/>
      <c r="AK75" s="69"/>
    </row>
    <row r="76" ht="15.75" customHeight="1" spans="1:37">
      <c r="A76" s="163"/>
      <c r="B76" s="69"/>
      <c r="C76" s="69"/>
      <c r="D76" s="69"/>
      <c r="E76" s="69"/>
      <c r="F76" s="69"/>
      <c r="G76" s="70"/>
      <c r="H76" s="69"/>
      <c r="I76" s="69"/>
      <c r="J76" s="69"/>
      <c r="K76" s="69"/>
      <c r="L76" s="69"/>
      <c r="M76" s="69"/>
      <c r="N76" s="69"/>
      <c r="O76" s="69"/>
      <c r="P76" s="69"/>
      <c r="Q76" s="69"/>
      <c r="R76" s="69"/>
      <c r="S76" s="69"/>
      <c r="T76" s="69"/>
      <c r="U76" s="69"/>
      <c r="V76" s="69"/>
      <c r="W76" s="69"/>
      <c r="X76" s="106"/>
      <c r="Y76" s="69"/>
      <c r="Z76" s="69"/>
      <c r="AA76" s="69"/>
      <c r="AB76" s="69"/>
      <c r="AC76" s="69"/>
      <c r="AD76" s="69"/>
      <c r="AE76" s="69"/>
      <c r="AF76" s="69"/>
      <c r="AG76" s="69"/>
      <c r="AH76" s="69"/>
      <c r="AI76" s="69"/>
      <c r="AJ76" s="69"/>
      <c r="AK76" s="69"/>
    </row>
    <row r="77" ht="15.75" customHeight="1" spans="1:37">
      <c r="A77" s="163"/>
      <c r="B77" s="69"/>
      <c r="C77" s="69"/>
      <c r="D77" s="69"/>
      <c r="E77" s="69"/>
      <c r="F77" s="69"/>
      <c r="G77" s="70"/>
      <c r="H77" s="69"/>
      <c r="I77" s="69"/>
      <c r="J77" s="69"/>
      <c r="K77" s="69"/>
      <c r="L77" s="69"/>
      <c r="M77" s="69"/>
      <c r="N77" s="69"/>
      <c r="O77" s="69"/>
      <c r="P77" s="69"/>
      <c r="Q77" s="69"/>
      <c r="R77" s="69"/>
      <c r="S77" s="69"/>
      <c r="T77" s="69"/>
      <c r="U77" s="69"/>
      <c r="V77" s="69"/>
      <c r="W77" s="69"/>
      <c r="X77" s="106"/>
      <c r="Y77" s="69"/>
      <c r="Z77" s="69"/>
      <c r="AA77" s="69"/>
      <c r="AB77" s="69"/>
      <c r="AC77" s="69"/>
      <c r="AD77" s="69"/>
      <c r="AE77" s="69"/>
      <c r="AF77" s="69"/>
      <c r="AG77" s="69"/>
      <c r="AH77" s="69"/>
      <c r="AI77" s="69"/>
      <c r="AJ77" s="69"/>
      <c r="AK77" s="69"/>
    </row>
    <row r="78" ht="15.75" customHeight="1" spans="1:37">
      <c r="A78" s="163"/>
      <c r="B78" s="69"/>
      <c r="C78" s="69"/>
      <c r="D78" s="69"/>
      <c r="E78" s="69"/>
      <c r="F78" s="69"/>
      <c r="G78" s="70"/>
      <c r="H78" s="69"/>
      <c r="I78" s="69"/>
      <c r="J78" s="69"/>
      <c r="K78" s="69"/>
      <c r="L78" s="69"/>
      <c r="M78" s="69"/>
      <c r="N78" s="69"/>
      <c r="O78" s="69"/>
      <c r="P78" s="69"/>
      <c r="Q78" s="69"/>
      <c r="R78" s="69"/>
      <c r="S78" s="69"/>
      <c r="T78" s="69"/>
      <c r="U78" s="69"/>
      <c r="V78" s="69"/>
      <c r="W78" s="69"/>
      <c r="X78" s="106"/>
      <c r="Y78" s="69"/>
      <c r="Z78" s="69"/>
      <c r="AA78" s="69"/>
      <c r="AB78" s="69"/>
      <c r="AC78" s="69"/>
      <c r="AD78" s="69"/>
      <c r="AE78" s="69"/>
      <c r="AF78" s="69"/>
      <c r="AG78" s="69"/>
      <c r="AH78" s="69"/>
      <c r="AI78" s="69"/>
      <c r="AJ78" s="69"/>
      <c r="AK78" s="69"/>
    </row>
    <row r="79" ht="15.75" customHeight="1" spans="1:37">
      <c r="A79" s="163"/>
      <c r="B79" s="69"/>
      <c r="C79" s="69"/>
      <c r="D79" s="69"/>
      <c r="E79" s="69"/>
      <c r="F79" s="69"/>
      <c r="G79" s="70"/>
      <c r="H79" s="69"/>
      <c r="I79" s="69"/>
      <c r="J79" s="69"/>
      <c r="K79" s="69"/>
      <c r="L79" s="69"/>
      <c r="M79" s="69"/>
      <c r="N79" s="69"/>
      <c r="O79" s="69"/>
      <c r="P79" s="69"/>
      <c r="Q79" s="69"/>
      <c r="R79" s="69"/>
      <c r="S79" s="69"/>
      <c r="T79" s="69"/>
      <c r="U79" s="69"/>
      <c r="V79" s="69"/>
      <c r="W79" s="69"/>
      <c r="X79" s="106"/>
      <c r="Y79" s="69"/>
      <c r="Z79" s="69"/>
      <c r="AA79" s="69"/>
      <c r="AB79" s="69"/>
      <c r="AC79" s="69"/>
      <c r="AD79" s="69"/>
      <c r="AE79" s="69"/>
      <c r="AF79" s="69"/>
      <c r="AG79" s="69"/>
      <c r="AH79" s="69"/>
      <c r="AI79" s="69"/>
      <c r="AJ79" s="69"/>
      <c r="AK79" s="69"/>
    </row>
    <row r="80" ht="15.75" customHeight="1" spans="1:37">
      <c r="A80" s="163"/>
      <c r="B80" s="69"/>
      <c r="C80" s="69"/>
      <c r="D80" s="69"/>
      <c r="E80" s="69"/>
      <c r="F80" s="69"/>
      <c r="G80" s="70"/>
      <c r="H80" s="69"/>
      <c r="I80" s="69"/>
      <c r="J80" s="69"/>
      <c r="K80" s="69"/>
      <c r="L80" s="69"/>
      <c r="M80" s="69"/>
      <c r="N80" s="69"/>
      <c r="O80" s="69"/>
      <c r="P80" s="69"/>
      <c r="Q80" s="69"/>
      <c r="R80" s="69"/>
      <c r="S80" s="69"/>
      <c r="T80" s="69"/>
      <c r="U80" s="69"/>
      <c r="V80" s="69"/>
      <c r="W80" s="69"/>
      <c r="X80" s="106"/>
      <c r="Y80" s="69"/>
      <c r="Z80" s="69"/>
      <c r="AA80" s="69"/>
      <c r="AB80" s="69"/>
      <c r="AC80" s="69"/>
      <c r="AD80" s="69"/>
      <c r="AE80" s="69"/>
      <c r="AF80" s="69"/>
      <c r="AG80" s="69"/>
      <c r="AH80" s="69"/>
      <c r="AI80" s="69"/>
      <c r="AJ80" s="69"/>
      <c r="AK80" s="69"/>
    </row>
    <row r="81" ht="15.75" customHeight="1" spans="1:37">
      <c r="A81" s="163"/>
      <c r="B81" s="69"/>
      <c r="C81" s="69"/>
      <c r="D81" s="69"/>
      <c r="E81" s="69"/>
      <c r="F81" s="69"/>
      <c r="G81" s="70"/>
      <c r="H81" s="69"/>
      <c r="I81" s="69"/>
      <c r="J81" s="69"/>
      <c r="K81" s="69"/>
      <c r="L81" s="69"/>
      <c r="M81" s="69"/>
      <c r="N81" s="69"/>
      <c r="O81" s="69"/>
      <c r="P81" s="69"/>
      <c r="Q81" s="69"/>
      <c r="R81" s="69"/>
      <c r="S81" s="69"/>
      <c r="T81" s="69"/>
      <c r="U81" s="69"/>
      <c r="V81" s="69"/>
      <c r="W81" s="69"/>
      <c r="X81" s="106"/>
      <c r="Y81" s="69"/>
      <c r="Z81" s="69"/>
      <c r="AA81" s="69"/>
      <c r="AB81" s="69"/>
      <c r="AC81" s="69"/>
      <c r="AD81" s="69"/>
      <c r="AE81" s="69"/>
      <c r="AF81" s="69"/>
      <c r="AG81" s="69"/>
      <c r="AH81" s="69"/>
      <c r="AI81" s="69"/>
      <c r="AJ81" s="69"/>
      <c r="AK81" s="69"/>
    </row>
    <row r="82" ht="15.75" customHeight="1" spans="1:37">
      <c r="A82" s="163"/>
      <c r="B82" s="69"/>
      <c r="C82" s="69"/>
      <c r="D82" s="69"/>
      <c r="E82" s="69"/>
      <c r="F82" s="69"/>
      <c r="G82" s="70"/>
      <c r="H82" s="69"/>
      <c r="I82" s="69"/>
      <c r="J82" s="69"/>
      <c r="K82" s="69"/>
      <c r="L82" s="69"/>
      <c r="M82" s="69"/>
      <c r="N82" s="69"/>
      <c r="O82" s="69"/>
      <c r="P82" s="69"/>
      <c r="Q82" s="69"/>
      <c r="R82" s="69"/>
      <c r="S82" s="69"/>
      <c r="T82" s="69"/>
      <c r="U82" s="69"/>
      <c r="V82" s="69"/>
      <c r="W82" s="69"/>
      <c r="X82" s="106"/>
      <c r="Y82" s="69"/>
      <c r="Z82" s="69"/>
      <c r="AA82" s="69"/>
      <c r="AB82" s="69"/>
      <c r="AC82" s="69"/>
      <c r="AD82" s="69"/>
      <c r="AE82" s="69"/>
      <c r="AF82" s="69"/>
      <c r="AG82" s="69"/>
      <c r="AH82" s="69"/>
      <c r="AI82" s="69"/>
      <c r="AJ82" s="69"/>
      <c r="AK82" s="69"/>
    </row>
    <row r="83" ht="15.75" customHeight="1" spans="1:37">
      <c r="A83" s="163"/>
      <c r="B83" s="69"/>
      <c r="C83" s="69"/>
      <c r="D83" s="69"/>
      <c r="E83" s="69"/>
      <c r="F83" s="69"/>
      <c r="G83" s="70"/>
      <c r="H83" s="69"/>
      <c r="I83" s="69"/>
      <c r="J83" s="69"/>
      <c r="K83" s="69"/>
      <c r="L83" s="69"/>
      <c r="M83" s="69"/>
      <c r="N83" s="69"/>
      <c r="O83" s="69"/>
      <c r="P83" s="69"/>
      <c r="Q83" s="69"/>
      <c r="R83" s="69"/>
      <c r="S83" s="69"/>
      <c r="T83" s="69"/>
      <c r="U83" s="69"/>
      <c r="V83" s="69"/>
      <c r="W83" s="69"/>
      <c r="X83" s="106"/>
      <c r="Y83" s="69"/>
      <c r="Z83" s="69"/>
      <c r="AA83" s="69"/>
      <c r="AB83" s="69"/>
      <c r="AC83" s="69"/>
      <c r="AD83" s="69"/>
      <c r="AE83" s="69"/>
      <c r="AF83" s="69"/>
      <c r="AG83" s="69"/>
      <c r="AH83" s="69"/>
      <c r="AI83" s="69"/>
      <c r="AJ83" s="69"/>
      <c r="AK83" s="69"/>
    </row>
    <row r="84" ht="15.75" customHeight="1" spans="1:37">
      <c r="A84" s="163"/>
      <c r="B84" s="69"/>
      <c r="C84" s="69"/>
      <c r="D84" s="69"/>
      <c r="E84" s="69"/>
      <c r="F84" s="69"/>
      <c r="G84" s="70"/>
      <c r="H84" s="69"/>
      <c r="I84" s="69"/>
      <c r="J84" s="69"/>
      <c r="K84" s="69"/>
      <c r="L84" s="69"/>
      <c r="M84" s="69"/>
      <c r="N84" s="69"/>
      <c r="O84" s="69"/>
      <c r="P84" s="69"/>
      <c r="Q84" s="69"/>
      <c r="R84" s="69"/>
      <c r="S84" s="69"/>
      <c r="T84" s="69"/>
      <c r="U84" s="69"/>
      <c r="V84" s="69"/>
      <c r="W84" s="69"/>
      <c r="X84" s="106"/>
      <c r="Y84" s="69"/>
      <c r="Z84" s="69"/>
      <c r="AA84" s="69"/>
      <c r="AB84" s="69"/>
      <c r="AC84" s="69"/>
      <c r="AD84" s="69"/>
      <c r="AE84" s="69"/>
      <c r="AF84" s="69"/>
      <c r="AG84" s="69"/>
      <c r="AH84" s="69"/>
      <c r="AI84" s="69"/>
      <c r="AJ84" s="69"/>
      <c r="AK84" s="69"/>
    </row>
    <row r="85" ht="15.75" customHeight="1" spans="1:37">
      <c r="A85" s="163"/>
      <c r="B85" s="69"/>
      <c r="C85" s="69"/>
      <c r="D85" s="69"/>
      <c r="E85" s="69"/>
      <c r="F85" s="69"/>
      <c r="G85" s="70"/>
      <c r="H85" s="69"/>
      <c r="I85" s="69"/>
      <c r="J85" s="69"/>
      <c r="K85" s="69"/>
      <c r="L85" s="69"/>
      <c r="M85" s="69"/>
      <c r="N85" s="69"/>
      <c r="O85" s="69"/>
      <c r="P85" s="69"/>
      <c r="Q85" s="69"/>
      <c r="R85" s="69"/>
      <c r="S85" s="69"/>
      <c r="T85" s="69"/>
      <c r="U85" s="69"/>
      <c r="V85" s="69"/>
      <c r="W85" s="69"/>
      <c r="X85" s="106"/>
      <c r="Y85" s="69"/>
      <c r="Z85" s="69"/>
      <c r="AA85" s="69"/>
      <c r="AB85" s="69"/>
      <c r="AC85" s="69"/>
      <c r="AD85" s="69"/>
      <c r="AE85" s="69"/>
      <c r="AF85" s="69"/>
      <c r="AG85" s="69"/>
      <c r="AH85" s="69"/>
      <c r="AI85" s="69"/>
      <c r="AJ85" s="69"/>
      <c r="AK85" s="69"/>
    </row>
    <row r="86" ht="15.75" customHeight="1" spans="1:37">
      <c r="A86" s="163"/>
      <c r="B86" s="69"/>
      <c r="C86" s="69"/>
      <c r="D86" s="69"/>
      <c r="E86" s="69"/>
      <c r="F86" s="69"/>
      <c r="G86" s="70"/>
      <c r="H86" s="69"/>
      <c r="I86" s="69"/>
      <c r="J86" s="69"/>
      <c r="K86" s="69"/>
      <c r="L86" s="69"/>
      <c r="M86" s="69"/>
      <c r="N86" s="69"/>
      <c r="O86" s="69"/>
      <c r="P86" s="69"/>
      <c r="Q86" s="69"/>
      <c r="R86" s="69"/>
      <c r="S86" s="69"/>
      <c r="T86" s="69"/>
      <c r="U86" s="69"/>
      <c r="V86" s="69"/>
      <c r="W86" s="69"/>
      <c r="X86" s="106"/>
      <c r="Y86" s="69"/>
      <c r="Z86" s="69"/>
      <c r="AA86" s="69"/>
      <c r="AB86" s="69"/>
      <c r="AC86" s="69"/>
      <c r="AD86" s="69"/>
      <c r="AE86" s="69"/>
      <c r="AF86" s="69"/>
      <c r="AG86" s="69"/>
      <c r="AH86" s="69"/>
      <c r="AI86" s="69"/>
      <c r="AJ86" s="69"/>
      <c r="AK86" s="69"/>
    </row>
    <row r="87" ht="15.75" customHeight="1" spans="1:37">
      <c r="A87" s="163"/>
      <c r="B87" s="69"/>
      <c r="C87" s="69"/>
      <c r="D87" s="69"/>
      <c r="E87" s="69"/>
      <c r="F87" s="69"/>
      <c r="G87" s="70"/>
      <c r="H87" s="69"/>
      <c r="I87" s="69"/>
      <c r="J87" s="69"/>
      <c r="K87" s="69"/>
      <c r="L87" s="69"/>
      <c r="M87" s="69"/>
      <c r="N87" s="69"/>
      <c r="O87" s="69"/>
      <c r="P87" s="69"/>
      <c r="Q87" s="69"/>
      <c r="R87" s="69"/>
      <c r="S87" s="69"/>
      <c r="T87" s="69"/>
      <c r="U87" s="69"/>
      <c r="V87" s="69"/>
      <c r="W87" s="69"/>
      <c r="X87" s="106"/>
      <c r="Y87" s="69"/>
      <c r="Z87" s="69"/>
      <c r="AA87" s="69"/>
      <c r="AB87" s="69"/>
      <c r="AC87" s="69"/>
      <c r="AD87" s="69"/>
      <c r="AE87" s="69"/>
      <c r="AF87" s="69"/>
      <c r="AG87" s="69"/>
      <c r="AH87" s="69"/>
      <c r="AI87" s="69"/>
      <c r="AJ87" s="69"/>
      <c r="AK87" s="69"/>
    </row>
    <row r="88" ht="15.75" customHeight="1" spans="1:37">
      <c r="A88" s="163"/>
      <c r="B88" s="69"/>
      <c r="C88" s="69"/>
      <c r="D88" s="69"/>
      <c r="E88" s="69"/>
      <c r="F88" s="69"/>
      <c r="G88" s="70"/>
      <c r="H88" s="69"/>
      <c r="I88" s="69"/>
      <c r="J88" s="69"/>
      <c r="K88" s="69"/>
      <c r="L88" s="69"/>
      <c r="M88" s="69"/>
      <c r="N88" s="69"/>
      <c r="O88" s="69"/>
      <c r="P88" s="69"/>
      <c r="Q88" s="69"/>
      <c r="R88" s="69"/>
      <c r="S88" s="69"/>
      <c r="T88" s="69"/>
      <c r="U88" s="69"/>
      <c r="V88" s="69"/>
      <c r="W88" s="69"/>
      <c r="X88" s="106"/>
      <c r="Y88" s="69"/>
      <c r="Z88" s="69"/>
      <c r="AA88" s="69"/>
      <c r="AB88" s="69"/>
      <c r="AC88" s="69"/>
      <c r="AD88" s="69"/>
      <c r="AE88" s="69"/>
      <c r="AF88" s="69"/>
      <c r="AG88" s="69"/>
      <c r="AH88" s="69"/>
      <c r="AI88" s="69"/>
      <c r="AJ88" s="69"/>
      <c r="AK88" s="69"/>
    </row>
    <row r="89" ht="15.75" customHeight="1" spans="1:37">
      <c r="A89" s="163"/>
      <c r="B89" s="69"/>
      <c r="C89" s="69"/>
      <c r="D89" s="69"/>
      <c r="E89" s="69"/>
      <c r="F89" s="69"/>
      <c r="G89" s="70"/>
      <c r="H89" s="69"/>
      <c r="I89" s="69"/>
      <c r="J89" s="69"/>
      <c r="K89" s="69"/>
      <c r="L89" s="69"/>
      <c r="M89" s="69"/>
      <c r="N89" s="69"/>
      <c r="O89" s="69"/>
      <c r="P89" s="69"/>
      <c r="Q89" s="69"/>
      <c r="R89" s="69"/>
      <c r="S89" s="69"/>
      <c r="T89" s="69"/>
      <c r="U89" s="69"/>
      <c r="V89" s="69"/>
      <c r="W89" s="69"/>
      <c r="X89" s="106"/>
      <c r="Y89" s="69"/>
      <c r="Z89" s="69"/>
      <c r="AA89" s="69"/>
      <c r="AB89" s="69"/>
      <c r="AC89" s="69"/>
      <c r="AD89" s="69"/>
      <c r="AE89" s="69"/>
      <c r="AF89" s="69"/>
      <c r="AG89" s="69"/>
      <c r="AH89" s="69"/>
      <c r="AI89" s="69"/>
      <c r="AJ89" s="69"/>
      <c r="AK89" s="69"/>
    </row>
    <row r="90" ht="15.75" customHeight="1" spans="1:37">
      <c r="A90" s="163"/>
      <c r="B90" s="69"/>
      <c r="C90" s="69"/>
      <c r="D90" s="69"/>
      <c r="E90" s="69"/>
      <c r="F90" s="69"/>
      <c r="G90" s="70"/>
      <c r="H90" s="69"/>
      <c r="I90" s="69"/>
      <c r="J90" s="69"/>
      <c r="K90" s="69"/>
      <c r="L90" s="69"/>
      <c r="M90" s="69"/>
      <c r="N90" s="69"/>
      <c r="O90" s="69"/>
      <c r="P90" s="69"/>
      <c r="Q90" s="69"/>
      <c r="R90" s="69"/>
      <c r="S90" s="69"/>
      <c r="T90" s="69"/>
      <c r="U90" s="69"/>
      <c r="V90" s="69"/>
      <c r="W90" s="69"/>
      <c r="X90" s="106"/>
      <c r="Y90" s="69"/>
      <c r="Z90" s="69"/>
      <c r="AA90" s="69"/>
      <c r="AB90" s="69"/>
      <c r="AC90" s="69"/>
      <c r="AD90" s="69"/>
      <c r="AE90" s="69"/>
      <c r="AF90" s="69"/>
      <c r="AG90" s="69"/>
      <c r="AH90" s="69"/>
      <c r="AI90" s="69"/>
      <c r="AJ90" s="69"/>
      <c r="AK90" s="69"/>
    </row>
    <row r="91" ht="15.75" customHeight="1" spans="1:37">
      <c r="A91" s="163"/>
      <c r="B91" s="69"/>
      <c r="C91" s="69"/>
      <c r="D91" s="69"/>
      <c r="E91" s="69"/>
      <c r="F91" s="69"/>
      <c r="G91" s="70"/>
      <c r="H91" s="69"/>
      <c r="I91" s="69"/>
      <c r="J91" s="69"/>
      <c r="K91" s="69"/>
      <c r="L91" s="69"/>
      <c r="M91" s="69"/>
      <c r="N91" s="69"/>
      <c r="O91" s="69"/>
      <c r="P91" s="69"/>
      <c r="Q91" s="69"/>
      <c r="R91" s="69"/>
      <c r="S91" s="69"/>
      <c r="T91" s="69"/>
      <c r="U91" s="69"/>
      <c r="V91" s="69"/>
      <c r="W91" s="69"/>
      <c r="X91" s="106"/>
      <c r="Y91" s="69"/>
      <c r="Z91" s="69"/>
      <c r="AA91" s="69"/>
      <c r="AB91" s="69"/>
      <c r="AC91" s="69"/>
      <c r="AD91" s="69"/>
      <c r="AE91" s="69"/>
      <c r="AF91" s="69"/>
      <c r="AG91" s="69"/>
      <c r="AH91" s="69"/>
      <c r="AI91" s="69"/>
      <c r="AJ91" s="69"/>
      <c r="AK91" s="69"/>
    </row>
    <row r="92" ht="15.75" customHeight="1" spans="1:37">
      <c r="A92" s="163"/>
      <c r="B92" s="69"/>
      <c r="C92" s="69"/>
      <c r="D92" s="69"/>
      <c r="E92" s="69"/>
      <c r="F92" s="69"/>
      <c r="G92" s="70"/>
      <c r="H92" s="69"/>
      <c r="I92" s="69"/>
      <c r="J92" s="69"/>
      <c r="K92" s="69"/>
      <c r="L92" s="69"/>
      <c r="M92" s="69"/>
      <c r="N92" s="69"/>
      <c r="O92" s="69"/>
      <c r="P92" s="69"/>
      <c r="Q92" s="69"/>
      <c r="R92" s="69"/>
      <c r="S92" s="69"/>
      <c r="T92" s="69"/>
      <c r="U92" s="69"/>
      <c r="V92" s="69"/>
      <c r="W92" s="69"/>
      <c r="X92" s="106"/>
      <c r="Y92" s="69"/>
      <c r="Z92" s="69"/>
      <c r="AA92" s="69"/>
      <c r="AB92" s="69"/>
      <c r="AC92" s="69"/>
      <c r="AD92" s="69"/>
      <c r="AE92" s="69"/>
      <c r="AF92" s="69"/>
      <c r="AG92" s="69"/>
      <c r="AH92" s="69"/>
      <c r="AI92" s="69"/>
      <c r="AJ92" s="69"/>
      <c r="AK92" s="69"/>
    </row>
    <row r="93" ht="15.75" customHeight="1" spans="1:37">
      <c r="A93" s="163"/>
      <c r="B93" s="69"/>
      <c r="C93" s="69"/>
      <c r="D93" s="69"/>
      <c r="E93" s="69"/>
      <c r="F93" s="69"/>
      <c r="G93" s="70"/>
      <c r="H93" s="69"/>
      <c r="I93" s="69"/>
      <c r="J93" s="69"/>
      <c r="K93" s="69"/>
      <c r="L93" s="69"/>
      <c r="M93" s="69"/>
      <c r="N93" s="69"/>
      <c r="O93" s="69"/>
      <c r="P93" s="69"/>
      <c r="Q93" s="69"/>
      <c r="R93" s="69"/>
      <c r="S93" s="69"/>
      <c r="T93" s="69"/>
      <c r="U93" s="69"/>
      <c r="V93" s="69"/>
      <c r="W93" s="69"/>
      <c r="X93" s="106"/>
      <c r="Y93" s="69"/>
      <c r="Z93" s="69"/>
      <c r="AA93" s="69"/>
      <c r="AB93" s="69"/>
      <c r="AC93" s="69"/>
      <c r="AD93" s="69"/>
      <c r="AE93" s="69"/>
      <c r="AF93" s="69"/>
      <c r="AG93" s="69"/>
      <c r="AH93" s="69"/>
      <c r="AI93" s="69"/>
      <c r="AJ93" s="69"/>
      <c r="AK93" s="69"/>
    </row>
    <row r="94" ht="15.75" customHeight="1" spans="1:37">
      <c r="A94" s="163"/>
      <c r="B94" s="69"/>
      <c r="C94" s="69"/>
      <c r="D94" s="69"/>
      <c r="E94" s="69"/>
      <c r="F94" s="69"/>
      <c r="G94" s="70"/>
      <c r="H94" s="69"/>
      <c r="I94" s="69"/>
      <c r="J94" s="69"/>
      <c r="K94" s="69"/>
      <c r="L94" s="69"/>
      <c r="M94" s="69"/>
      <c r="N94" s="69"/>
      <c r="O94" s="69"/>
      <c r="P94" s="69"/>
      <c r="Q94" s="69"/>
      <c r="R94" s="69"/>
      <c r="S94" s="69"/>
      <c r="T94" s="69"/>
      <c r="U94" s="69"/>
      <c r="V94" s="69"/>
      <c r="W94" s="69"/>
      <c r="X94" s="106"/>
      <c r="Y94" s="69"/>
      <c r="Z94" s="69"/>
      <c r="AA94" s="69"/>
      <c r="AB94" s="69"/>
      <c r="AC94" s="69"/>
      <c r="AD94" s="69"/>
      <c r="AE94" s="69"/>
      <c r="AF94" s="69"/>
      <c r="AG94" s="69"/>
      <c r="AH94" s="69"/>
      <c r="AI94" s="69"/>
      <c r="AJ94" s="69"/>
      <c r="AK94" s="69"/>
    </row>
    <row r="95" ht="15.75" customHeight="1" spans="1:37">
      <c r="A95" s="163"/>
      <c r="B95" s="69"/>
      <c r="C95" s="69"/>
      <c r="D95" s="69"/>
      <c r="E95" s="69"/>
      <c r="F95" s="69"/>
      <c r="G95" s="70"/>
      <c r="H95" s="69"/>
      <c r="I95" s="69"/>
      <c r="J95" s="69"/>
      <c r="K95" s="69"/>
      <c r="L95" s="69"/>
      <c r="M95" s="69"/>
      <c r="N95" s="69"/>
      <c r="O95" s="69"/>
      <c r="P95" s="69"/>
      <c r="Q95" s="69"/>
      <c r="R95" s="69"/>
      <c r="S95" s="69"/>
      <c r="T95" s="69"/>
      <c r="U95" s="69"/>
      <c r="V95" s="69"/>
      <c r="W95" s="69"/>
      <c r="X95" s="106"/>
      <c r="Y95" s="69"/>
      <c r="Z95" s="69"/>
      <c r="AA95" s="69"/>
      <c r="AB95" s="69"/>
      <c r="AC95" s="69"/>
      <c r="AD95" s="69"/>
      <c r="AE95" s="69"/>
      <c r="AF95" s="69"/>
      <c r="AG95" s="69"/>
      <c r="AH95" s="69"/>
      <c r="AI95" s="69"/>
      <c r="AJ95" s="69"/>
      <c r="AK95" s="69"/>
    </row>
    <row r="96" ht="15.75" customHeight="1" spans="1:37">
      <c r="A96" s="163"/>
      <c r="B96" s="69"/>
      <c r="C96" s="69"/>
      <c r="D96" s="69"/>
      <c r="E96" s="69"/>
      <c r="F96" s="69"/>
      <c r="G96" s="70"/>
      <c r="H96" s="69"/>
      <c r="I96" s="69"/>
      <c r="J96" s="69"/>
      <c r="K96" s="69"/>
      <c r="L96" s="69"/>
      <c r="M96" s="69"/>
      <c r="N96" s="69"/>
      <c r="O96" s="69"/>
      <c r="P96" s="69"/>
      <c r="Q96" s="69"/>
      <c r="R96" s="69"/>
      <c r="S96" s="69"/>
      <c r="T96" s="69"/>
      <c r="U96" s="69"/>
      <c r="V96" s="69"/>
      <c r="W96" s="69"/>
      <c r="X96" s="106"/>
      <c r="Y96" s="69"/>
      <c r="Z96" s="69"/>
      <c r="AA96" s="69"/>
      <c r="AB96" s="69"/>
      <c r="AC96" s="69"/>
      <c r="AD96" s="69"/>
      <c r="AE96" s="69"/>
      <c r="AF96" s="69"/>
      <c r="AG96" s="69"/>
      <c r="AH96" s="69"/>
      <c r="AI96" s="69"/>
      <c r="AJ96" s="69"/>
      <c r="AK96" s="69"/>
    </row>
    <row r="97" ht="15.75" customHeight="1" spans="1:37">
      <c r="A97" s="163"/>
      <c r="B97" s="69"/>
      <c r="C97" s="69"/>
      <c r="D97" s="69"/>
      <c r="E97" s="69"/>
      <c r="F97" s="69"/>
      <c r="G97" s="70"/>
      <c r="H97" s="69"/>
      <c r="I97" s="69"/>
      <c r="J97" s="69"/>
      <c r="K97" s="69"/>
      <c r="L97" s="69"/>
      <c r="M97" s="69"/>
      <c r="N97" s="69"/>
      <c r="O97" s="69"/>
      <c r="P97" s="69"/>
      <c r="Q97" s="69"/>
      <c r="R97" s="69"/>
      <c r="S97" s="69"/>
      <c r="T97" s="69"/>
      <c r="U97" s="69"/>
      <c r="V97" s="69"/>
      <c r="W97" s="69"/>
      <c r="X97" s="106"/>
      <c r="Y97" s="69"/>
      <c r="Z97" s="69"/>
      <c r="AA97" s="69"/>
      <c r="AB97" s="69"/>
      <c r="AC97" s="69"/>
      <c r="AD97" s="69"/>
      <c r="AE97" s="69"/>
      <c r="AF97" s="69"/>
      <c r="AG97" s="69"/>
      <c r="AH97" s="69"/>
      <c r="AI97" s="69"/>
      <c r="AJ97" s="69"/>
      <c r="AK97" s="69"/>
    </row>
    <row r="98" ht="15.75" customHeight="1" spans="1:37">
      <c r="A98" s="163"/>
      <c r="B98" s="69"/>
      <c r="C98" s="69"/>
      <c r="D98" s="69"/>
      <c r="E98" s="69"/>
      <c r="F98" s="69"/>
      <c r="G98" s="70"/>
      <c r="H98" s="69"/>
      <c r="I98" s="69"/>
      <c r="J98" s="69"/>
      <c r="K98" s="69"/>
      <c r="L98" s="69"/>
      <c r="M98" s="69"/>
      <c r="N98" s="69"/>
      <c r="O98" s="69"/>
      <c r="P98" s="69"/>
      <c r="Q98" s="69"/>
      <c r="R98" s="69"/>
      <c r="S98" s="69"/>
      <c r="T98" s="69"/>
      <c r="U98" s="69"/>
      <c r="V98" s="69"/>
      <c r="W98" s="69"/>
      <c r="X98" s="106"/>
      <c r="Y98" s="69"/>
      <c r="Z98" s="69"/>
      <c r="AA98" s="69"/>
      <c r="AB98" s="69"/>
      <c r="AC98" s="69"/>
      <c r="AD98" s="69"/>
      <c r="AE98" s="69"/>
      <c r="AF98" s="69"/>
      <c r="AG98" s="69"/>
      <c r="AH98" s="69"/>
      <c r="AI98" s="69"/>
      <c r="AJ98" s="69"/>
      <c r="AK98" s="69"/>
    </row>
    <row r="99" ht="15.75" customHeight="1" spans="1:37">
      <c r="A99" s="163"/>
      <c r="B99" s="69"/>
      <c r="C99" s="69"/>
      <c r="D99" s="69"/>
      <c r="E99" s="69"/>
      <c r="F99" s="69"/>
      <c r="G99" s="70"/>
      <c r="H99" s="69"/>
      <c r="I99" s="69"/>
      <c r="J99" s="69"/>
      <c r="K99" s="69"/>
      <c r="L99" s="69"/>
      <c r="M99" s="69"/>
      <c r="N99" s="69"/>
      <c r="O99" s="69"/>
      <c r="P99" s="69"/>
      <c r="Q99" s="69"/>
      <c r="R99" s="69"/>
      <c r="S99" s="69"/>
      <c r="T99" s="69"/>
      <c r="U99" s="69"/>
      <c r="V99" s="69"/>
      <c r="W99" s="69"/>
      <c r="X99" s="106"/>
      <c r="Y99" s="69"/>
      <c r="Z99" s="69"/>
      <c r="AA99" s="69"/>
      <c r="AB99" s="69"/>
      <c r="AC99" s="69"/>
      <c r="AD99" s="69"/>
      <c r="AE99" s="69"/>
      <c r="AF99" s="69"/>
      <c r="AG99" s="69"/>
      <c r="AH99" s="69"/>
      <c r="AI99" s="69"/>
      <c r="AJ99" s="69"/>
      <c r="AK99" s="69"/>
    </row>
    <row r="100" ht="15.75" customHeight="1" spans="1:37">
      <c r="A100" s="163"/>
      <c r="B100" s="69"/>
      <c r="C100" s="69"/>
      <c r="D100" s="69"/>
      <c r="E100" s="69"/>
      <c r="F100" s="69"/>
      <c r="G100" s="70"/>
      <c r="H100" s="69"/>
      <c r="I100" s="69"/>
      <c r="J100" s="69"/>
      <c r="K100" s="69"/>
      <c r="L100" s="69"/>
      <c r="M100" s="69"/>
      <c r="N100" s="69"/>
      <c r="O100" s="69"/>
      <c r="P100" s="69"/>
      <c r="Q100" s="69"/>
      <c r="R100" s="69"/>
      <c r="S100" s="69"/>
      <c r="T100" s="69"/>
      <c r="U100" s="69"/>
      <c r="V100" s="69"/>
      <c r="W100" s="69"/>
      <c r="X100" s="106"/>
      <c r="Y100" s="69"/>
      <c r="Z100" s="69"/>
      <c r="AA100" s="69"/>
      <c r="AB100" s="69"/>
      <c r="AC100" s="69"/>
      <c r="AD100" s="69"/>
      <c r="AE100" s="69"/>
      <c r="AF100" s="69"/>
      <c r="AG100" s="69"/>
      <c r="AH100" s="69"/>
      <c r="AI100" s="69"/>
      <c r="AJ100" s="69"/>
      <c r="AK100" s="69"/>
    </row>
    <row r="101" ht="15.75" customHeight="1" spans="1:37">
      <c r="A101" s="163"/>
      <c r="B101" s="69"/>
      <c r="C101" s="69"/>
      <c r="D101" s="69"/>
      <c r="E101" s="69"/>
      <c r="F101" s="69"/>
      <c r="G101" s="70"/>
      <c r="H101" s="69"/>
      <c r="I101" s="69"/>
      <c r="J101" s="69"/>
      <c r="K101" s="69"/>
      <c r="L101" s="69"/>
      <c r="M101" s="69"/>
      <c r="N101" s="69"/>
      <c r="O101" s="69"/>
      <c r="P101" s="69"/>
      <c r="Q101" s="69"/>
      <c r="R101" s="69"/>
      <c r="S101" s="69"/>
      <c r="T101" s="69"/>
      <c r="U101" s="69"/>
      <c r="V101" s="69"/>
      <c r="W101" s="69"/>
      <c r="X101" s="106"/>
      <c r="Y101" s="69"/>
      <c r="Z101" s="69"/>
      <c r="AA101" s="69"/>
      <c r="AB101" s="69"/>
      <c r="AC101" s="69"/>
      <c r="AD101" s="69"/>
      <c r="AE101" s="69"/>
      <c r="AF101" s="69"/>
      <c r="AG101" s="69"/>
      <c r="AH101" s="69"/>
      <c r="AI101" s="69"/>
      <c r="AJ101" s="69"/>
      <c r="AK101" s="69"/>
    </row>
    <row r="102" ht="15.75" customHeight="1" spans="1:37">
      <c r="A102" s="163"/>
      <c r="B102" s="69"/>
      <c r="C102" s="69"/>
      <c r="D102" s="69"/>
      <c r="E102" s="69"/>
      <c r="F102" s="69"/>
      <c r="G102" s="70"/>
      <c r="H102" s="69"/>
      <c r="I102" s="69"/>
      <c r="J102" s="69"/>
      <c r="K102" s="69"/>
      <c r="L102" s="69"/>
      <c r="M102" s="69"/>
      <c r="N102" s="69"/>
      <c r="O102" s="69"/>
      <c r="P102" s="69"/>
      <c r="Q102" s="69"/>
      <c r="R102" s="69"/>
      <c r="S102" s="69"/>
      <c r="T102" s="69"/>
      <c r="U102" s="69"/>
      <c r="V102" s="69"/>
      <c r="W102" s="69"/>
      <c r="X102" s="106"/>
      <c r="Y102" s="69"/>
      <c r="Z102" s="69"/>
      <c r="AA102" s="69"/>
      <c r="AB102" s="69"/>
      <c r="AC102" s="69"/>
      <c r="AD102" s="69"/>
      <c r="AE102" s="69"/>
      <c r="AF102" s="69"/>
      <c r="AG102" s="69"/>
      <c r="AH102" s="69"/>
      <c r="AI102" s="69"/>
      <c r="AJ102" s="69"/>
      <c r="AK102" s="69"/>
    </row>
    <row r="103" ht="15.75" customHeight="1" spans="1:37">
      <c r="A103" s="163"/>
      <c r="B103" s="69"/>
      <c r="C103" s="69"/>
      <c r="D103" s="69"/>
      <c r="E103" s="69"/>
      <c r="F103" s="69"/>
      <c r="G103" s="70"/>
      <c r="H103" s="69"/>
      <c r="I103" s="69"/>
      <c r="J103" s="69"/>
      <c r="K103" s="69"/>
      <c r="L103" s="69"/>
      <c r="M103" s="69"/>
      <c r="N103" s="69"/>
      <c r="O103" s="69"/>
      <c r="P103" s="69"/>
      <c r="Q103" s="69"/>
      <c r="R103" s="69"/>
      <c r="S103" s="69"/>
      <c r="T103" s="69"/>
      <c r="U103" s="69"/>
      <c r="V103" s="69"/>
      <c r="W103" s="69"/>
      <c r="X103" s="106"/>
      <c r="Y103" s="69"/>
      <c r="Z103" s="69"/>
      <c r="AA103" s="69"/>
      <c r="AB103" s="69"/>
      <c r="AC103" s="69"/>
      <c r="AD103" s="69"/>
      <c r="AE103" s="69"/>
      <c r="AF103" s="69"/>
      <c r="AG103" s="69"/>
      <c r="AH103" s="69"/>
      <c r="AI103" s="69"/>
      <c r="AJ103" s="69"/>
      <c r="AK103" s="69"/>
    </row>
    <row r="104" ht="15.75" customHeight="1" spans="1:37">
      <c r="A104" s="163"/>
      <c r="B104" s="69"/>
      <c r="C104" s="69"/>
      <c r="D104" s="69"/>
      <c r="E104" s="69"/>
      <c r="F104" s="69"/>
      <c r="G104" s="70"/>
      <c r="H104" s="69"/>
      <c r="I104" s="69"/>
      <c r="J104" s="69"/>
      <c r="K104" s="69"/>
      <c r="L104" s="69"/>
      <c r="M104" s="69"/>
      <c r="N104" s="69"/>
      <c r="O104" s="69"/>
      <c r="P104" s="69"/>
      <c r="Q104" s="69"/>
      <c r="R104" s="69"/>
      <c r="S104" s="69"/>
      <c r="T104" s="69"/>
      <c r="U104" s="69"/>
      <c r="V104" s="69"/>
      <c r="W104" s="69"/>
      <c r="X104" s="106"/>
      <c r="Y104" s="69"/>
      <c r="Z104" s="69"/>
      <c r="AA104" s="69"/>
      <c r="AB104" s="69"/>
      <c r="AC104" s="69"/>
      <c r="AD104" s="69"/>
      <c r="AE104" s="69"/>
      <c r="AF104" s="69"/>
      <c r="AG104" s="69"/>
      <c r="AH104" s="69"/>
      <c r="AI104" s="69"/>
      <c r="AJ104" s="69"/>
      <c r="AK104" s="69"/>
    </row>
    <row r="105" ht="15.75" customHeight="1" spans="1:37">
      <c r="A105" s="163"/>
      <c r="B105" s="69"/>
      <c r="C105" s="69"/>
      <c r="D105" s="69"/>
      <c r="E105" s="69"/>
      <c r="F105" s="69"/>
      <c r="G105" s="70"/>
      <c r="H105" s="69"/>
      <c r="I105" s="69"/>
      <c r="J105" s="69"/>
      <c r="K105" s="69"/>
      <c r="L105" s="69"/>
      <c r="M105" s="69"/>
      <c r="N105" s="69"/>
      <c r="O105" s="69"/>
      <c r="P105" s="69"/>
      <c r="Q105" s="69"/>
      <c r="R105" s="69"/>
      <c r="S105" s="69"/>
      <c r="T105" s="69"/>
      <c r="U105" s="69"/>
      <c r="V105" s="69"/>
      <c r="W105" s="69"/>
      <c r="X105" s="106"/>
      <c r="Y105" s="69"/>
      <c r="Z105" s="69"/>
      <c r="AA105" s="69"/>
      <c r="AB105" s="69"/>
      <c r="AC105" s="69"/>
      <c r="AD105" s="69"/>
      <c r="AE105" s="69"/>
      <c r="AF105" s="69"/>
      <c r="AG105" s="69"/>
      <c r="AH105" s="69"/>
      <c r="AI105" s="69"/>
      <c r="AJ105" s="69"/>
      <c r="AK105" s="69"/>
    </row>
    <row r="106" ht="15.75" customHeight="1" spans="1:37">
      <c r="A106" s="163"/>
      <c r="B106" s="69"/>
      <c r="C106" s="69"/>
      <c r="D106" s="69"/>
      <c r="E106" s="69"/>
      <c r="F106" s="69"/>
      <c r="G106" s="70"/>
      <c r="H106" s="69"/>
      <c r="I106" s="69"/>
      <c r="J106" s="69"/>
      <c r="K106" s="69"/>
      <c r="L106" s="69"/>
      <c r="M106" s="69"/>
      <c r="N106" s="69"/>
      <c r="O106" s="69"/>
      <c r="P106" s="69"/>
      <c r="Q106" s="69"/>
      <c r="R106" s="69"/>
      <c r="S106" s="69"/>
      <c r="T106" s="69"/>
      <c r="U106" s="69"/>
      <c r="V106" s="69"/>
      <c r="W106" s="69"/>
      <c r="X106" s="106"/>
      <c r="Y106" s="69"/>
      <c r="Z106" s="69"/>
      <c r="AA106" s="69"/>
      <c r="AB106" s="69"/>
      <c r="AC106" s="69"/>
      <c r="AD106" s="69"/>
      <c r="AE106" s="69"/>
      <c r="AF106" s="69"/>
      <c r="AG106" s="69"/>
      <c r="AH106" s="69"/>
      <c r="AI106" s="69"/>
      <c r="AJ106" s="69"/>
      <c r="AK106" s="69"/>
    </row>
    <row r="107" ht="15.75" customHeight="1" spans="1:37">
      <c r="A107" s="163"/>
      <c r="B107" s="69"/>
      <c r="C107" s="69"/>
      <c r="D107" s="69"/>
      <c r="E107" s="69"/>
      <c r="F107" s="69"/>
      <c r="G107" s="70"/>
      <c r="H107" s="69"/>
      <c r="I107" s="69"/>
      <c r="J107" s="69"/>
      <c r="K107" s="69"/>
      <c r="L107" s="69"/>
      <c r="M107" s="69"/>
      <c r="N107" s="69"/>
      <c r="O107" s="69"/>
      <c r="P107" s="69"/>
      <c r="Q107" s="69"/>
      <c r="R107" s="69"/>
      <c r="S107" s="69"/>
      <c r="T107" s="69"/>
      <c r="U107" s="69"/>
      <c r="V107" s="69"/>
      <c r="W107" s="69"/>
      <c r="X107" s="106"/>
      <c r="Y107" s="69"/>
      <c r="Z107" s="69"/>
      <c r="AA107" s="69"/>
      <c r="AB107" s="69"/>
      <c r="AC107" s="69"/>
      <c r="AD107" s="69"/>
      <c r="AE107" s="69"/>
      <c r="AF107" s="69"/>
      <c r="AG107" s="69"/>
      <c r="AH107" s="69"/>
      <c r="AI107" s="69"/>
      <c r="AJ107" s="69"/>
      <c r="AK107" s="69"/>
    </row>
    <row r="108" ht="15.75" customHeight="1" spans="1:37">
      <c r="A108" s="163"/>
      <c r="B108" s="69"/>
      <c r="C108" s="69"/>
      <c r="D108" s="69"/>
      <c r="E108" s="69"/>
      <c r="F108" s="69"/>
      <c r="G108" s="70"/>
      <c r="H108" s="69"/>
      <c r="I108" s="69"/>
      <c r="J108" s="69"/>
      <c r="K108" s="69"/>
      <c r="L108" s="69"/>
      <c r="M108" s="69"/>
      <c r="N108" s="69"/>
      <c r="O108" s="69"/>
      <c r="P108" s="69"/>
      <c r="Q108" s="69"/>
      <c r="R108" s="69"/>
      <c r="S108" s="69"/>
      <c r="T108" s="69"/>
      <c r="U108" s="69"/>
      <c r="V108" s="69"/>
      <c r="W108" s="69"/>
      <c r="X108" s="106"/>
      <c r="Y108" s="69"/>
      <c r="Z108" s="69"/>
      <c r="AA108" s="69"/>
      <c r="AB108" s="69"/>
      <c r="AC108" s="69"/>
      <c r="AD108" s="69"/>
      <c r="AE108" s="69"/>
      <c r="AF108" s="69"/>
      <c r="AG108" s="69"/>
      <c r="AH108" s="69"/>
      <c r="AI108" s="69"/>
      <c r="AJ108" s="69"/>
      <c r="AK108" s="69"/>
    </row>
    <row r="109" ht="15.75" customHeight="1" spans="1:37">
      <c r="A109" s="163"/>
      <c r="B109" s="69"/>
      <c r="C109" s="69"/>
      <c r="D109" s="69"/>
      <c r="E109" s="69"/>
      <c r="F109" s="69"/>
      <c r="G109" s="70"/>
      <c r="H109" s="69"/>
      <c r="I109" s="69"/>
      <c r="J109" s="69"/>
      <c r="K109" s="69"/>
      <c r="L109" s="69"/>
      <c r="M109" s="69"/>
      <c r="N109" s="69"/>
      <c r="O109" s="69"/>
      <c r="P109" s="69"/>
      <c r="Q109" s="69"/>
      <c r="R109" s="69"/>
      <c r="S109" s="69"/>
      <c r="T109" s="69"/>
      <c r="U109" s="69"/>
      <c r="V109" s="69"/>
      <c r="W109" s="69"/>
      <c r="X109" s="106"/>
      <c r="Y109" s="69"/>
      <c r="Z109" s="69"/>
      <c r="AA109" s="69"/>
      <c r="AB109" s="69"/>
      <c r="AC109" s="69"/>
      <c r="AD109" s="69"/>
      <c r="AE109" s="69"/>
      <c r="AF109" s="69"/>
      <c r="AG109" s="69"/>
      <c r="AH109" s="69"/>
      <c r="AI109" s="69"/>
      <c r="AJ109" s="69"/>
      <c r="AK109" s="69"/>
    </row>
    <row r="110" ht="15.75" customHeight="1" spans="1:37">
      <c r="A110" s="163"/>
      <c r="B110" s="69"/>
      <c r="C110" s="69"/>
      <c r="D110" s="69"/>
      <c r="E110" s="69"/>
      <c r="F110" s="69"/>
      <c r="G110" s="70"/>
      <c r="H110" s="69"/>
      <c r="I110" s="69"/>
      <c r="J110" s="69"/>
      <c r="K110" s="69"/>
      <c r="L110" s="69"/>
      <c r="M110" s="69"/>
      <c r="N110" s="69"/>
      <c r="O110" s="69"/>
      <c r="P110" s="69"/>
      <c r="Q110" s="69"/>
      <c r="R110" s="69"/>
      <c r="S110" s="69"/>
      <c r="T110" s="69"/>
      <c r="U110" s="69"/>
      <c r="V110" s="69"/>
      <c r="W110" s="69"/>
      <c r="X110" s="106"/>
      <c r="Y110" s="69"/>
      <c r="Z110" s="69"/>
      <c r="AA110" s="69"/>
      <c r="AB110" s="69"/>
      <c r="AC110" s="69"/>
      <c r="AD110" s="69"/>
      <c r="AE110" s="69"/>
      <c r="AF110" s="69"/>
      <c r="AG110" s="69"/>
      <c r="AH110" s="69"/>
      <c r="AI110" s="69"/>
      <c r="AJ110" s="69"/>
      <c r="AK110" s="69"/>
    </row>
    <row r="111" ht="15.75" customHeight="1" spans="1:37">
      <c r="A111" s="163"/>
      <c r="B111" s="69"/>
      <c r="C111" s="69"/>
      <c r="D111" s="69"/>
      <c r="E111" s="69"/>
      <c r="F111" s="69"/>
      <c r="G111" s="70"/>
      <c r="H111" s="69"/>
      <c r="I111" s="69"/>
      <c r="J111" s="69"/>
      <c r="K111" s="69"/>
      <c r="L111" s="69"/>
      <c r="M111" s="69"/>
      <c r="N111" s="69"/>
      <c r="O111" s="69"/>
      <c r="P111" s="69"/>
      <c r="Q111" s="69"/>
      <c r="R111" s="69"/>
      <c r="S111" s="69"/>
      <c r="T111" s="69"/>
      <c r="U111" s="69"/>
      <c r="V111" s="69"/>
      <c r="W111" s="69"/>
      <c r="X111" s="106"/>
      <c r="Y111" s="69"/>
      <c r="Z111" s="69"/>
      <c r="AA111" s="69"/>
      <c r="AB111" s="69"/>
      <c r="AC111" s="69"/>
      <c r="AD111" s="69"/>
      <c r="AE111" s="69"/>
      <c r="AF111" s="69"/>
      <c r="AG111" s="69"/>
      <c r="AH111" s="69"/>
      <c r="AI111" s="69"/>
      <c r="AJ111" s="69"/>
      <c r="AK111" s="69"/>
    </row>
    <row r="112" ht="15.75" customHeight="1" spans="1:37">
      <c r="A112" s="163"/>
      <c r="B112" s="69"/>
      <c r="C112" s="69"/>
      <c r="D112" s="69"/>
      <c r="E112" s="69"/>
      <c r="F112" s="69"/>
      <c r="G112" s="70"/>
      <c r="H112" s="69"/>
      <c r="I112" s="69"/>
      <c r="J112" s="69"/>
      <c r="K112" s="69"/>
      <c r="L112" s="69"/>
      <c r="M112" s="69"/>
      <c r="N112" s="69"/>
      <c r="O112" s="69"/>
      <c r="P112" s="69"/>
      <c r="Q112" s="69"/>
      <c r="R112" s="69"/>
      <c r="S112" s="69"/>
      <c r="T112" s="69"/>
      <c r="U112" s="69"/>
      <c r="V112" s="69"/>
      <c r="W112" s="69"/>
      <c r="X112" s="106"/>
      <c r="Y112" s="69"/>
      <c r="Z112" s="69"/>
      <c r="AA112" s="69"/>
      <c r="AB112" s="69"/>
      <c r="AC112" s="69"/>
      <c r="AD112" s="69"/>
      <c r="AE112" s="69"/>
      <c r="AF112" s="69"/>
      <c r="AG112" s="69"/>
      <c r="AH112" s="69"/>
      <c r="AI112" s="69"/>
      <c r="AJ112" s="69"/>
      <c r="AK112" s="69"/>
    </row>
    <row r="113" ht="15.75" customHeight="1" spans="1:37">
      <c r="A113" s="163"/>
      <c r="B113" s="69"/>
      <c r="C113" s="69"/>
      <c r="D113" s="69"/>
      <c r="E113" s="69"/>
      <c r="F113" s="69"/>
      <c r="G113" s="70"/>
      <c r="H113" s="69"/>
      <c r="I113" s="69"/>
      <c r="J113" s="69"/>
      <c r="K113" s="69"/>
      <c r="L113" s="69"/>
      <c r="M113" s="69"/>
      <c r="N113" s="69"/>
      <c r="O113" s="69"/>
      <c r="P113" s="69"/>
      <c r="Q113" s="69"/>
      <c r="R113" s="69"/>
      <c r="S113" s="69"/>
      <c r="T113" s="69"/>
      <c r="U113" s="69"/>
      <c r="V113" s="69"/>
      <c r="W113" s="69"/>
      <c r="X113" s="106"/>
      <c r="Y113" s="69"/>
      <c r="Z113" s="69"/>
      <c r="AA113" s="69"/>
      <c r="AB113" s="69"/>
      <c r="AC113" s="69"/>
      <c r="AD113" s="69"/>
      <c r="AE113" s="69"/>
      <c r="AF113" s="69"/>
      <c r="AG113" s="69"/>
      <c r="AH113" s="69"/>
      <c r="AI113" s="69"/>
      <c r="AJ113" s="69"/>
      <c r="AK113" s="69"/>
    </row>
    <row r="114" ht="15.75" customHeight="1" spans="1:37">
      <c r="A114" s="163"/>
      <c r="B114" s="69"/>
      <c r="C114" s="69"/>
      <c r="D114" s="69"/>
      <c r="E114" s="69"/>
      <c r="F114" s="69"/>
      <c r="G114" s="70"/>
      <c r="H114" s="69"/>
      <c r="I114" s="69"/>
      <c r="J114" s="69"/>
      <c r="K114" s="69"/>
      <c r="L114" s="69"/>
      <c r="M114" s="69"/>
      <c r="N114" s="69"/>
      <c r="O114" s="69"/>
      <c r="P114" s="69"/>
      <c r="Q114" s="69"/>
      <c r="R114" s="69"/>
      <c r="S114" s="69"/>
      <c r="T114" s="69"/>
      <c r="U114" s="69"/>
      <c r="V114" s="69"/>
      <c r="W114" s="69"/>
      <c r="X114" s="106"/>
      <c r="Y114" s="69"/>
      <c r="Z114" s="69"/>
      <c r="AA114" s="69"/>
      <c r="AB114" s="69"/>
      <c r="AC114" s="69"/>
      <c r="AD114" s="69"/>
      <c r="AE114" s="69"/>
      <c r="AF114" s="69"/>
      <c r="AG114" s="69"/>
      <c r="AH114" s="69"/>
      <c r="AI114" s="69"/>
      <c r="AJ114" s="69"/>
      <c r="AK114" s="69"/>
    </row>
    <row r="115" ht="15.75" customHeight="1" spans="1:37">
      <c r="A115" s="163"/>
      <c r="B115" s="69"/>
      <c r="C115" s="69"/>
      <c r="D115" s="69"/>
      <c r="E115" s="69"/>
      <c r="F115" s="69"/>
      <c r="G115" s="70"/>
      <c r="H115" s="69"/>
      <c r="I115" s="69"/>
      <c r="J115" s="69"/>
      <c r="K115" s="69"/>
      <c r="L115" s="69"/>
      <c r="M115" s="69"/>
      <c r="N115" s="69"/>
      <c r="O115" s="69"/>
      <c r="P115" s="69"/>
      <c r="Q115" s="69"/>
      <c r="R115" s="69"/>
      <c r="S115" s="69"/>
      <c r="T115" s="69"/>
      <c r="U115" s="69"/>
      <c r="V115" s="69"/>
      <c r="W115" s="69"/>
      <c r="X115" s="106"/>
      <c r="Y115" s="69"/>
      <c r="Z115" s="69"/>
      <c r="AA115" s="69"/>
      <c r="AB115" s="69"/>
      <c r="AC115" s="69"/>
      <c r="AD115" s="69"/>
      <c r="AE115" s="69"/>
      <c r="AF115" s="69"/>
      <c r="AG115" s="69"/>
      <c r="AH115" s="69"/>
      <c r="AI115" s="69"/>
      <c r="AJ115" s="69"/>
      <c r="AK115" s="69"/>
    </row>
    <row r="116" ht="15.75" customHeight="1" spans="1:37">
      <c r="A116" s="163"/>
      <c r="B116" s="69"/>
      <c r="C116" s="69"/>
      <c r="D116" s="69"/>
      <c r="E116" s="69"/>
      <c r="F116" s="69"/>
      <c r="G116" s="70"/>
      <c r="H116" s="69"/>
      <c r="I116" s="69"/>
      <c r="J116" s="69"/>
      <c r="K116" s="69"/>
      <c r="L116" s="69"/>
      <c r="M116" s="69"/>
      <c r="N116" s="69"/>
      <c r="O116" s="69"/>
      <c r="P116" s="69"/>
      <c r="Q116" s="69"/>
      <c r="R116" s="69"/>
      <c r="S116" s="69"/>
      <c r="T116" s="69"/>
      <c r="U116" s="69"/>
      <c r="V116" s="69"/>
      <c r="W116" s="69"/>
      <c r="X116" s="106"/>
      <c r="Y116" s="69"/>
      <c r="Z116" s="69"/>
      <c r="AA116" s="69"/>
      <c r="AB116" s="69"/>
      <c r="AC116" s="69"/>
      <c r="AD116" s="69"/>
      <c r="AE116" s="69"/>
      <c r="AF116" s="69"/>
      <c r="AG116" s="69"/>
      <c r="AH116" s="69"/>
      <c r="AI116" s="69"/>
      <c r="AJ116" s="69"/>
      <c r="AK116" s="69"/>
    </row>
    <row r="117" ht="15.75" customHeight="1" spans="1:37">
      <c r="A117" s="163"/>
      <c r="B117" s="69"/>
      <c r="C117" s="69"/>
      <c r="D117" s="69"/>
      <c r="E117" s="69"/>
      <c r="F117" s="69"/>
      <c r="G117" s="70"/>
      <c r="H117" s="69"/>
      <c r="I117" s="69"/>
      <c r="J117" s="69"/>
      <c r="K117" s="69"/>
      <c r="L117" s="69"/>
      <c r="M117" s="69"/>
      <c r="N117" s="69"/>
      <c r="O117" s="69"/>
      <c r="P117" s="69"/>
      <c r="Q117" s="69"/>
      <c r="R117" s="69"/>
      <c r="S117" s="69"/>
      <c r="T117" s="69"/>
      <c r="U117" s="69"/>
      <c r="V117" s="69"/>
      <c r="W117" s="69"/>
      <c r="X117" s="106"/>
      <c r="Y117" s="69"/>
      <c r="Z117" s="69"/>
      <c r="AA117" s="69"/>
      <c r="AB117" s="69"/>
      <c r="AC117" s="69"/>
      <c r="AD117" s="69"/>
      <c r="AE117" s="69"/>
      <c r="AF117" s="69"/>
      <c r="AG117" s="69"/>
      <c r="AH117" s="69"/>
      <c r="AI117" s="69"/>
      <c r="AJ117" s="69"/>
      <c r="AK117" s="69"/>
    </row>
    <row r="118" ht="15.75" customHeight="1" spans="1:37">
      <c r="A118" s="163"/>
      <c r="B118" s="69"/>
      <c r="C118" s="69"/>
      <c r="D118" s="69"/>
      <c r="E118" s="69"/>
      <c r="F118" s="69"/>
      <c r="G118" s="70"/>
      <c r="H118" s="69"/>
      <c r="I118" s="69"/>
      <c r="J118" s="69"/>
      <c r="K118" s="69"/>
      <c r="L118" s="69"/>
      <c r="M118" s="69"/>
      <c r="N118" s="69"/>
      <c r="O118" s="69"/>
      <c r="P118" s="69"/>
      <c r="Q118" s="69"/>
      <c r="R118" s="69"/>
      <c r="S118" s="69"/>
      <c r="T118" s="69"/>
      <c r="U118" s="69"/>
      <c r="V118" s="69"/>
      <c r="W118" s="69"/>
      <c r="X118" s="106"/>
      <c r="Y118" s="69"/>
      <c r="Z118" s="69"/>
      <c r="AA118" s="69"/>
      <c r="AB118" s="69"/>
      <c r="AC118" s="69"/>
      <c r="AD118" s="69"/>
      <c r="AE118" s="69"/>
      <c r="AF118" s="69"/>
      <c r="AG118" s="69"/>
      <c r="AH118" s="69"/>
      <c r="AI118" s="69"/>
      <c r="AJ118" s="69"/>
      <c r="AK118" s="69"/>
    </row>
    <row r="119" ht="15.75" customHeight="1" spans="1:37">
      <c r="A119" s="163"/>
      <c r="B119" s="69"/>
      <c r="C119" s="69"/>
      <c r="D119" s="69"/>
      <c r="E119" s="69"/>
      <c r="F119" s="69"/>
      <c r="G119" s="70"/>
      <c r="H119" s="69"/>
      <c r="I119" s="69"/>
      <c r="J119" s="69"/>
      <c r="K119" s="69"/>
      <c r="L119" s="69"/>
      <c r="M119" s="69"/>
      <c r="N119" s="69"/>
      <c r="O119" s="69"/>
      <c r="P119" s="69"/>
      <c r="Q119" s="69"/>
      <c r="R119" s="69"/>
      <c r="S119" s="69"/>
      <c r="T119" s="69"/>
      <c r="U119" s="69"/>
      <c r="V119" s="69"/>
      <c r="W119" s="69"/>
      <c r="X119" s="106"/>
      <c r="Y119" s="69"/>
      <c r="Z119" s="69"/>
      <c r="AA119" s="69"/>
      <c r="AB119" s="69"/>
      <c r="AC119" s="69"/>
      <c r="AD119" s="69"/>
      <c r="AE119" s="69"/>
      <c r="AF119" s="69"/>
      <c r="AG119" s="69"/>
      <c r="AH119" s="69"/>
      <c r="AI119" s="69"/>
      <c r="AJ119" s="69"/>
      <c r="AK119" s="69"/>
    </row>
    <row r="120" ht="15.75" customHeight="1" spans="1:37">
      <c r="A120" s="163"/>
      <c r="B120" s="69"/>
      <c r="C120" s="69"/>
      <c r="D120" s="69"/>
      <c r="E120" s="69"/>
      <c r="F120" s="69"/>
      <c r="G120" s="70"/>
      <c r="H120" s="69"/>
      <c r="I120" s="69"/>
      <c r="J120" s="69"/>
      <c r="K120" s="69"/>
      <c r="L120" s="69"/>
      <c r="M120" s="69"/>
      <c r="N120" s="69"/>
      <c r="O120" s="69"/>
      <c r="P120" s="69"/>
      <c r="Q120" s="69"/>
      <c r="R120" s="69"/>
      <c r="S120" s="69"/>
      <c r="T120" s="69"/>
      <c r="U120" s="69"/>
      <c r="V120" s="69"/>
      <c r="W120" s="69"/>
      <c r="X120" s="106"/>
      <c r="Y120" s="69"/>
      <c r="Z120" s="69"/>
      <c r="AA120" s="69"/>
      <c r="AB120" s="69"/>
      <c r="AC120" s="69"/>
      <c r="AD120" s="69"/>
      <c r="AE120" s="69"/>
      <c r="AF120" s="69"/>
      <c r="AG120" s="69"/>
      <c r="AH120" s="69"/>
      <c r="AI120" s="69"/>
      <c r="AJ120" s="69"/>
      <c r="AK120" s="69"/>
    </row>
    <row r="121" ht="15.75" customHeight="1" spans="1:37">
      <c r="A121" s="163"/>
      <c r="B121" s="69"/>
      <c r="C121" s="69"/>
      <c r="D121" s="69"/>
      <c r="E121" s="69"/>
      <c r="F121" s="69"/>
      <c r="G121" s="70"/>
      <c r="H121" s="69"/>
      <c r="I121" s="69"/>
      <c r="J121" s="69"/>
      <c r="K121" s="69"/>
      <c r="L121" s="69"/>
      <c r="M121" s="69"/>
      <c r="N121" s="69"/>
      <c r="O121" s="69"/>
      <c r="P121" s="69"/>
      <c r="Q121" s="69"/>
      <c r="R121" s="69"/>
      <c r="S121" s="69"/>
      <c r="T121" s="69"/>
      <c r="U121" s="69"/>
      <c r="V121" s="69"/>
      <c r="W121" s="69"/>
      <c r="X121" s="106"/>
      <c r="Y121" s="69"/>
      <c r="Z121" s="69"/>
      <c r="AA121" s="69"/>
      <c r="AB121" s="69"/>
      <c r="AC121" s="69"/>
      <c r="AD121" s="69"/>
      <c r="AE121" s="69"/>
      <c r="AF121" s="69"/>
      <c r="AG121" s="69"/>
      <c r="AH121" s="69"/>
      <c r="AI121" s="69"/>
      <c r="AJ121" s="69"/>
      <c r="AK121" s="69"/>
    </row>
    <row r="122" ht="15.75" customHeight="1" spans="1:37">
      <c r="A122" s="163"/>
      <c r="B122" s="69"/>
      <c r="C122" s="69"/>
      <c r="D122" s="69"/>
      <c r="E122" s="69"/>
      <c r="F122" s="69"/>
      <c r="G122" s="70"/>
      <c r="H122" s="69"/>
      <c r="I122" s="69"/>
      <c r="J122" s="69"/>
      <c r="K122" s="69"/>
      <c r="L122" s="69"/>
      <c r="M122" s="69"/>
      <c r="N122" s="69"/>
      <c r="O122" s="69"/>
      <c r="P122" s="69"/>
      <c r="Q122" s="69"/>
      <c r="R122" s="69"/>
      <c r="S122" s="69"/>
      <c r="T122" s="69"/>
      <c r="U122" s="69"/>
      <c r="V122" s="69"/>
      <c r="W122" s="69"/>
      <c r="X122" s="106"/>
      <c r="Y122" s="69"/>
      <c r="Z122" s="69"/>
      <c r="AA122" s="69"/>
      <c r="AB122" s="69"/>
      <c r="AC122" s="69"/>
      <c r="AD122" s="69"/>
      <c r="AE122" s="69"/>
      <c r="AF122" s="69"/>
      <c r="AG122" s="69"/>
      <c r="AH122" s="69"/>
      <c r="AI122" s="69"/>
      <c r="AJ122" s="69"/>
      <c r="AK122" s="69"/>
    </row>
    <row r="123" ht="15.75" customHeight="1" spans="1:37">
      <c r="A123" s="163"/>
      <c r="B123" s="69"/>
      <c r="C123" s="69"/>
      <c r="D123" s="69"/>
      <c r="E123" s="69"/>
      <c r="F123" s="69"/>
      <c r="G123" s="70"/>
      <c r="H123" s="69"/>
      <c r="I123" s="69"/>
      <c r="J123" s="69"/>
      <c r="K123" s="69"/>
      <c r="L123" s="69"/>
      <c r="M123" s="69"/>
      <c r="N123" s="69"/>
      <c r="O123" s="69"/>
      <c r="P123" s="69"/>
      <c r="Q123" s="69"/>
      <c r="R123" s="69"/>
      <c r="S123" s="69"/>
      <c r="T123" s="69"/>
      <c r="U123" s="69"/>
      <c r="V123" s="69"/>
      <c r="W123" s="69"/>
      <c r="X123" s="106"/>
      <c r="Y123" s="69"/>
      <c r="Z123" s="69"/>
      <c r="AA123" s="69"/>
      <c r="AB123" s="69"/>
      <c r="AC123" s="69"/>
      <c r="AD123" s="69"/>
      <c r="AE123" s="69"/>
      <c r="AF123" s="69"/>
      <c r="AG123" s="69"/>
      <c r="AH123" s="69"/>
      <c r="AI123" s="69"/>
      <c r="AJ123" s="69"/>
      <c r="AK123" s="69"/>
    </row>
    <row r="124" ht="15.75" customHeight="1" spans="1:37">
      <c r="A124" s="163"/>
      <c r="B124" s="69"/>
      <c r="C124" s="69"/>
      <c r="D124" s="69"/>
      <c r="E124" s="69"/>
      <c r="F124" s="69"/>
      <c r="G124" s="70"/>
      <c r="H124" s="69"/>
      <c r="I124" s="69"/>
      <c r="J124" s="69"/>
      <c r="K124" s="69"/>
      <c r="L124" s="69"/>
      <c r="M124" s="69"/>
      <c r="N124" s="69"/>
      <c r="O124" s="69"/>
      <c r="P124" s="69"/>
      <c r="Q124" s="69"/>
      <c r="R124" s="69"/>
      <c r="S124" s="69"/>
      <c r="T124" s="69"/>
      <c r="U124" s="69"/>
      <c r="V124" s="69"/>
      <c r="W124" s="69"/>
      <c r="X124" s="106"/>
      <c r="Y124" s="69"/>
      <c r="Z124" s="69"/>
      <c r="AA124" s="69"/>
      <c r="AB124" s="69"/>
      <c r="AC124" s="69"/>
      <c r="AD124" s="69"/>
      <c r="AE124" s="69"/>
      <c r="AF124" s="69"/>
      <c r="AG124" s="69"/>
      <c r="AH124" s="69"/>
      <c r="AI124" s="69"/>
      <c r="AJ124" s="69"/>
      <c r="AK124" s="69"/>
    </row>
    <row r="125" ht="15.75" customHeight="1" spans="1:37">
      <c r="A125" s="163"/>
      <c r="B125" s="69"/>
      <c r="C125" s="69"/>
      <c r="D125" s="69"/>
      <c r="E125" s="69"/>
      <c r="F125" s="69"/>
      <c r="G125" s="70"/>
      <c r="H125" s="69"/>
      <c r="I125" s="69"/>
      <c r="J125" s="69"/>
      <c r="K125" s="69"/>
      <c r="L125" s="69"/>
      <c r="M125" s="69"/>
      <c r="N125" s="69"/>
      <c r="O125" s="69"/>
      <c r="P125" s="69"/>
      <c r="Q125" s="69"/>
      <c r="R125" s="69"/>
      <c r="S125" s="69"/>
      <c r="T125" s="69"/>
      <c r="U125" s="69"/>
      <c r="V125" s="69"/>
      <c r="W125" s="69"/>
      <c r="X125" s="106"/>
      <c r="Y125" s="69"/>
      <c r="Z125" s="69"/>
      <c r="AA125" s="69"/>
      <c r="AB125" s="69"/>
      <c r="AC125" s="69"/>
      <c r="AD125" s="69"/>
      <c r="AE125" s="69"/>
      <c r="AF125" s="69"/>
      <c r="AG125" s="69"/>
      <c r="AH125" s="69"/>
      <c r="AI125" s="69"/>
      <c r="AJ125" s="69"/>
      <c r="AK125" s="69"/>
    </row>
    <row r="126" ht="15.75" customHeight="1" spans="1:37">
      <c r="A126" s="163"/>
      <c r="B126" s="69"/>
      <c r="C126" s="69"/>
      <c r="D126" s="69"/>
      <c r="E126" s="69"/>
      <c r="F126" s="69"/>
      <c r="G126" s="70"/>
      <c r="H126" s="69"/>
      <c r="I126" s="69"/>
      <c r="J126" s="69"/>
      <c r="K126" s="69"/>
      <c r="L126" s="69"/>
      <c r="M126" s="69"/>
      <c r="N126" s="69"/>
      <c r="O126" s="69"/>
      <c r="P126" s="69"/>
      <c r="Q126" s="69"/>
      <c r="R126" s="69"/>
      <c r="S126" s="69"/>
      <c r="T126" s="69"/>
      <c r="U126" s="69"/>
      <c r="V126" s="69"/>
      <c r="W126" s="69"/>
      <c r="X126" s="106"/>
      <c r="Y126" s="69"/>
      <c r="Z126" s="69"/>
      <c r="AA126" s="69"/>
      <c r="AB126" s="69"/>
      <c r="AC126" s="69"/>
      <c r="AD126" s="69"/>
      <c r="AE126" s="69"/>
      <c r="AF126" s="69"/>
      <c r="AG126" s="69"/>
      <c r="AH126" s="69"/>
      <c r="AI126" s="69"/>
      <c r="AJ126" s="69"/>
      <c r="AK126" s="69"/>
    </row>
    <row r="127" ht="15.75" customHeight="1" spans="1:37">
      <c r="A127" s="163"/>
      <c r="B127" s="69"/>
      <c r="C127" s="69"/>
      <c r="D127" s="69"/>
      <c r="E127" s="69"/>
      <c r="F127" s="69"/>
      <c r="G127" s="70"/>
      <c r="H127" s="69"/>
      <c r="I127" s="69"/>
      <c r="J127" s="69"/>
      <c r="K127" s="69"/>
      <c r="L127" s="69"/>
      <c r="M127" s="69"/>
      <c r="N127" s="69"/>
      <c r="O127" s="69"/>
      <c r="P127" s="69"/>
      <c r="Q127" s="69"/>
      <c r="R127" s="69"/>
      <c r="S127" s="69"/>
      <c r="T127" s="69"/>
      <c r="U127" s="69"/>
      <c r="V127" s="69"/>
      <c r="W127" s="69"/>
      <c r="X127" s="106"/>
      <c r="Y127" s="69"/>
      <c r="Z127" s="69"/>
      <c r="AA127" s="69"/>
      <c r="AB127" s="69"/>
      <c r="AC127" s="69"/>
      <c r="AD127" s="69"/>
      <c r="AE127" s="69"/>
      <c r="AF127" s="69"/>
      <c r="AG127" s="69"/>
      <c r="AH127" s="69"/>
      <c r="AI127" s="69"/>
      <c r="AJ127" s="69"/>
      <c r="AK127" s="69"/>
    </row>
    <row r="128" ht="15.75" customHeight="1" spans="1:37">
      <c r="A128" s="163"/>
      <c r="B128" s="69"/>
      <c r="C128" s="69"/>
      <c r="D128" s="69"/>
      <c r="E128" s="69"/>
      <c r="F128" s="69"/>
      <c r="G128" s="70"/>
      <c r="H128" s="69"/>
      <c r="I128" s="69"/>
      <c r="J128" s="69"/>
      <c r="K128" s="69"/>
      <c r="L128" s="69"/>
      <c r="M128" s="69"/>
      <c r="N128" s="69"/>
      <c r="O128" s="69"/>
      <c r="P128" s="69"/>
      <c r="Q128" s="69"/>
      <c r="R128" s="69"/>
      <c r="S128" s="69"/>
      <c r="T128" s="69"/>
      <c r="U128" s="69"/>
      <c r="V128" s="69"/>
      <c r="W128" s="69"/>
      <c r="X128" s="106"/>
      <c r="Y128" s="69"/>
      <c r="Z128" s="69"/>
      <c r="AA128" s="69"/>
      <c r="AB128" s="69"/>
      <c r="AC128" s="69"/>
      <c r="AD128" s="69"/>
      <c r="AE128" s="69"/>
      <c r="AF128" s="69"/>
      <c r="AG128" s="69"/>
      <c r="AH128" s="69"/>
      <c r="AI128" s="69"/>
      <c r="AJ128" s="69"/>
      <c r="AK128" s="69"/>
    </row>
    <row r="129" ht="15.75" customHeight="1" spans="1:37">
      <c r="A129" s="163"/>
      <c r="B129" s="69"/>
      <c r="C129" s="69"/>
      <c r="D129" s="69"/>
      <c r="E129" s="69"/>
      <c r="F129" s="69"/>
      <c r="G129" s="70"/>
      <c r="H129" s="69"/>
      <c r="I129" s="69"/>
      <c r="J129" s="69"/>
      <c r="K129" s="69"/>
      <c r="L129" s="69"/>
      <c r="M129" s="69"/>
      <c r="N129" s="69"/>
      <c r="O129" s="69"/>
      <c r="P129" s="69"/>
      <c r="Q129" s="69"/>
      <c r="R129" s="69"/>
      <c r="S129" s="69"/>
      <c r="T129" s="69"/>
      <c r="U129" s="69"/>
      <c r="V129" s="69"/>
      <c r="W129" s="69"/>
      <c r="X129" s="106"/>
      <c r="Y129" s="69"/>
      <c r="Z129" s="69"/>
      <c r="AA129" s="69"/>
      <c r="AB129" s="69"/>
      <c r="AC129" s="69"/>
      <c r="AD129" s="69"/>
      <c r="AE129" s="69"/>
      <c r="AF129" s="69"/>
      <c r="AG129" s="69"/>
      <c r="AH129" s="69"/>
      <c r="AI129" s="69"/>
      <c r="AJ129" s="69"/>
      <c r="AK129" s="69"/>
    </row>
    <row r="130" ht="15.75" customHeight="1" spans="1:37">
      <c r="A130" s="163"/>
      <c r="B130" s="69"/>
      <c r="C130" s="69"/>
      <c r="D130" s="69"/>
      <c r="E130" s="69"/>
      <c r="F130" s="69"/>
      <c r="G130" s="70"/>
      <c r="H130" s="69"/>
      <c r="I130" s="69"/>
      <c r="J130" s="69"/>
      <c r="K130" s="69"/>
      <c r="L130" s="69"/>
      <c r="M130" s="69"/>
      <c r="N130" s="69"/>
      <c r="O130" s="69"/>
      <c r="P130" s="69"/>
      <c r="Q130" s="69"/>
      <c r="R130" s="69"/>
      <c r="S130" s="69"/>
      <c r="T130" s="69"/>
      <c r="U130" s="69"/>
      <c r="V130" s="69"/>
      <c r="W130" s="69"/>
      <c r="X130" s="106"/>
      <c r="Y130" s="69"/>
      <c r="Z130" s="69"/>
      <c r="AA130" s="69"/>
      <c r="AB130" s="69"/>
      <c r="AC130" s="69"/>
      <c r="AD130" s="69"/>
      <c r="AE130" s="69"/>
      <c r="AF130" s="69"/>
      <c r="AG130" s="69"/>
      <c r="AH130" s="69"/>
      <c r="AI130" s="69"/>
      <c r="AJ130" s="69"/>
      <c r="AK130" s="69"/>
    </row>
    <row r="131" ht="15.75" customHeight="1" spans="1:37">
      <c r="A131" s="163"/>
      <c r="B131" s="69"/>
      <c r="C131" s="69"/>
      <c r="D131" s="69"/>
      <c r="E131" s="69"/>
      <c r="F131" s="69"/>
      <c r="G131" s="70"/>
      <c r="H131" s="69"/>
      <c r="I131" s="69"/>
      <c r="J131" s="69"/>
      <c r="K131" s="69"/>
      <c r="L131" s="69"/>
      <c r="M131" s="69"/>
      <c r="N131" s="69"/>
      <c r="O131" s="69"/>
      <c r="P131" s="69"/>
      <c r="Q131" s="69"/>
      <c r="R131" s="69"/>
      <c r="S131" s="69"/>
      <c r="T131" s="69"/>
      <c r="U131" s="69"/>
      <c r="V131" s="69"/>
      <c r="W131" s="69"/>
      <c r="X131" s="106"/>
      <c r="Y131" s="69"/>
      <c r="Z131" s="69"/>
      <c r="AA131" s="69"/>
      <c r="AB131" s="69"/>
      <c r="AC131" s="69"/>
      <c r="AD131" s="69"/>
      <c r="AE131" s="69"/>
      <c r="AF131" s="69"/>
      <c r="AG131" s="69"/>
      <c r="AH131" s="69"/>
      <c r="AI131" s="69"/>
      <c r="AJ131" s="69"/>
      <c r="AK131" s="69"/>
    </row>
    <row r="132" ht="15.75" customHeight="1" spans="1:37">
      <c r="A132" s="163"/>
      <c r="B132" s="69"/>
      <c r="C132" s="69"/>
      <c r="D132" s="69"/>
      <c r="E132" s="69"/>
      <c r="F132" s="69"/>
      <c r="G132" s="70"/>
      <c r="H132" s="69"/>
      <c r="I132" s="69"/>
      <c r="J132" s="69"/>
      <c r="K132" s="69"/>
      <c r="L132" s="69"/>
      <c r="M132" s="69"/>
      <c r="N132" s="69"/>
      <c r="O132" s="69"/>
      <c r="P132" s="69"/>
      <c r="Q132" s="69"/>
      <c r="R132" s="69"/>
      <c r="S132" s="69"/>
      <c r="T132" s="69"/>
      <c r="U132" s="69"/>
      <c r="V132" s="69"/>
      <c r="W132" s="69"/>
      <c r="X132" s="106"/>
      <c r="Y132" s="69"/>
      <c r="Z132" s="69"/>
      <c r="AA132" s="69"/>
      <c r="AB132" s="69"/>
      <c r="AC132" s="69"/>
      <c r="AD132" s="69"/>
      <c r="AE132" s="69"/>
      <c r="AF132" s="69"/>
      <c r="AG132" s="69"/>
      <c r="AH132" s="69"/>
      <c r="AI132" s="69"/>
      <c r="AJ132" s="69"/>
      <c r="AK132" s="69"/>
    </row>
    <row r="133" ht="15.75" customHeight="1" spans="1:37">
      <c r="A133" s="163"/>
      <c r="B133" s="69"/>
      <c r="C133" s="69"/>
      <c r="D133" s="69"/>
      <c r="E133" s="69"/>
      <c r="F133" s="69"/>
      <c r="G133" s="70"/>
      <c r="H133" s="69"/>
      <c r="I133" s="69"/>
      <c r="J133" s="69"/>
      <c r="K133" s="69"/>
      <c r="L133" s="69"/>
      <c r="M133" s="69"/>
      <c r="N133" s="69"/>
      <c r="O133" s="69"/>
      <c r="P133" s="69"/>
      <c r="Q133" s="69"/>
      <c r="R133" s="69"/>
      <c r="S133" s="69"/>
      <c r="T133" s="69"/>
      <c r="U133" s="69"/>
      <c r="V133" s="69"/>
      <c r="W133" s="69"/>
      <c r="X133" s="106"/>
      <c r="Y133" s="69"/>
      <c r="Z133" s="69"/>
      <c r="AA133" s="69"/>
      <c r="AB133" s="69"/>
      <c r="AC133" s="69"/>
      <c r="AD133" s="69"/>
      <c r="AE133" s="69"/>
      <c r="AF133" s="69"/>
      <c r="AG133" s="69"/>
      <c r="AH133" s="69"/>
      <c r="AI133" s="69"/>
      <c r="AJ133" s="69"/>
      <c r="AK133" s="69"/>
    </row>
    <row r="134" ht="15.75" customHeight="1" spans="1:37">
      <c r="A134" s="163"/>
      <c r="B134" s="69"/>
      <c r="C134" s="69"/>
      <c r="D134" s="69"/>
      <c r="E134" s="69"/>
      <c r="F134" s="69"/>
      <c r="G134" s="70"/>
      <c r="H134" s="69"/>
      <c r="I134" s="69"/>
      <c r="J134" s="69"/>
      <c r="K134" s="69"/>
      <c r="L134" s="69"/>
      <c r="M134" s="69"/>
      <c r="N134" s="69"/>
      <c r="O134" s="69"/>
      <c r="P134" s="69"/>
      <c r="Q134" s="69"/>
      <c r="R134" s="69"/>
      <c r="S134" s="69"/>
      <c r="T134" s="69"/>
      <c r="U134" s="69"/>
      <c r="V134" s="69"/>
      <c r="W134" s="69"/>
      <c r="X134" s="106"/>
      <c r="Y134" s="69"/>
      <c r="Z134" s="69"/>
      <c r="AA134" s="69"/>
      <c r="AB134" s="69"/>
      <c r="AC134" s="69"/>
      <c r="AD134" s="69"/>
      <c r="AE134" s="69"/>
      <c r="AF134" s="69"/>
      <c r="AG134" s="69"/>
      <c r="AH134" s="69"/>
      <c r="AI134" s="69"/>
      <c r="AJ134" s="69"/>
      <c r="AK134" s="69"/>
    </row>
    <row r="135" ht="15.75" customHeight="1" spans="1:37">
      <c r="A135" s="163"/>
      <c r="B135" s="69"/>
      <c r="C135" s="69"/>
      <c r="D135" s="69"/>
      <c r="E135" s="69"/>
      <c r="F135" s="69"/>
      <c r="G135" s="70"/>
      <c r="H135" s="69"/>
      <c r="I135" s="69"/>
      <c r="J135" s="69"/>
      <c r="K135" s="69"/>
      <c r="L135" s="69"/>
      <c r="M135" s="69"/>
      <c r="N135" s="69"/>
      <c r="O135" s="69"/>
      <c r="P135" s="69"/>
      <c r="Q135" s="69"/>
      <c r="R135" s="69"/>
      <c r="S135" s="69"/>
      <c r="T135" s="69"/>
      <c r="U135" s="69"/>
      <c r="V135" s="69"/>
      <c r="W135" s="69"/>
      <c r="X135" s="106"/>
      <c r="Y135" s="69"/>
      <c r="Z135" s="69"/>
      <c r="AA135" s="69"/>
      <c r="AB135" s="69"/>
      <c r="AC135" s="69"/>
      <c r="AD135" s="69"/>
      <c r="AE135" s="69"/>
      <c r="AF135" s="69"/>
      <c r="AG135" s="69"/>
      <c r="AH135" s="69"/>
      <c r="AI135" s="69"/>
      <c r="AJ135" s="69"/>
      <c r="AK135" s="69"/>
    </row>
    <row r="136" ht="15.75" customHeight="1" spans="1:37">
      <c r="A136" s="163"/>
      <c r="B136" s="69"/>
      <c r="C136" s="69"/>
      <c r="D136" s="69"/>
      <c r="E136" s="69"/>
      <c r="F136" s="69"/>
      <c r="G136" s="70"/>
      <c r="H136" s="69"/>
      <c r="I136" s="69"/>
      <c r="J136" s="69"/>
      <c r="K136" s="69"/>
      <c r="L136" s="69"/>
      <c r="M136" s="69"/>
      <c r="N136" s="69"/>
      <c r="O136" s="69"/>
      <c r="P136" s="69"/>
      <c r="Q136" s="69"/>
      <c r="R136" s="69"/>
      <c r="S136" s="69"/>
      <c r="T136" s="69"/>
      <c r="U136" s="69"/>
      <c r="V136" s="69"/>
      <c r="W136" s="69"/>
      <c r="X136" s="106"/>
      <c r="Y136" s="69"/>
      <c r="Z136" s="69"/>
      <c r="AA136" s="69"/>
      <c r="AB136" s="69"/>
      <c r="AC136" s="69"/>
      <c r="AD136" s="69"/>
      <c r="AE136" s="69"/>
      <c r="AF136" s="69"/>
      <c r="AG136" s="69"/>
      <c r="AH136" s="69"/>
      <c r="AI136" s="69"/>
      <c r="AJ136" s="69"/>
      <c r="AK136" s="69"/>
    </row>
    <row r="137" ht="15.75" customHeight="1" spans="1:37">
      <c r="A137" s="163"/>
      <c r="B137" s="69"/>
      <c r="C137" s="69"/>
      <c r="D137" s="69"/>
      <c r="E137" s="69"/>
      <c r="F137" s="69"/>
      <c r="G137" s="70"/>
      <c r="H137" s="69"/>
      <c r="I137" s="69"/>
      <c r="J137" s="69"/>
      <c r="K137" s="69"/>
      <c r="L137" s="69"/>
      <c r="M137" s="69"/>
      <c r="N137" s="69"/>
      <c r="O137" s="69"/>
      <c r="P137" s="69"/>
      <c r="Q137" s="69"/>
      <c r="R137" s="69"/>
      <c r="S137" s="69"/>
      <c r="T137" s="69"/>
      <c r="U137" s="69"/>
      <c r="V137" s="69"/>
      <c r="W137" s="69"/>
      <c r="X137" s="106"/>
      <c r="Y137" s="69"/>
      <c r="Z137" s="69"/>
      <c r="AA137" s="69"/>
      <c r="AB137" s="69"/>
      <c r="AC137" s="69"/>
      <c r="AD137" s="69"/>
      <c r="AE137" s="69"/>
      <c r="AF137" s="69"/>
      <c r="AG137" s="69"/>
      <c r="AH137" s="69"/>
      <c r="AI137" s="69"/>
      <c r="AJ137" s="69"/>
      <c r="AK137" s="69"/>
    </row>
    <row r="138" ht="15.75" customHeight="1" spans="1:37">
      <c r="A138" s="163"/>
      <c r="B138" s="69"/>
      <c r="C138" s="69"/>
      <c r="D138" s="69"/>
      <c r="E138" s="69"/>
      <c r="F138" s="69"/>
      <c r="G138" s="70"/>
      <c r="H138" s="69"/>
      <c r="I138" s="69"/>
      <c r="J138" s="69"/>
      <c r="K138" s="69"/>
      <c r="L138" s="69"/>
      <c r="M138" s="69"/>
      <c r="N138" s="69"/>
      <c r="O138" s="69"/>
      <c r="P138" s="69"/>
      <c r="Q138" s="69"/>
      <c r="R138" s="69"/>
      <c r="S138" s="69"/>
      <c r="T138" s="69"/>
      <c r="U138" s="69"/>
      <c r="V138" s="69"/>
      <c r="W138" s="69"/>
      <c r="X138" s="106"/>
      <c r="Y138" s="69"/>
      <c r="Z138" s="69"/>
      <c r="AA138" s="69"/>
      <c r="AB138" s="69"/>
      <c r="AC138" s="69"/>
      <c r="AD138" s="69"/>
      <c r="AE138" s="69"/>
      <c r="AF138" s="69"/>
      <c r="AG138" s="69"/>
      <c r="AH138" s="69"/>
      <c r="AI138" s="69"/>
      <c r="AJ138" s="69"/>
      <c r="AK138" s="69"/>
    </row>
    <row r="139" ht="15.75" customHeight="1" spans="1:37">
      <c r="A139" s="163"/>
      <c r="B139" s="69"/>
      <c r="C139" s="69"/>
      <c r="D139" s="69"/>
      <c r="E139" s="69"/>
      <c r="F139" s="69"/>
      <c r="G139" s="70"/>
      <c r="H139" s="69"/>
      <c r="I139" s="69"/>
      <c r="J139" s="69"/>
      <c r="K139" s="69"/>
      <c r="L139" s="69"/>
      <c r="M139" s="69"/>
      <c r="N139" s="69"/>
      <c r="O139" s="69"/>
      <c r="P139" s="69"/>
      <c r="Q139" s="69"/>
      <c r="R139" s="69"/>
      <c r="S139" s="69"/>
      <c r="T139" s="69"/>
      <c r="U139" s="69"/>
      <c r="V139" s="69"/>
      <c r="W139" s="69"/>
      <c r="X139" s="106"/>
      <c r="Y139" s="69"/>
      <c r="Z139" s="69"/>
      <c r="AA139" s="69"/>
      <c r="AB139" s="69"/>
      <c r="AC139" s="69"/>
      <c r="AD139" s="69"/>
      <c r="AE139" s="69"/>
      <c r="AF139" s="69"/>
      <c r="AG139" s="69"/>
      <c r="AH139" s="69"/>
      <c r="AI139" s="69"/>
      <c r="AJ139" s="69"/>
      <c r="AK139" s="69"/>
    </row>
    <row r="140" ht="15.75" customHeight="1" spans="1:37">
      <c r="A140" s="163"/>
      <c r="B140" s="69"/>
      <c r="C140" s="69"/>
      <c r="D140" s="69"/>
      <c r="E140" s="69"/>
      <c r="F140" s="69"/>
      <c r="G140" s="70"/>
      <c r="H140" s="69"/>
      <c r="I140" s="69"/>
      <c r="J140" s="69"/>
      <c r="K140" s="69"/>
      <c r="L140" s="69"/>
      <c r="M140" s="69"/>
      <c r="N140" s="69"/>
      <c r="O140" s="69"/>
      <c r="P140" s="69"/>
      <c r="Q140" s="69"/>
      <c r="R140" s="69"/>
      <c r="S140" s="69"/>
      <c r="T140" s="69"/>
      <c r="U140" s="69"/>
      <c r="V140" s="69"/>
      <c r="W140" s="69"/>
      <c r="X140" s="106"/>
      <c r="Y140" s="69"/>
      <c r="Z140" s="69"/>
      <c r="AA140" s="69"/>
      <c r="AB140" s="69"/>
      <c r="AC140" s="69"/>
      <c r="AD140" s="69"/>
      <c r="AE140" s="69"/>
      <c r="AF140" s="69"/>
      <c r="AG140" s="69"/>
      <c r="AH140" s="69"/>
      <c r="AI140" s="69"/>
      <c r="AJ140" s="69"/>
      <c r="AK140" s="69"/>
    </row>
    <row r="141" ht="15.75" customHeight="1" spans="1:37">
      <c r="A141" s="163"/>
      <c r="B141" s="69"/>
      <c r="C141" s="69"/>
      <c r="D141" s="69"/>
      <c r="E141" s="69"/>
      <c r="F141" s="69"/>
      <c r="G141" s="70"/>
      <c r="H141" s="69"/>
      <c r="I141" s="69"/>
      <c r="J141" s="69"/>
      <c r="K141" s="69"/>
      <c r="L141" s="69"/>
      <c r="M141" s="69"/>
      <c r="N141" s="69"/>
      <c r="O141" s="69"/>
      <c r="P141" s="69"/>
      <c r="Q141" s="69"/>
      <c r="R141" s="69"/>
      <c r="S141" s="69"/>
      <c r="T141" s="69"/>
      <c r="U141" s="69"/>
      <c r="V141" s="69"/>
      <c r="W141" s="69"/>
      <c r="X141" s="106"/>
      <c r="Y141" s="69"/>
      <c r="Z141" s="69"/>
      <c r="AA141" s="69"/>
      <c r="AB141" s="69"/>
      <c r="AC141" s="69"/>
      <c r="AD141" s="69"/>
      <c r="AE141" s="69"/>
      <c r="AF141" s="69"/>
      <c r="AG141" s="69"/>
      <c r="AH141" s="69"/>
      <c r="AI141" s="69"/>
      <c r="AJ141" s="69"/>
      <c r="AK141" s="69"/>
    </row>
    <row r="142" ht="15.75" customHeight="1" spans="1:37">
      <c r="A142" s="163"/>
      <c r="B142" s="69"/>
      <c r="C142" s="69"/>
      <c r="D142" s="69"/>
      <c r="E142" s="69"/>
      <c r="F142" s="69"/>
      <c r="G142" s="70"/>
      <c r="H142" s="69"/>
      <c r="I142" s="69"/>
      <c r="J142" s="69"/>
      <c r="K142" s="69"/>
      <c r="L142" s="69"/>
      <c r="M142" s="69"/>
      <c r="N142" s="69"/>
      <c r="O142" s="69"/>
      <c r="P142" s="69"/>
      <c r="Q142" s="69"/>
      <c r="R142" s="69"/>
      <c r="S142" s="69"/>
      <c r="T142" s="69"/>
      <c r="U142" s="69"/>
      <c r="V142" s="69"/>
      <c r="W142" s="69"/>
      <c r="X142" s="106"/>
      <c r="Y142" s="69"/>
      <c r="Z142" s="69"/>
      <c r="AA142" s="69"/>
      <c r="AB142" s="69"/>
      <c r="AC142" s="69"/>
      <c r="AD142" s="69"/>
      <c r="AE142" s="69"/>
      <c r="AF142" s="69"/>
      <c r="AG142" s="69"/>
      <c r="AH142" s="69"/>
      <c r="AI142" s="69"/>
      <c r="AJ142" s="69"/>
      <c r="AK142" s="69"/>
    </row>
    <row r="143" ht="15.75" customHeight="1" spans="1:37">
      <c r="A143" s="163"/>
      <c r="B143" s="69"/>
      <c r="C143" s="69"/>
      <c r="D143" s="69"/>
      <c r="E143" s="69"/>
      <c r="F143" s="69"/>
      <c r="G143" s="70"/>
      <c r="H143" s="69"/>
      <c r="I143" s="69"/>
      <c r="J143" s="69"/>
      <c r="K143" s="69"/>
      <c r="L143" s="69"/>
      <c r="M143" s="69"/>
      <c r="N143" s="69"/>
      <c r="O143" s="69"/>
      <c r="P143" s="69"/>
      <c r="Q143" s="69"/>
      <c r="R143" s="69"/>
      <c r="S143" s="69"/>
      <c r="T143" s="69"/>
      <c r="U143" s="69"/>
      <c r="V143" s="69"/>
      <c r="W143" s="69"/>
      <c r="X143" s="106"/>
      <c r="Y143" s="69"/>
      <c r="Z143" s="69"/>
      <c r="AA143" s="69"/>
      <c r="AB143" s="69"/>
      <c r="AC143" s="69"/>
      <c r="AD143" s="69"/>
      <c r="AE143" s="69"/>
      <c r="AF143" s="69"/>
      <c r="AG143" s="69"/>
      <c r="AH143" s="69"/>
      <c r="AI143" s="69"/>
      <c r="AJ143" s="69"/>
      <c r="AK143" s="69"/>
    </row>
    <row r="144" ht="15.75" customHeight="1" spans="1:37">
      <c r="A144" s="163"/>
      <c r="B144" s="69"/>
      <c r="C144" s="69"/>
      <c r="D144" s="69"/>
      <c r="E144" s="69"/>
      <c r="F144" s="69"/>
      <c r="G144" s="70"/>
      <c r="H144" s="69"/>
      <c r="I144" s="69"/>
      <c r="J144" s="69"/>
      <c r="K144" s="69"/>
      <c r="L144" s="69"/>
      <c r="M144" s="69"/>
      <c r="N144" s="69"/>
      <c r="O144" s="69"/>
      <c r="P144" s="69"/>
      <c r="Q144" s="69"/>
      <c r="R144" s="69"/>
      <c r="S144" s="69"/>
      <c r="T144" s="69"/>
      <c r="U144" s="69"/>
      <c r="V144" s="69"/>
      <c r="W144" s="69"/>
      <c r="X144" s="106"/>
      <c r="Y144" s="69"/>
      <c r="Z144" s="69"/>
      <c r="AA144" s="69"/>
      <c r="AB144" s="69"/>
      <c r="AC144" s="69"/>
      <c r="AD144" s="69"/>
      <c r="AE144" s="69"/>
      <c r="AF144" s="69"/>
      <c r="AG144" s="69"/>
      <c r="AH144" s="69"/>
      <c r="AI144" s="69"/>
      <c r="AJ144" s="69"/>
      <c r="AK144" s="69"/>
    </row>
    <row r="145" ht="15.75" customHeight="1" spans="1:37">
      <c r="A145" s="163"/>
      <c r="B145" s="69"/>
      <c r="C145" s="69"/>
      <c r="D145" s="69"/>
      <c r="E145" s="69"/>
      <c r="F145" s="69"/>
      <c r="G145" s="70"/>
      <c r="H145" s="69"/>
      <c r="I145" s="69"/>
      <c r="J145" s="69"/>
      <c r="K145" s="69"/>
      <c r="L145" s="69"/>
      <c r="M145" s="69"/>
      <c r="N145" s="69"/>
      <c r="O145" s="69"/>
      <c r="P145" s="69"/>
      <c r="Q145" s="69"/>
      <c r="R145" s="69"/>
      <c r="S145" s="69"/>
      <c r="T145" s="69"/>
      <c r="U145" s="69"/>
      <c r="V145" s="69"/>
      <c r="W145" s="69"/>
      <c r="X145" s="106"/>
      <c r="Y145" s="69"/>
      <c r="Z145" s="69"/>
      <c r="AA145" s="69"/>
      <c r="AB145" s="69"/>
      <c r="AC145" s="69"/>
      <c r="AD145" s="69"/>
      <c r="AE145" s="69"/>
      <c r="AF145" s="69"/>
      <c r="AG145" s="69"/>
      <c r="AH145" s="69"/>
      <c r="AI145" s="69"/>
      <c r="AJ145" s="69"/>
      <c r="AK145" s="69"/>
    </row>
    <row r="146" ht="15.75" customHeight="1" spans="1:37">
      <c r="A146" s="163"/>
      <c r="B146" s="69"/>
      <c r="C146" s="69"/>
      <c r="D146" s="69"/>
      <c r="E146" s="69"/>
      <c r="F146" s="69"/>
      <c r="G146" s="70"/>
      <c r="H146" s="69"/>
      <c r="I146" s="69"/>
      <c r="J146" s="69"/>
      <c r="K146" s="69"/>
      <c r="L146" s="69"/>
      <c r="M146" s="69"/>
      <c r="N146" s="69"/>
      <c r="O146" s="69"/>
      <c r="P146" s="69"/>
      <c r="Q146" s="69"/>
      <c r="R146" s="69"/>
      <c r="S146" s="69"/>
      <c r="T146" s="69"/>
      <c r="U146" s="69"/>
      <c r="V146" s="69"/>
      <c r="W146" s="69"/>
      <c r="X146" s="106"/>
      <c r="Y146" s="69"/>
      <c r="Z146" s="69"/>
      <c r="AA146" s="69"/>
      <c r="AB146" s="69"/>
      <c r="AC146" s="69"/>
      <c r="AD146" s="69"/>
      <c r="AE146" s="69"/>
      <c r="AF146" s="69"/>
      <c r="AG146" s="69"/>
      <c r="AH146" s="69"/>
      <c r="AI146" s="69"/>
      <c r="AJ146" s="69"/>
      <c r="AK146" s="69"/>
    </row>
    <row r="147" ht="15.75" customHeight="1" spans="1:37">
      <c r="A147" s="163"/>
      <c r="B147" s="69"/>
      <c r="C147" s="69"/>
      <c r="D147" s="69"/>
      <c r="E147" s="69"/>
      <c r="F147" s="69"/>
      <c r="G147" s="70"/>
      <c r="H147" s="69"/>
      <c r="I147" s="69"/>
      <c r="J147" s="69"/>
      <c r="K147" s="69"/>
      <c r="L147" s="69"/>
      <c r="M147" s="69"/>
      <c r="N147" s="69"/>
      <c r="O147" s="69"/>
      <c r="P147" s="69"/>
      <c r="Q147" s="69"/>
      <c r="R147" s="69"/>
      <c r="S147" s="69"/>
      <c r="T147" s="69"/>
      <c r="U147" s="69"/>
      <c r="V147" s="69"/>
      <c r="W147" s="69"/>
      <c r="X147" s="106"/>
      <c r="Y147" s="69"/>
      <c r="Z147" s="69"/>
      <c r="AA147" s="69"/>
      <c r="AB147" s="69"/>
      <c r="AC147" s="69"/>
      <c r="AD147" s="69"/>
      <c r="AE147" s="69"/>
      <c r="AF147" s="69"/>
      <c r="AG147" s="69"/>
      <c r="AH147" s="69"/>
      <c r="AI147" s="69"/>
      <c r="AJ147" s="69"/>
      <c r="AK147" s="69"/>
    </row>
    <row r="148" ht="15.75" customHeight="1" spans="1:37">
      <c r="A148" s="163"/>
      <c r="B148" s="69"/>
      <c r="C148" s="69"/>
      <c r="D148" s="69"/>
      <c r="E148" s="69"/>
      <c r="F148" s="69"/>
      <c r="G148" s="70"/>
      <c r="H148" s="69"/>
      <c r="I148" s="69"/>
      <c r="J148" s="69"/>
      <c r="K148" s="69"/>
      <c r="L148" s="69"/>
      <c r="M148" s="69"/>
      <c r="N148" s="69"/>
      <c r="O148" s="69"/>
      <c r="P148" s="69"/>
      <c r="Q148" s="69"/>
      <c r="R148" s="69"/>
      <c r="S148" s="69"/>
      <c r="T148" s="69"/>
      <c r="U148" s="69"/>
      <c r="V148" s="69"/>
      <c r="W148" s="69"/>
      <c r="X148" s="106"/>
      <c r="Y148" s="69"/>
      <c r="Z148" s="69"/>
      <c r="AA148" s="69"/>
      <c r="AB148" s="69"/>
      <c r="AC148" s="69"/>
      <c r="AD148" s="69"/>
      <c r="AE148" s="69"/>
      <c r="AF148" s="69"/>
      <c r="AG148" s="69"/>
      <c r="AH148" s="69"/>
      <c r="AI148" s="69"/>
      <c r="AJ148" s="69"/>
      <c r="AK148" s="69"/>
    </row>
    <row r="149" ht="15.75" customHeight="1" spans="1:37">
      <c r="A149" s="163"/>
      <c r="B149" s="69"/>
      <c r="C149" s="69"/>
      <c r="D149" s="69"/>
      <c r="E149" s="69"/>
      <c r="F149" s="69"/>
      <c r="G149" s="70"/>
      <c r="H149" s="69"/>
      <c r="I149" s="69"/>
      <c r="J149" s="69"/>
      <c r="K149" s="69"/>
      <c r="L149" s="69"/>
      <c r="M149" s="69"/>
      <c r="N149" s="69"/>
      <c r="O149" s="69"/>
      <c r="P149" s="69"/>
      <c r="Q149" s="69"/>
      <c r="R149" s="69"/>
      <c r="S149" s="69"/>
      <c r="T149" s="69"/>
      <c r="U149" s="69"/>
      <c r="V149" s="69"/>
      <c r="W149" s="69"/>
      <c r="X149" s="106"/>
      <c r="Y149" s="69"/>
      <c r="Z149" s="69"/>
      <c r="AA149" s="69"/>
      <c r="AB149" s="69"/>
      <c r="AC149" s="69"/>
      <c r="AD149" s="69"/>
      <c r="AE149" s="69"/>
      <c r="AF149" s="69"/>
      <c r="AG149" s="69"/>
      <c r="AH149" s="69"/>
      <c r="AI149" s="69"/>
      <c r="AJ149" s="69"/>
      <c r="AK149" s="69"/>
    </row>
    <row r="150" ht="15.75" customHeight="1" spans="1:37">
      <c r="A150" s="163"/>
      <c r="B150" s="69"/>
      <c r="C150" s="69"/>
      <c r="D150" s="69"/>
      <c r="E150" s="69"/>
      <c r="F150" s="69"/>
      <c r="G150" s="70"/>
      <c r="H150" s="69"/>
      <c r="I150" s="69"/>
      <c r="J150" s="69"/>
      <c r="K150" s="69"/>
      <c r="L150" s="69"/>
      <c r="M150" s="69"/>
      <c r="N150" s="69"/>
      <c r="O150" s="69"/>
      <c r="P150" s="69"/>
      <c r="Q150" s="69"/>
      <c r="R150" s="69"/>
      <c r="S150" s="69"/>
      <c r="T150" s="69"/>
      <c r="U150" s="69"/>
      <c r="V150" s="69"/>
      <c r="W150" s="69"/>
      <c r="X150" s="106"/>
      <c r="Y150" s="69"/>
      <c r="Z150" s="69"/>
      <c r="AA150" s="69"/>
      <c r="AB150" s="69"/>
      <c r="AC150" s="69"/>
      <c r="AD150" s="69"/>
      <c r="AE150" s="69"/>
      <c r="AF150" s="69"/>
      <c r="AG150" s="69"/>
      <c r="AH150" s="69"/>
      <c r="AI150" s="69"/>
      <c r="AJ150" s="69"/>
      <c r="AK150" s="69"/>
    </row>
    <row r="151" ht="15.75" customHeight="1" spans="1:37">
      <c r="A151" s="163"/>
      <c r="B151" s="69"/>
      <c r="C151" s="69"/>
      <c r="D151" s="69"/>
      <c r="E151" s="69"/>
      <c r="F151" s="69"/>
      <c r="G151" s="70"/>
      <c r="H151" s="69"/>
      <c r="I151" s="69"/>
      <c r="J151" s="69"/>
      <c r="K151" s="69"/>
      <c r="L151" s="69"/>
      <c r="M151" s="69"/>
      <c r="N151" s="69"/>
      <c r="O151" s="69"/>
      <c r="P151" s="69"/>
      <c r="Q151" s="69"/>
      <c r="R151" s="69"/>
      <c r="S151" s="69"/>
      <c r="T151" s="69"/>
      <c r="U151" s="69"/>
      <c r="V151" s="69"/>
      <c r="W151" s="69"/>
      <c r="X151" s="106"/>
      <c r="Y151" s="69"/>
      <c r="Z151" s="69"/>
      <c r="AA151" s="69"/>
      <c r="AB151" s="69"/>
      <c r="AC151" s="69"/>
      <c r="AD151" s="69"/>
      <c r="AE151" s="69"/>
      <c r="AF151" s="69"/>
      <c r="AG151" s="69"/>
      <c r="AH151" s="69"/>
      <c r="AI151" s="69"/>
      <c r="AJ151" s="69"/>
      <c r="AK151" s="69"/>
    </row>
    <row r="152" ht="15.75" customHeight="1" spans="1:37">
      <c r="A152" s="163"/>
      <c r="B152" s="69"/>
      <c r="C152" s="69"/>
      <c r="D152" s="69"/>
      <c r="E152" s="69"/>
      <c r="F152" s="69"/>
      <c r="G152" s="70"/>
      <c r="H152" s="69"/>
      <c r="I152" s="69"/>
      <c r="J152" s="69"/>
      <c r="K152" s="69"/>
      <c r="L152" s="69"/>
      <c r="M152" s="69"/>
      <c r="N152" s="69"/>
      <c r="O152" s="69"/>
      <c r="P152" s="69"/>
      <c r="Q152" s="69"/>
      <c r="R152" s="69"/>
      <c r="S152" s="69"/>
      <c r="T152" s="69"/>
      <c r="U152" s="69"/>
      <c r="V152" s="69"/>
      <c r="W152" s="69"/>
      <c r="X152" s="106"/>
      <c r="Y152" s="69"/>
      <c r="Z152" s="69"/>
      <c r="AA152" s="69"/>
      <c r="AB152" s="69"/>
      <c r="AC152" s="69"/>
      <c r="AD152" s="69"/>
      <c r="AE152" s="69"/>
      <c r="AF152" s="69"/>
      <c r="AG152" s="69"/>
      <c r="AH152" s="69"/>
      <c r="AI152" s="69"/>
      <c r="AJ152" s="69"/>
      <c r="AK152" s="69"/>
    </row>
    <row r="153" ht="15.75" customHeight="1" spans="1:37">
      <c r="A153" s="163"/>
      <c r="B153" s="69"/>
      <c r="C153" s="69"/>
      <c r="D153" s="69"/>
      <c r="E153" s="69"/>
      <c r="F153" s="69"/>
      <c r="G153" s="70"/>
      <c r="H153" s="69"/>
      <c r="I153" s="69"/>
      <c r="J153" s="69"/>
      <c r="K153" s="69"/>
      <c r="L153" s="69"/>
      <c r="M153" s="69"/>
      <c r="N153" s="69"/>
      <c r="O153" s="69"/>
      <c r="P153" s="69"/>
      <c r="Q153" s="69"/>
      <c r="R153" s="69"/>
      <c r="S153" s="69"/>
      <c r="T153" s="69"/>
      <c r="U153" s="69"/>
      <c r="V153" s="69"/>
      <c r="W153" s="69"/>
      <c r="X153" s="106"/>
      <c r="Y153" s="69"/>
      <c r="Z153" s="69"/>
      <c r="AA153" s="69"/>
      <c r="AB153" s="69"/>
      <c r="AC153" s="69"/>
      <c r="AD153" s="69"/>
      <c r="AE153" s="69"/>
      <c r="AF153" s="69"/>
      <c r="AG153" s="69"/>
      <c r="AH153" s="69"/>
      <c r="AI153" s="69"/>
      <c r="AJ153" s="69"/>
      <c r="AK153" s="69"/>
    </row>
    <row r="154" ht="15.75" customHeight="1" spans="1:37">
      <c r="A154" s="163"/>
      <c r="B154" s="69"/>
      <c r="C154" s="69"/>
      <c r="D154" s="69"/>
      <c r="E154" s="69"/>
      <c r="F154" s="69"/>
      <c r="G154" s="70"/>
      <c r="H154" s="69"/>
      <c r="I154" s="69"/>
      <c r="J154" s="69"/>
      <c r="K154" s="69"/>
      <c r="L154" s="69"/>
      <c r="M154" s="69"/>
      <c r="N154" s="69"/>
      <c r="O154" s="69"/>
      <c r="P154" s="69"/>
      <c r="Q154" s="69"/>
      <c r="R154" s="69"/>
      <c r="S154" s="69"/>
      <c r="T154" s="69"/>
      <c r="U154" s="69"/>
      <c r="V154" s="69"/>
      <c r="W154" s="69"/>
      <c r="X154" s="106"/>
      <c r="Y154" s="69"/>
      <c r="Z154" s="69"/>
      <c r="AA154" s="69"/>
      <c r="AB154" s="69"/>
      <c r="AC154" s="69"/>
      <c r="AD154" s="69"/>
      <c r="AE154" s="69"/>
      <c r="AF154" s="69"/>
      <c r="AG154" s="69"/>
      <c r="AH154" s="69"/>
      <c r="AI154" s="69"/>
      <c r="AJ154" s="69"/>
      <c r="AK154" s="69"/>
    </row>
    <row r="155" ht="15.75" customHeight="1" spans="1:37">
      <c r="A155" s="163"/>
      <c r="B155" s="69"/>
      <c r="C155" s="69"/>
      <c r="D155" s="69"/>
      <c r="E155" s="69"/>
      <c r="F155" s="69"/>
      <c r="G155" s="70"/>
      <c r="H155" s="69"/>
      <c r="I155" s="69"/>
      <c r="J155" s="69"/>
      <c r="K155" s="69"/>
      <c r="L155" s="69"/>
      <c r="M155" s="69"/>
      <c r="N155" s="69"/>
      <c r="O155" s="69"/>
      <c r="P155" s="69"/>
      <c r="Q155" s="69"/>
      <c r="R155" s="69"/>
      <c r="S155" s="69"/>
      <c r="T155" s="69"/>
      <c r="U155" s="69"/>
      <c r="V155" s="69"/>
      <c r="W155" s="69"/>
      <c r="X155" s="106"/>
      <c r="Y155" s="69"/>
      <c r="Z155" s="69"/>
      <c r="AA155" s="69"/>
      <c r="AB155" s="69"/>
      <c r="AC155" s="69"/>
      <c r="AD155" s="69"/>
      <c r="AE155" s="69"/>
      <c r="AF155" s="69"/>
      <c r="AG155" s="69"/>
      <c r="AH155" s="69"/>
      <c r="AI155" s="69"/>
      <c r="AJ155" s="69"/>
      <c r="AK155" s="69"/>
    </row>
    <row r="156" ht="15.75" customHeight="1" spans="1:37">
      <c r="A156" s="163"/>
      <c r="B156" s="69"/>
      <c r="C156" s="69"/>
      <c r="D156" s="69"/>
      <c r="E156" s="69"/>
      <c r="F156" s="69"/>
      <c r="G156" s="70"/>
      <c r="H156" s="69"/>
      <c r="I156" s="69"/>
      <c r="J156" s="69"/>
      <c r="K156" s="69"/>
      <c r="L156" s="69"/>
      <c r="M156" s="69"/>
      <c r="N156" s="69"/>
      <c r="O156" s="69"/>
      <c r="P156" s="69"/>
      <c r="Q156" s="69"/>
      <c r="R156" s="69"/>
      <c r="S156" s="69"/>
      <c r="T156" s="69"/>
      <c r="U156" s="69"/>
      <c r="V156" s="69"/>
      <c r="W156" s="69"/>
      <c r="X156" s="106"/>
      <c r="Y156" s="69"/>
      <c r="Z156" s="69"/>
      <c r="AA156" s="69"/>
      <c r="AB156" s="69"/>
      <c r="AC156" s="69"/>
      <c r="AD156" s="69"/>
      <c r="AE156" s="69"/>
      <c r="AF156" s="69"/>
      <c r="AG156" s="69"/>
      <c r="AH156" s="69"/>
      <c r="AI156" s="69"/>
      <c r="AJ156" s="69"/>
      <c r="AK156" s="69"/>
    </row>
    <row r="157" ht="15.75" customHeight="1" spans="1:37">
      <c r="A157" s="163"/>
      <c r="B157" s="69"/>
      <c r="C157" s="69"/>
      <c r="D157" s="69"/>
      <c r="E157" s="69"/>
      <c r="F157" s="69"/>
      <c r="G157" s="70"/>
      <c r="H157" s="69"/>
      <c r="I157" s="69"/>
      <c r="J157" s="69"/>
      <c r="K157" s="69"/>
      <c r="L157" s="69"/>
      <c r="M157" s="69"/>
      <c r="N157" s="69"/>
      <c r="O157" s="69"/>
      <c r="P157" s="69"/>
      <c r="Q157" s="69"/>
      <c r="R157" s="69"/>
      <c r="S157" s="69"/>
      <c r="T157" s="69"/>
      <c r="U157" s="69"/>
      <c r="V157" s="69"/>
      <c r="W157" s="69"/>
      <c r="X157" s="106"/>
      <c r="Y157" s="69"/>
      <c r="Z157" s="69"/>
      <c r="AA157" s="69"/>
      <c r="AB157" s="69"/>
      <c r="AC157" s="69"/>
      <c r="AD157" s="69"/>
      <c r="AE157" s="69"/>
      <c r="AF157" s="69"/>
      <c r="AG157" s="69"/>
      <c r="AH157" s="69"/>
      <c r="AI157" s="69"/>
      <c r="AJ157" s="69"/>
      <c r="AK157" s="69"/>
    </row>
    <row r="158" ht="15.75" customHeight="1" spans="1:37">
      <c r="A158" s="163"/>
      <c r="B158" s="69"/>
      <c r="C158" s="69"/>
      <c r="D158" s="69"/>
      <c r="E158" s="69"/>
      <c r="F158" s="69"/>
      <c r="G158" s="70"/>
      <c r="H158" s="69"/>
      <c r="I158" s="69"/>
      <c r="J158" s="69"/>
      <c r="K158" s="69"/>
      <c r="L158" s="69"/>
      <c r="M158" s="69"/>
      <c r="N158" s="69"/>
      <c r="O158" s="69"/>
      <c r="P158" s="69"/>
      <c r="Q158" s="69"/>
      <c r="R158" s="69"/>
      <c r="S158" s="69"/>
      <c r="T158" s="69"/>
      <c r="U158" s="69"/>
      <c r="V158" s="69"/>
      <c r="W158" s="69"/>
      <c r="X158" s="106"/>
      <c r="Y158" s="69"/>
      <c r="Z158" s="69"/>
      <c r="AA158" s="69"/>
      <c r="AB158" s="69"/>
      <c r="AC158" s="69"/>
      <c r="AD158" s="69"/>
      <c r="AE158" s="69"/>
      <c r="AF158" s="69"/>
      <c r="AG158" s="69"/>
      <c r="AH158" s="69"/>
      <c r="AI158" s="69"/>
      <c r="AJ158" s="69"/>
      <c r="AK158" s="69"/>
    </row>
    <row r="159" ht="15.75" customHeight="1" spans="1:37">
      <c r="A159" s="163"/>
      <c r="B159" s="69"/>
      <c r="C159" s="69"/>
      <c r="D159" s="69"/>
      <c r="E159" s="69"/>
      <c r="F159" s="69"/>
      <c r="G159" s="70"/>
      <c r="H159" s="69"/>
      <c r="I159" s="69"/>
      <c r="J159" s="69"/>
      <c r="K159" s="69"/>
      <c r="L159" s="69"/>
      <c r="M159" s="69"/>
      <c r="N159" s="69"/>
      <c r="O159" s="69"/>
      <c r="P159" s="69"/>
      <c r="Q159" s="69"/>
      <c r="R159" s="69"/>
      <c r="S159" s="69"/>
      <c r="T159" s="69"/>
      <c r="U159" s="69"/>
      <c r="V159" s="69"/>
      <c r="W159" s="69"/>
      <c r="X159" s="106"/>
      <c r="Y159" s="69"/>
      <c r="Z159" s="69"/>
      <c r="AA159" s="69"/>
      <c r="AB159" s="69"/>
      <c r="AC159" s="69"/>
      <c r="AD159" s="69"/>
      <c r="AE159" s="69"/>
      <c r="AF159" s="69"/>
      <c r="AG159" s="69"/>
      <c r="AH159" s="69"/>
      <c r="AI159" s="69"/>
      <c r="AJ159" s="69"/>
      <c r="AK159" s="69"/>
    </row>
    <row r="160" ht="15.75" customHeight="1" spans="1:37">
      <c r="A160" s="163"/>
      <c r="B160" s="69"/>
      <c r="C160" s="69"/>
      <c r="D160" s="69"/>
      <c r="E160" s="69"/>
      <c r="F160" s="69"/>
      <c r="G160" s="70"/>
      <c r="H160" s="69"/>
      <c r="I160" s="69"/>
      <c r="J160" s="69"/>
      <c r="K160" s="69"/>
      <c r="L160" s="69"/>
      <c r="M160" s="69"/>
      <c r="N160" s="69"/>
      <c r="O160" s="69"/>
      <c r="P160" s="69"/>
      <c r="Q160" s="69"/>
      <c r="R160" s="69"/>
      <c r="S160" s="69"/>
      <c r="T160" s="69"/>
      <c r="U160" s="69"/>
      <c r="V160" s="69"/>
      <c r="W160" s="69"/>
      <c r="X160" s="106"/>
      <c r="Y160" s="69"/>
      <c r="Z160" s="69"/>
      <c r="AA160" s="69"/>
      <c r="AB160" s="69"/>
      <c r="AC160" s="69"/>
      <c r="AD160" s="69"/>
      <c r="AE160" s="69"/>
      <c r="AF160" s="69"/>
      <c r="AG160" s="69"/>
      <c r="AH160" s="69"/>
      <c r="AI160" s="69"/>
      <c r="AJ160" s="69"/>
      <c r="AK160" s="69"/>
    </row>
    <row r="161" ht="15.75" customHeight="1" spans="1:37">
      <c r="A161" s="163"/>
      <c r="B161" s="69"/>
      <c r="C161" s="69"/>
      <c r="D161" s="69"/>
      <c r="E161" s="69"/>
      <c r="F161" s="69"/>
      <c r="G161" s="70"/>
      <c r="H161" s="69"/>
      <c r="I161" s="69"/>
      <c r="J161" s="69"/>
      <c r="K161" s="69"/>
      <c r="L161" s="69"/>
      <c r="M161" s="69"/>
      <c r="N161" s="69"/>
      <c r="O161" s="69"/>
      <c r="P161" s="69"/>
      <c r="Q161" s="69"/>
      <c r="R161" s="69"/>
      <c r="S161" s="69"/>
      <c r="T161" s="69"/>
      <c r="U161" s="69"/>
      <c r="V161" s="69"/>
      <c r="W161" s="69"/>
      <c r="X161" s="106"/>
      <c r="Y161" s="69"/>
      <c r="Z161" s="69"/>
      <c r="AA161" s="69"/>
      <c r="AB161" s="69"/>
      <c r="AC161" s="69"/>
      <c r="AD161" s="69"/>
      <c r="AE161" s="69"/>
      <c r="AF161" s="69"/>
      <c r="AG161" s="69"/>
      <c r="AH161" s="69"/>
      <c r="AI161" s="69"/>
      <c r="AJ161" s="69"/>
      <c r="AK161" s="69"/>
    </row>
    <row r="162" ht="15.75" customHeight="1" spans="1:37">
      <c r="A162" s="163"/>
      <c r="B162" s="69"/>
      <c r="C162" s="69"/>
      <c r="D162" s="69"/>
      <c r="E162" s="69"/>
      <c r="F162" s="69"/>
      <c r="G162" s="70"/>
      <c r="H162" s="69"/>
      <c r="I162" s="69"/>
      <c r="J162" s="69"/>
      <c r="K162" s="69"/>
      <c r="L162" s="69"/>
      <c r="M162" s="69"/>
      <c r="N162" s="69"/>
      <c r="O162" s="69"/>
      <c r="P162" s="69"/>
      <c r="Q162" s="69"/>
      <c r="R162" s="69"/>
      <c r="S162" s="69"/>
      <c r="T162" s="69"/>
      <c r="U162" s="69"/>
      <c r="V162" s="69"/>
      <c r="W162" s="69"/>
      <c r="X162" s="106"/>
      <c r="Y162" s="69"/>
      <c r="Z162" s="69"/>
      <c r="AA162" s="69"/>
      <c r="AB162" s="69"/>
      <c r="AC162" s="69"/>
      <c r="AD162" s="69"/>
      <c r="AE162" s="69"/>
      <c r="AF162" s="69"/>
      <c r="AG162" s="69"/>
      <c r="AH162" s="69"/>
      <c r="AI162" s="69"/>
      <c r="AJ162" s="69"/>
      <c r="AK162" s="69"/>
    </row>
    <row r="163" ht="15.75" customHeight="1" spans="1:37">
      <c r="A163" s="163"/>
      <c r="B163" s="69"/>
      <c r="C163" s="69"/>
      <c r="D163" s="69"/>
      <c r="E163" s="69"/>
      <c r="F163" s="69"/>
      <c r="G163" s="70"/>
      <c r="H163" s="69"/>
      <c r="I163" s="69"/>
      <c r="J163" s="69"/>
      <c r="K163" s="69"/>
      <c r="L163" s="69"/>
      <c r="M163" s="69"/>
      <c r="N163" s="69"/>
      <c r="O163" s="69"/>
      <c r="P163" s="69"/>
      <c r="Q163" s="69"/>
      <c r="R163" s="69"/>
      <c r="S163" s="69"/>
      <c r="T163" s="69"/>
      <c r="U163" s="69"/>
      <c r="V163" s="69"/>
      <c r="W163" s="69"/>
      <c r="X163" s="106"/>
      <c r="Y163" s="69"/>
      <c r="Z163" s="69"/>
      <c r="AA163" s="69"/>
      <c r="AB163" s="69"/>
      <c r="AC163" s="69"/>
      <c r="AD163" s="69"/>
      <c r="AE163" s="69"/>
      <c r="AF163" s="69"/>
      <c r="AG163" s="69"/>
      <c r="AH163" s="69"/>
      <c r="AI163" s="69"/>
      <c r="AJ163" s="69"/>
      <c r="AK163" s="69"/>
    </row>
    <row r="164" ht="15.75" customHeight="1" spans="1:37">
      <c r="A164" s="163"/>
      <c r="B164" s="69"/>
      <c r="C164" s="69"/>
      <c r="D164" s="69"/>
      <c r="E164" s="69"/>
      <c r="F164" s="69"/>
      <c r="G164" s="70"/>
      <c r="H164" s="69"/>
      <c r="I164" s="69"/>
      <c r="J164" s="69"/>
      <c r="K164" s="69"/>
      <c r="L164" s="69"/>
      <c r="M164" s="69"/>
      <c r="N164" s="69"/>
      <c r="O164" s="69"/>
      <c r="P164" s="69"/>
      <c r="Q164" s="69"/>
      <c r="R164" s="69"/>
      <c r="S164" s="69"/>
      <c r="T164" s="69"/>
      <c r="U164" s="69"/>
      <c r="V164" s="69"/>
      <c r="W164" s="69"/>
      <c r="X164" s="106"/>
      <c r="Y164" s="69"/>
      <c r="Z164" s="69"/>
      <c r="AA164" s="69"/>
      <c r="AB164" s="69"/>
      <c r="AC164" s="69"/>
      <c r="AD164" s="69"/>
      <c r="AE164" s="69"/>
      <c r="AF164" s="69"/>
      <c r="AG164" s="69"/>
      <c r="AH164" s="69"/>
      <c r="AI164" s="69"/>
      <c r="AJ164" s="69"/>
      <c r="AK164" s="69"/>
    </row>
    <row r="165" ht="15.75" customHeight="1" spans="1:37">
      <c r="A165" s="163"/>
      <c r="B165" s="69"/>
      <c r="C165" s="69"/>
      <c r="D165" s="69"/>
      <c r="E165" s="69"/>
      <c r="F165" s="69"/>
      <c r="G165" s="70"/>
      <c r="H165" s="69"/>
      <c r="I165" s="69"/>
      <c r="J165" s="69"/>
      <c r="K165" s="69"/>
      <c r="L165" s="69"/>
      <c r="M165" s="69"/>
      <c r="N165" s="69"/>
      <c r="O165" s="69"/>
      <c r="P165" s="69"/>
      <c r="Q165" s="69"/>
      <c r="R165" s="69"/>
      <c r="S165" s="69"/>
      <c r="T165" s="69"/>
      <c r="U165" s="69"/>
      <c r="V165" s="69"/>
      <c r="W165" s="69"/>
      <c r="X165" s="106"/>
      <c r="Y165" s="69"/>
      <c r="Z165" s="69"/>
      <c r="AA165" s="69"/>
      <c r="AB165" s="69"/>
      <c r="AC165" s="69"/>
      <c r="AD165" s="69"/>
      <c r="AE165" s="69"/>
      <c r="AF165" s="69"/>
      <c r="AG165" s="69"/>
      <c r="AH165" s="69"/>
      <c r="AI165" s="69"/>
      <c r="AJ165" s="69"/>
      <c r="AK165" s="69"/>
    </row>
    <row r="166" ht="15.75" customHeight="1" spans="1:37">
      <c r="A166" s="163"/>
      <c r="B166" s="69"/>
      <c r="C166" s="69"/>
      <c r="D166" s="69"/>
      <c r="E166" s="69"/>
      <c r="F166" s="69"/>
      <c r="G166" s="70"/>
      <c r="H166" s="69"/>
      <c r="I166" s="69"/>
      <c r="J166" s="69"/>
      <c r="K166" s="69"/>
      <c r="L166" s="69"/>
      <c r="M166" s="69"/>
      <c r="N166" s="69"/>
      <c r="O166" s="69"/>
      <c r="P166" s="69"/>
      <c r="Q166" s="69"/>
      <c r="R166" s="69"/>
      <c r="S166" s="69"/>
      <c r="T166" s="69"/>
      <c r="U166" s="69"/>
      <c r="V166" s="69"/>
      <c r="W166" s="69"/>
      <c r="X166" s="106"/>
      <c r="Y166" s="69"/>
      <c r="Z166" s="69"/>
      <c r="AA166" s="69"/>
      <c r="AB166" s="69"/>
      <c r="AC166" s="69"/>
      <c r="AD166" s="69"/>
      <c r="AE166" s="69"/>
      <c r="AF166" s="69"/>
      <c r="AG166" s="69"/>
      <c r="AH166" s="69"/>
      <c r="AI166" s="69"/>
      <c r="AJ166" s="69"/>
      <c r="AK166" s="69"/>
    </row>
    <row r="167" ht="15.75" customHeight="1" spans="1:37">
      <c r="A167" s="163"/>
      <c r="B167" s="69"/>
      <c r="C167" s="69"/>
      <c r="D167" s="69"/>
      <c r="E167" s="69"/>
      <c r="F167" s="69"/>
      <c r="G167" s="70"/>
      <c r="H167" s="69"/>
      <c r="I167" s="69"/>
      <c r="J167" s="69"/>
      <c r="K167" s="69"/>
      <c r="L167" s="69"/>
      <c r="M167" s="69"/>
      <c r="N167" s="69"/>
      <c r="O167" s="69"/>
      <c r="P167" s="69"/>
      <c r="Q167" s="69"/>
      <c r="R167" s="69"/>
      <c r="S167" s="69"/>
      <c r="T167" s="69"/>
      <c r="U167" s="69"/>
      <c r="V167" s="69"/>
      <c r="W167" s="69"/>
      <c r="X167" s="106"/>
      <c r="Y167" s="69"/>
      <c r="Z167" s="69"/>
      <c r="AA167" s="69"/>
      <c r="AB167" s="69"/>
      <c r="AC167" s="69"/>
      <c r="AD167" s="69"/>
      <c r="AE167" s="69"/>
      <c r="AF167" s="69"/>
      <c r="AG167" s="69"/>
      <c r="AH167" s="69"/>
      <c r="AI167" s="69"/>
      <c r="AJ167" s="69"/>
      <c r="AK167" s="69"/>
    </row>
    <row r="168" ht="15.75" customHeight="1" spans="1:37">
      <c r="A168" s="163"/>
      <c r="B168" s="69"/>
      <c r="C168" s="69"/>
      <c r="D168" s="69"/>
      <c r="E168" s="69"/>
      <c r="F168" s="69"/>
      <c r="G168" s="70"/>
      <c r="H168" s="69"/>
      <c r="I168" s="69"/>
      <c r="J168" s="69"/>
      <c r="K168" s="69"/>
      <c r="L168" s="69"/>
      <c r="M168" s="69"/>
      <c r="N168" s="69"/>
      <c r="O168" s="69"/>
      <c r="P168" s="69"/>
      <c r="Q168" s="69"/>
      <c r="R168" s="69"/>
      <c r="S168" s="69"/>
      <c r="T168" s="69"/>
      <c r="U168" s="69"/>
      <c r="V168" s="69"/>
      <c r="W168" s="69"/>
      <c r="X168" s="106"/>
      <c r="Y168" s="69"/>
      <c r="Z168" s="69"/>
      <c r="AA168" s="69"/>
      <c r="AB168" s="69"/>
      <c r="AC168" s="69"/>
      <c r="AD168" s="69"/>
      <c r="AE168" s="69"/>
      <c r="AF168" s="69"/>
      <c r="AG168" s="69"/>
      <c r="AH168" s="69"/>
      <c r="AI168" s="69"/>
      <c r="AJ168" s="69"/>
      <c r="AK168" s="69"/>
    </row>
    <row r="169" ht="15.75" customHeight="1" spans="1:37">
      <c r="A169" s="163"/>
      <c r="B169" s="69"/>
      <c r="C169" s="69"/>
      <c r="D169" s="69"/>
      <c r="E169" s="69"/>
      <c r="F169" s="69"/>
      <c r="G169" s="70"/>
      <c r="H169" s="69"/>
      <c r="I169" s="69"/>
      <c r="J169" s="69"/>
      <c r="K169" s="69"/>
      <c r="L169" s="69"/>
      <c r="M169" s="69"/>
      <c r="N169" s="69"/>
      <c r="O169" s="69"/>
      <c r="P169" s="69"/>
      <c r="Q169" s="69"/>
      <c r="R169" s="69"/>
      <c r="S169" s="69"/>
      <c r="T169" s="69"/>
      <c r="U169" s="69"/>
      <c r="V169" s="69"/>
      <c r="W169" s="69"/>
      <c r="X169" s="106"/>
      <c r="Y169" s="69"/>
      <c r="Z169" s="69"/>
      <c r="AA169" s="69"/>
      <c r="AB169" s="69"/>
      <c r="AC169" s="69"/>
      <c r="AD169" s="69"/>
      <c r="AE169" s="69"/>
      <c r="AF169" s="69"/>
      <c r="AG169" s="69"/>
      <c r="AH169" s="69"/>
      <c r="AI169" s="69"/>
      <c r="AJ169" s="69"/>
      <c r="AK169" s="69"/>
    </row>
    <row r="170" ht="15.75" customHeight="1" spans="1:37">
      <c r="A170" s="163"/>
      <c r="B170" s="69"/>
      <c r="C170" s="69"/>
      <c r="D170" s="69"/>
      <c r="E170" s="69"/>
      <c r="F170" s="69"/>
      <c r="G170" s="70"/>
      <c r="H170" s="69"/>
      <c r="I170" s="69"/>
      <c r="J170" s="69"/>
      <c r="K170" s="69"/>
      <c r="L170" s="69"/>
      <c r="M170" s="69"/>
      <c r="N170" s="69"/>
      <c r="O170" s="69"/>
      <c r="P170" s="69"/>
      <c r="Q170" s="69"/>
      <c r="R170" s="69"/>
      <c r="S170" s="69"/>
      <c r="T170" s="69"/>
      <c r="U170" s="69"/>
      <c r="V170" s="69"/>
      <c r="W170" s="69"/>
      <c r="X170" s="106"/>
      <c r="Y170" s="69"/>
      <c r="Z170" s="69"/>
      <c r="AA170" s="69"/>
      <c r="AB170" s="69"/>
      <c r="AC170" s="69"/>
      <c r="AD170" s="69"/>
      <c r="AE170" s="69"/>
      <c r="AF170" s="69"/>
      <c r="AG170" s="69"/>
      <c r="AH170" s="69"/>
      <c r="AI170" s="69"/>
      <c r="AJ170" s="69"/>
      <c r="AK170" s="69"/>
    </row>
    <row r="171" ht="15.75" customHeight="1" spans="1:37">
      <c r="A171" s="163"/>
      <c r="B171" s="69"/>
      <c r="C171" s="69"/>
      <c r="D171" s="69"/>
      <c r="E171" s="69"/>
      <c r="F171" s="69"/>
      <c r="G171" s="70"/>
      <c r="H171" s="69"/>
      <c r="I171" s="69"/>
      <c r="J171" s="69"/>
      <c r="K171" s="69"/>
      <c r="L171" s="69"/>
      <c r="M171" s="69"/>
      <c r="N171" s="69"/>
      <c r="O171" s="69"/>
      <c r="P171" s="69"/>
      <c r="Q171" s="69"/>
      <c r="R171" s="69"/>
      <c r="S171" s="69"/>
      <c r="T171" s="69"/>
      <c r="U171" s="69"/>
      <c r="V171" s="69"/>
      <c r="W171" s="69"/>
      <c r="X171" s="106"/>
      <c r="Y171" s="69"/>
      <c r="Z171" s="69"/>
      <c r="AA171" s="69"/>
      <c r="AB171" s="69"/>
      <c r="AC171" s="69"/>
      <c r="AD171" s="69"/>
      <c r="AE171" s="69"/>
      <c r="AF171" s="69"/>
      <c r="AG171" s="69"/>
      <c r="AH171" s="69"/>
      <c r="AI171" s="69"/>
      <c r="AJ171" s="69"/>
      <c r="AK171" s="69"/>
    </row>
    <row r="172" ht="15.75" customHeight="1" spans="1:37">
      <c r="A172" s="163"/>
      <c r="B172" s="69"/>
      <c r="C172" s="69"/>
      <c r="D172" s="69"/>
      <c r="E172" s="69"/>
      <c r="F172" s="69"/>
      <c r="G172" s="70"/>
      <c r="H172" s="69"/>
      <c r="I172" s="69"/>
      <c r="J172" s="69"/>
      <c r="K172" s="69"/>
      <c r="L172" s="69"/>
      <c r="M172" s="69"/>
      <c r="N172" s="69"/>
      <c r="O172" s="69"/>
      <c r="P172" s="69"/>
      <c r="Q172" s="69"/>
      <c r="R172" s="69"/>
      <c r="S172" s="69"/>
      <c r="T172" s="69"/>
      <c r="U172" s="69"/>
      <c r="V172" s="69"/>
      <c r="W172" s="69"/>
      <c r="X172" s="106"/>
      <c r="Y172" s="69"/>
      <c r="Z172" s="69"/>
      <c r="AA172" s="69"/>
      <c r="AB172" s="69"/>
      <c r="AC172" s="69"/>
      <c r="AD172" s="69"/>
      <c r="AE172" s="69"/>
      <c r="AF172" s="69"/>
      <c r="AG172" s="69"/>
      <c r="AH172" s="69"/>
      <c r="AI172" s="69"/>
      <c r="AJ172" s="69"/>
      <c r="AK172" s="69"/>
    </row>
    <row r="173" ht="15.75" customHeight="1" spans="1:37">
      <c r="A173" s="163"/>
      <c r="B173" s="69"/>
      <c r="C173" s="69"/>
      <c r="D173" s="69"/>
      <c r="E173" s="69"/>
      <c r="F173" s="69"/>
      <c r="G173" s="70"/>
      <c r="H173" s="69"/>
      <c r="I173" s="69"/>
      <c r="J173" s="69"/>
      <c r="K173" s="69"/>
      <c r="L173" s="69"/>
      <c r="M173" s="69"/>
      <c r="N173" s="69"/>
      <c r="O173" s="69"/>
      <c r="P173" s="69"/>
      <c r="Q173" s="69"/>
      <c r="R173" s="69"/>
      <c r="S173" s="69"/>
      <c r="T173" s="69"/>
      <c r="U173" s="69"/>
      <c r="V173" s="69"/>
      <c r="W173" s="69"/>
      <c r="X173" s="106"/>
      <c r="Y173" s="69"/>
      <c r="Z173" s="69"/>
      <c r="AA173" s="69"/>
      <c r="AB173" s="69"/>
      <c r="AC173" s="69"/>
      <c r="AD173" s="69"/>
      <c r="AE173" s="69"/>
      <c r="AF173" s="69"/>
      <c r="AG173" s="69"/>
      <c r="AH173" s="69"/>
      <c r="AI173" s="69"/>
      <c r="AJ173" s="69"/>
      <c r="AK173" s="69"/>
    </row>
    <row r="174" ht="15.75" customHeight="1" spans="1:37">
      <c r="A174" s="163"/>
      <c r="B174" s="69"/>
      <c r="C174" s="69"/>
      <c r="D174" s="69"/>
      <c r="E174" s="69"/>
      <c r="F174" s="69"/>
      <c r="G174" s="70"/>
      <c r="H174" s="69"/>
      <c r="I174" s="69"/>
      <c r="J174" s="69"/>
      <c r="K174" s="69"/>
      <c r="L174" s="69"/>
      <c r="M174" s="69"/>
      <c r="N174" s="69"/>
      <c r="O174" s="69"/>
      <c r="P174" s="69"/>
      <c r="Q174" s="69"/>
      <c r="R174" s="69"/>
      <c r="S174" s="69"/>
      <c r="T174" s="69"/>
      <c r="U174" s="69"/>
      <c r="V174" s="69"/>
      <c r="W174" s="69"/>
      <c r="X174" s="106"/>
      <c r="Y174" s="69"/>
      <c r="Z174" s="69"/>
      <c r="AA174" s="69"/>
      <c r="AB174" s="69"/>
      <c r="AC174" s="69"/>
      <c r="AD174" s="69"/>
      <c r="AE174" s="69"/>
      <c r="AF174" s="69"/>
      <c r="AG174" s="69"/>
      <c r="AH174" s="69"/>
      <c r="AI174" s="69"/>
      <c r="AJ174" s="69"/>
      <c r="AK174" s="69"/>
    </row>
    <row r="175" ht="15.75" customHeight="1" spans="1:37">
      <c r="A175" s="163"/>
      <c r="B175" s="69"/>
      <c r="C175" s="69"/>
      <c r="D175" s="69"/>
      <c r="E175" s="69"/>
      <c r="F175" s="69"/>
      <c r="G175" s="70"/>
      <c r="H175" s="69"/>
      <c r="I175" s="69"/>
      <c r="J175" s="69"/>
      <c r="K175" s="69"/>
      <c r="L175" s="69"/>
      <c r="M175" s="69"/>
      <c r="N175" s="69"/>
      <c r="O175" s="69"/>
      <c r="P175" s="69"/>
      <c r="Q175" s="69"/>
      <c r="R175" s="69"/>
      <c r="S175" s="69"/>
      <c r="T175" s="69"/>
      <c r="U175" s="69"/>
      <c r="V175" s="69"/>
      <c r="W175" s="69"/>
      <c r="X175" s="106"/>
      <c r="Y175" s="69"/>
      <c r="Z175" s="69"/>
      <c r="AA175" s="69"/>
      <c r="AB175" s="69"/>
      <c r="AC175" s="69"/>
      <c r="AD175" s="69"/>
      <c r="AE175" s="69"/>
      <c r="AF175" s="69"/>
      <c r="AG175" s="69"/>
      <c r="AH175" s="69"/>
      <c r="AI175" s="69"/>
      <c r="AJ175" s="69"/>
      <c r="AK175" s="69"/>
    </row>
    <row r="176" ht="15.75" customHeight="1" spans="1:37">
      <c r="A176" s="163"/>
      <c r="B176" s="69"/>
      <c r="C176" s="69"/>
      <c r="D176" s="69"/>
      <c r="E176" s="69"/>
      <c r="F176" s="69"/>
      <c r="G176" s="70"/>
      <c r="H176" s="69"/>
      <c r="I176" s="69"/>
      <c r="J176" s="69"/>
      <c r="K176" s="69"/>
      <c r="L176" s="69"/>
      <c r="M176" s="69"/>
      <c r="N176" s="69"/>
      <c r="O176" s="69"/>
      <c r="P176" s="69"/>
      <c r="Q176" s="69"/>
      <c r="R176" s="69"/>
      <c r="S176" s="69"/>
      <c r="T176" s="69"/>
      <c r="U176" s="69"/>
      <c r="V176" s="69"/>
      <c r="W176" s="69"/>
      <c r="X176" s="106"/>
      <c r="Y176" s="69"/>
      <c r="Z176" s="69"/>
      <c r="AA176" s="69"/>
      <c r="AB176" s="69"/>
      <c r="AC176" s="69"/>
      <c r="AD176" s="69"/>
      <c r="AE176" s="69"/>
      <c r="AF176" s="69"/>
      <c r="AG176" s="69"/>
      <c r="AH176" s="69"/>
      <c r="AI176" s="69"/>
      <c r="AJ176" s="69"/>
      <c r="AK176" s="69"/>
    </row>
    <row r="177" ht="15.75" customHeight="1" spans="1:37">
      <c r="A177" s="163"/>
      <c r="B177" s="69"/>
      <c r="C177" s="69"/>
      <c r="D177" s="69"/>
      <c r="E177" s="69"/>
      <c r="F177" s="69"/>
      <c r="G177" s="70"/>
      <c r="H177" s="69"/>
      <c r="I177" s="69"/>
      <c r="J177" s="69"/>
      <c r="K177" s="69"/>
      <c r="L177" s="69"/>
      <c r="M177" s="69"/>
      <c r="N177" s="69"/>
      <c r="O177" s="69"/>
      <c r="P177" s="69"/>
      <c r="Q177" s="69"/>
      <c r="R177" s="69"/>
      <c r="S177" s="69"/>
      <c r="T177" s="69"/>
      <c r="U177" s="69"/>
      <c r="V177" s="69"/>
      <c r="W177" s="69"/>
      <c r="X177" s="106"/>
      <c r="Y177" s="69"/>
      <c r="Z177" s="69"/>
      <c r="AA177" s="69"/>
      <c r="AB177" s="69"/>
      <c r="AC177" s="69"/>
      <c r="AD177" s="69"/>
      <c r="AE177" s="69"/>
      <c r="AF177" s="69"/>
      <c r="AG177" s="69"/>
      <c r="AH177" s="69"/>
      <c r="AI177" s="69"/>
      <c r="AJ177" s="69"/>
      <c r="AK177" s="69"/>
    </row>
    <row r="178" ht="15.75" customHeight="1" spans="1:37">
      <c r="A178" s="163"/>
      <c r="B178" s="69"/>
      <c r="C178" s="69"/>
      <c r="D178" s="69"/>
      <c r="E178" s="69"/>
      <c r="F178" s="69"/>
      <c r="G178" s="70"/>
      <c r="H178" s="69"/>
      <c r="I178" s="69"/>
      <c r="J178" s="69"/>
      <c r="K178" s="69"/>
      <c r="L178" s="69"/>
      <c r="M178" s="69"/>
      <c r="N178" s="69"/>
      <c r="O178" s="69"/>
      <c r="P178" s="69"/>
      <c r="Q178" s="69"/>
      <c r="R178" s="69"/>
      <c r="S178" s="69"/>
      <c r="T178" s="69"/>
      <c r="U178" s="69"/>
      <c r="V178" s="69"/>
      <c r="W178" s="69"/>
      <c r="X178" s="106"/>
      <c r="Y178" s="69"/>
      <c r="Z178" s="69"/>
      <c r="AA178" s="69"/>
      <c r="AB178" s="69"/>
      <c r="AC178" s="69"/>
      <c r="AD178" s="69"/>
      <c r="AE178" s="69"/>
      <c r="AF178" s="69"/>
      <c r="AG178" s="69"/>
      <c r="AH178" s="69"/>
      <c r="AI178" s="69"/>
      <c r="AJ178" s="69"/>
      <c r="AK178" s="69"/>
    </row>
    <row r="179" ht="15.75" customHeight="1" spans="1:37">
      <c r="A179" s="163"/>
      <c r="B179" s="69"/>
      <c r="C179" s="69"/>
      <c r="D179" s="69"/>
      <c r="E179" s="69"/>
      <c r="F179" s="69"/>
      <c r="G179" s="70"/>
      <c r="H179" s="69"/>
      <c r="I179" s="69"/>
      <c r="J179" s="69"/>
      <c r="K179" s="69"/>
      <c r="L179" s="69"/>
      <c r="M179" s="69"/>
      <c r="N179" s="69"/>
      <c r="O179" s="69"/>
      <c r="P179" s="69"/>
      <c r="Q179" s="69"/>
      <c r="R179" s="69"/>
      <c r="S179" s="69"/>
      <c r="T179" s="69"/>
      <c r="U179" s="69"/>
      <c r="V179" s="69"/>
      <c r="W179" s="69"/>
      <c r="X179" s="106"/>
      <c r="Y179" s="69"/>
      <c r="Z179" s="69"/>
      <c r="AA179" s="69"/>
      <c r="AB179" s="69"/>
      <c r="AC179" s="69"/>
      <c r="AD179" s="69"/>
      <c r="AE179" s="69"/>
      <c r="AF179" s="69"/>
      <c r="AG179" s="69"/>
      <c r="AH179" s="69"/>
      <c r="AI179" s="69"/>
      <c r="AJ179" s="69"/>
      <c r="AK179" s="69"/>
    </row>
    <row r="180" ht="15.75" customHeight="1" spans="1:37">
      <c r="A180" s="163"/>
      <c r="B180" s="69"/>
      <c r="C180" s="69"/>
      <c r="D180" s="69"/>
      <c r="E180" s="69"/>
      <c r="F180" s="69"/>
      <c r="G180" s="70"/>
      <c r="H180" s="69"/>
      <c r="I180" s="69"/>
      <c r="J180" s="69"/>
      <c r="K180" s="69"/>
      <c r="L180" s="69"/>
      <c r="M180" s="69"/>
      <c r="N180" s="69"/>
      <c r="O180" s="69"/>
      <c r="P180" s="69"/>
      <c r="Q180" s="69"/>
      <c r="R180" s="69"/>
      <c r="S180" s="69"/>
      <c r="T180" s="69"/>
      <c r="U180" s="69"/>
      <c r="V180" s="69"/>
      <c r="W180" s="69"/>
      <c r="X180" s="106"/>
      <c r="Y180" s="69"/>
      <c r="Z180" s="69"/>
      <c r="AA180" s="69"/>
      <c r="AB180" s="69"/>
      <c r="AC180" s="69"/>
      <c r="AD180" s="69"/>
      <c r="AE180" s="69"/>
      <c r="AF180" s="69"/>
      <c r="AG180" s="69"/>
      <c r="AH180" s="69"/>
      <c r="AI180" s="69"/>
      <c r="AJ180" s="69"/>
      <c r="AK180" s="69"/>
    </row>
    <row r="181" ht="15.75" customHeight="1" spans="1:37">
      <c r="A181" s="163"/>
      <c r="B181" s="69"/>
      <c r="C181" s="69"/>
      <c r="D181" s="69"/>
      <c r="E181" s="69"/>
      <c r="F181" s="69"/>
      <c r="G181" s="70"/>
      <c r="H181" s="69"/>
      <c r="I181" s="69"/>
      <c r="J181" s="69"/>
      <c r="K181" s="69"/>
      <c r="L181" s="69"/>
      <c r="M181" s="69"/>
      <c r="N181" s="69"/>
      <c r="O181" s="69"/>
      <c r="P181" s="69"/>
      <c r="Q181" s="69"/>
      <c r="R181" s="69"/>
      <c r="S181" s="69"/>
      <c r="T181" s="69"/>
      <c r="U181" s="69"/>
      <c r="V181" s="69"/>
      <c r="W181" s="69"/>
      <c r="X181" s="106"/>
      <c r="Y181" s="69"/>
      <c r="Z181" s="69"/>
      <c r="AA181" s="69"/>
      <c r="AB181" s="69"/>
      <c r="AC181" s="69"/>
      <c r="AD181" s="69"/>
      <c r="AE181" s="69"/>
      <c r="AF181" s="69"/>
      <c r="AG181" s="69"/>
      <c r="AH181" s="69"/>
      <c r="AI181" s="69"/>
      <c r="AJ181" s="69"/>
      <c r="AK181" s="69"/>
    </row>
    <row r="182" ht="15.75" customHeight="1" spans="1:37">
      <c r="A182" s="163"/>
      <c r="B182" s="69"/>
      <c r="C182" s="69"/>
      <c r="D182" s="69"/>
      <c r="E182" s="69"/>
      <c r="F182" s="69"/>
      <c r="G182" s="70"/>
      <c r="H182" s="69"/>
      <c r="I182" s="69"/>
      <c r="J182" s="69"/>
      <c r="K182" s="69"/>
      <c r="L182" s="69"/>
      <c r="M182" s="69"/>
      <c r="N182" s="69"/>
      <c r="O182" s="69"/>
      <c r="P182" s="69"/>
      <c r="Q182" s="69"/>
      <c r="R182" s="69"/>
      <c r="S182" s="69"/>
      <c r="T182" s="69"/>
      <c r="U182" s="69"/>
      <c r="V182" s="69"/>
      <c r="W182" s="69"/>
      <c r="X182" s="106"/>
      <c r="Y182" s="69"/>
      <c r="Z182" s="69"/>
      <c r="AA182" s="69"/>
      <c r="AB182" s="69"/>
      <c r="AC182" s="69"/>
      <c r="AD182" s="69"/>
      <c r="AE182" s="69"/>
      <c r="AF182" s="69"/>
      <c r="AG182" s="69"/>
      <c r="AH182" s="69"/>
      <c r="AI182" s="69"/>
      <c r="AJ182" s="69"/>
      <c r="AK182" s="69"/>
    </row>
    <row r="183" ht="15.75" customHeight="1" spans="1:37">
      <c r="A183" s="163"/>
      <c r="B183" s="69"/>
      <c r="C183" s="69"/>
      <c r="D183" s="69"/>
      <c r="E183" s="69"/>
      <c r="F183" s="69"/>
      <c r="G183" s="70"/>
      <c r="H183" s="69"/>
      <c r="I183" s="69"/>
      <c r="J183" s="69"/>
      <c r="K183" s="69"/>
      <c r="L183" s="69"/>
      <c r="M183" s="69"/>
      <c r="N183" s="69"/>
      <c r="O183" s="69"/>
      <c r="P183" s="69"/>
      <c r="Q183" s="69"/>
      <c r="R183" s="69"/>
      <c r="S183" s="69"/>
      <c r="T183" s="69"/>
      <c r="U183" s="69"/>
      <c r="V183" s="69"/>
      <c r="W183" s="69"/>
      <c r="X183" s="106"/>
      <c r="Y183" s="69"/>
      <c r="Z183" s="69"/>
      <c r="AA183" s="69"/>
      <c r="AB183" s="69"/>
      <c r="AC183" s="69"/>
      <c r="AD183" s="69"/>
      <c r="AE183" s="69"/>
      <c r="AF183" s="69"/>
      <c r="AG183" s="69"/>
      <c r="AH183" s="69"/>
      <c r="AI183" s="69"/>
      <c r="AJ183" s="69"/>
      <c r="AK183" s="69"/>
    </row>
    <row r="184" ht="15.75" customHeight="1" spans="1:37">
      <c r="A184" s="163"/>
      <c r="B184" s="69"/>
      <c r="C184" s="69"/>
      <c r="D184" s="69"/>
      <c r="E184" s="69"/>
      <c r="F184" s="69"/>
      <c r="G184" s="70"/>
      <c r="H184" s="69"/>
      <c r="I184" s="69"/>
      <c r="J184" s="69"/>
      <c r="K184" s="69"/>
      <c r="L184" s="69"/>
      <c r="M184" s="69"/>
      <c r="N184" s="69"/>
      <c r="O184" s="69"/>
      <c r="P184" s="69"/>
      <c r="Q184" s="69"/>
      <c r="R184" s="69"/>
      <c r="S184" s="69"/>
      <c r="T184" s="69"/>
      <c r="U184" s="69"/>
      <c r="V184" s="69"/>
      <c r="W184" s="69"/>
      <c r="X184" s="106"/>
      <c r="Y184" s="69"/>
      <c r="Z184" s="69"/>
      <c r="AA184" s="69"/>
      <c r="AB184" s="69"/>
      <c r="AC184" s="69"/>
      <c r="AD184" s="69"/>
      <c r="AE184" s="69"/>
      <c r="AF184" s="69"/>
      <c r="AG184" s="69"/>
      <c r="AH184" s="69"/>
      <c r="AI184" s="69"/>
      <c r="AJ184" s="69"/>
      <c r="AK184" s="69"/>
    </row>
    <row r="185" ht="15.75" customHeight="1" spans="1:37">
      <c r="A185" s="163"/>
      <c r="B185" s="69"/>
      <c r="C185" s="69"/>
      <c r="D185" s="69"/>
      <c r="E185" s="69"/>
      <c r="F185" s="69"/>
      <c r="G185" s="70"/>
      <c r="H185" s="69"/>
      <c r="I185" s="69"/>
      <c r="J185" s="69"/>
      <c r="K185" s="69"/>
      <c r="L185" s="69"/>
      <c r="M185" s="69"/>
      <c r="N185" s="69"/>
      <c r="O185" s="69"/>
      <c r="P185" s="69"/>
      <c r="Q185" s="69"/>
      <c r="R185" s="69"/>
      <c r="S185" s="69"/>
      <c r="T185" s="69"/>
      <c r="U185" s="69"/>
      <c r="V185" s="69"/>
      <c r="W185" s="69"/>
      <c r="X185" s="106"/>
      <c r="Y185" s="69"/>
      <c r="Z185" s="69"/>
      <c r="AA185" s="69"/>
      <c r="AB185" s="69"/>
      <c r="AC185" s="69"/>
      <c r="AD185" s="69"/>
      <c r="AE185" s="69"/>
      <c r="AF185" s="69"/>
      <c r="AG185" s="69"/>
      <c r="AH185" s="69"/>
      <c r="AI185" s="69"/>
      <c r="AJ185" s="69"/>
      <c r="AK185" s="69"/>
    </row>
    <row r="186" ht="15.75" customHeight="1" spans="1:37">
      <c r="A186" s="163"/>
      <c r="B186" s="69"/>
      <c r="C186" s="69"/>
      <c r="D186" s="69"/>
      <c r="E186" s="69"/>
      <c r="F186" s="69"/>
      <c r="G186" s="70"/>
      <c r="H186" s="69"/>
      <c r="I186" s="69"/>
      <c r="J186" s="69"/>
      <c r="K186" s="69"/>
      <c r="L186" s="69"/>
      <c r="M186" s="69"/>
      <c r="N186" s="69"/>
      <c r="O186" s="69"/>
      <c r="P186" s="69"/>
      <c r="Q186" s="69"/>
      <c r="R186" s="69"/>
      <c r="S186" s="69"/>
      <c r="T186" s="69"/>
      <c r="U186" s="69"/>
      <c r="V186" s="69"/>
      <c r="W186" s="69"/>
      <c r="X186" s="106"/>
      <c r="Y186" s="69"/>
      <c r="Z186" s="69"/>
      <c r="AA186" s="69"/>
      <c r="AB186" s="69"/>
      <c r="AC186" s="69"/>
      <c r="AD186" s="69"/>
      <c r="AE186" s="69"/>
      <c r="AF186" s="69"/>
      <c r="AG186" s="69"/>
      <c r="AH186" s="69"/>
      <c r="AI186" s="69"/>
      <c r="AJ186" s="69"/>
      <c r="AK186" s="69"/>
    </row>
    <row r="187" ht="15.75" customHeight="1" spans="1:37">
      <c r="A187" s="163"/>
      <c r="B187" s="69"/>
      <c r="C187" s="69"/>
      <c r="D187" s="69"/>
      <c r="E187" s="69"/>
      <c r="F187" s="69"/>
      <c r="G187" s="70"/>
      <c r="H187" s="69"/>
      <c r="I187" s="69"/>
      <c r="J187" s="69"/>
      <c r="K187" s="69"/>
      <c r="L187" s="69"/>
      <c r="M187" s="69"/>
      <c r="N187" s="69"/>
      <c r="O187" s="69"/>
      <c r="P187" s="69"/>
      <c r="Q187" s="69"/>
      <c r="R187" s="69"/>
      <c r="S187" s="69"/>
      <c r="T187" s="69"/>
      <c r="U187" s="69"/>
      <c r="V187" s="69"/>
      <c r="W187" s="69"/>
      <c r="X187" s="106"/>
      <c r="Y187" s="69"/>
      <c r="Z187" s="69"/>
      <c r="AA187" s="69"/>
      <c r="AB187" s="69"/>
      <c r="AC187" s="69"/>
      <c r="AD187" s="69"/>
      <c r="AE187" s="69"/>
      <c r="AF187" s="69"/>
      <c r="AG187" s="69"/>
      <c r="AH187" s="69"/>
      <c r="AI187" s="69"/>
      <c r="AJ187" s="69"/>
      <c r="AK187" s="69"/>
    </row>
    <row r="188" ht="15.75" customHeight="1" spans="1:37">
      <c r="A188" s="163"/>
      <c r="B188" s="69"/>
      <c r="C188" s="69"/>
      <c r="D188" s="69"/>
      <c r="E188" s="69"/>
      <c r="F188" s="69"/>
      <c r="G188" s="70"/>
      <c r="H188" s="69"/>
      <c r="I188" s="69"/>
      <c r="J188" s="69"/>
      <c r="K188" s="69"/>
      <c r="L188" s="69"/>
      <c r="M188" s="69"/>
      <c r="N188" s="69"/>
      <c r="O188" s="69"/>
      <c r="P188" s="69"/>
      <c r="Q188" s="69"/>
      <c r="R188" s="69"/>
      <c r="S188" s="69"/>
      <c r="T188" s="69"/>
      <c r="U188" s="69"/>
      <c r="V188" s="69"/>
      <c r="W188" s="69"/>
      <c r="X188" s="106"/>
      <c r="Y188" s="69"/>
      <c r="Z188" s="69"/>
      <c r="AA188" s="69"/>
      <c r="AB188" s="69"/>
      <c r="AC188" s="69"/>
      <c r="AD188" s="69"/>
      <c r="AE188" s="69"/>
      <c r="AF188" s="69"/>
      <c r="AG188" s="69"/>
      <c r="AH188" s="69"/>
      <c r="AI188" s="69"/>
      <c r="AJ188" s="69"/>
      <c r="AK188" s="69"/>
    </row>
    <row r="189" ht="15.75" customHeight="1" spans="1:37">
      <c r="A189" s="163"/>
      <c r="B189" s="69"/>
      <c r="C189" s="69"/>
      <c r="D189" s="69"/>
      <c r="E189" s="69"/>
      <c r="F189" s="69"/>
      <c r="G189" s="70"/>
      <c r="H189" s="69"/>
      <c r="I189" s="69"/>
      <c r="J189" s="69"/>
      <c r="K189" s="69"/>
      <c r="L189" s="69"/>
      <c r="M189" s="69"/>
      <c r="N189" s="69"/>
      <c r="O189" s="69"/>
      <c r="P189" s="69"/>
      <c r="Q189" s="69"/>
      <c r="R189" s="69"/>
      <c r="S189" s="69"/>
      <c r="T189" s="69"/>
      <c r="U189" s="69"/>
      <c r="V189" s="69"/>
      <c r="W189" s="69"/>
      <c r="X189" s="106"/>
      <c r="Y189" s="69"/>
      <c r="Z189" s="69"/>
      <c r="AA189" s="69"/>
      <c r="AB189" s="69"/>
      <c r="AC189" s="69"/>
      <c r="AD189" s="69"/>
      <c r="AE189" s="69"/>
      <c r="AF189" s="69"/>
      <c r="AG189" s="69"/>
      <c r="AH189" s="69"/>
      <c r="AI189" s="69"/>
      <c r="AJ189" s="69"/>
      <c r="AK189" s="69"/>
    </row>
    <row r="190" ht="15.75" customHeight="1" spans="1:37">
      <c r="A190" s="163"/>
      <c r="B190" s="69"/>
      <c r="C190" s="69"/>
      <c r="D190" s="69"/>
      <c r="E190" s="69"/>
      <c r="F190" s="69"/>
      <c r="G190" s="70"/>
      <c r="H190" s="69"/>
      <c r="I190" s="69"/>
      <c r="J190" s="69"/>
      <c r="K190" s="69"/>
      <c r="L190" s="69"/>
      <c r="M190" s="69"/>
      <c r="N190" s="69"/>
      <c r="O190" s="69"/>
      <c r="P190" s="69"/>
      <c r="Q190" s="69"/>
      <c r="R190" s="69"/>
      <c r="S190" s="69"/>
      <c r="T190" s="69"/>
      <c r="U190" s="69"/>
      <c r="V190" s="69"/>
      <c r="W190" s="69"/>
      <c r="X190" s="106"/>
      <c r="Y190" s="69"/>
      <c r="Z190" s="69"/>
      <c r="AA190" s="69"/>
      <c r="AB190" s="69"/>
      <c r="AC190" s="69"/>
      <c r="AD190" s="69"/>
      <c r="AE190" s="69"/>
      <c r="AF190" s="69"/>
      <c r="AG190" s="69"/>
      <c r="AH190" s="69"/>
      <c r="AI190" s="69"/>
      <c r="AJ190" s="69"/>
      <c r="AK190" s="69"/>
    </row>
    <row r="191" ht="15.75" customHeight="1" spans="1:37">
      <c r="A191" s="163"/>
      <c r="B191" s="69"/>
      <c r="C191" s="69"/>
      <c r="D191" s="69"/>
      <c r="E191" s="69"/>
      <c r="F191" s="69"/>
      <c r="G191" s="70"/>
      <c r="H191" s="69"/>
      <c r="I191" s="69"/>
      <c r="J191" s="69"/>
      <c r="K191" s="69"/>
      <c r="L191" s="69"/>
      <c r="M191" s="69"/>
      <c r="N191" s="69"/>
      <c r="O191" s="69"/>
      <c r="P191" s="69"/>
      <c r="Q191" s="69"/>
      <c r="R191" s="69"/>
      <c r="S191" s="69"/>
      <c r="T191" s="69"/>
      <c r="U191" s="69"/>
      <c r="V191" s="69"/>
      <c r="W191" s="69"/>
      <c r="X191" s="106"/>
      <c r="Y191" s="69"/>
      <c r="Z191" s="69"/>
      <c r="AA191" s="69"/>
      <c r="AB191" s="69"/>
      <c r="AC191" s="69"/>
      <c r="AD191" s="69"/>
      <c r="AE191" s="69"/>
      <c r="AF191" s="69"/>
      <c r="AG191" s="69"/>
      <c r="AH191" s="69"/>
      <c r="AI191" s="69"/>
      <c r="AJ191" s="69"/>
      <c r="AK191" s="69"/>
    </row>
    <row r="192" ht="15.75" customHeight="1" spans="1:37">
      <c r="A192" s="163"/>
      <c r="B192" s="69"/>
      <c r="C192" s="69"/>
      <c r="D192" s="69"/>
      <c r="E192" s="69"/>
      <c r="F192" s="69"/>
      <c r="G192" s="70"/>
      <c r="H192" s="69"/>
      <c r="I192" s="69"/>
      <c r="J192" s="69"/>
      <c r="K192" s="69"/>
      <c r="L192" s="69"/>
      <c r="M192" s="69"/>
      <c r="N192" s="69"/>
      <c r="O192" s="69"/>
      <c r="P192" s="69"/>
      <c r="Q192" s="69"/>
      <c r="R192" s="69"/>
      <c r="S192" s="69"/>
      <c r="T192" s="69"/>
      <c r="U192" s="69"/>
      <c r="V192" s="69"/>
      <c r="W192" s="69"/>
      <c r="X192" s="106"/>
      <c r="Y192" s="69"/>
      <c r="Z192" s="69"/>
      <c r="AA192" s="69"/>
      <c r="AB192" s="69"/>
      <c r="AC192" s="69"/>
      <c r="AD192" s="69"/>
      <c r="AE192" s="69"/>
      <c r="AF192" s="69"/>
      <c r="AG192" s="69"/>
      <c r="AH192" s="69"/>
      <c r="AI192" s="69"/>
      <c r="AJ192" s="69"/>
      <c r="AK192" s="69"/>
    </row>
    <row r="193" ht="15.75" customHeight="1" spans="1:37">
      <c r="A193" s="163"/>
      <c r="B193" s="69"/>
      <c r="C193" s="69"/>
      <c r="D193" s="69"/>
      <c r="E193" s="69"/>
      <c r="F193" s="69"/>
      <c r="G193" s="70"/>
      <c r="H193" s="69"/>
      <c r="I193" s="69"/>
      <c r="J193" s="69"/>
      <c r="K193" s="69"/>
      <c r="L193" s="69"/>
      <c r="M193" s="69"/>
      <c r="N193" s="69"/>
      <c r="O193" s="69"/>
      <c r="P193" s="69"/>
      <c r="Q193" s="69"/>
      <c r="R193" s="69"/>
      <c r="S193" s="69"/>
      <c r="T193" s="69"/>
      <c r="U193" s="69"/>
      <c r="V193" s="69"/>
      <c r="W193" s="69"/>
      <c r="X193" s="106"/>
      <c r="Y193" s="69"/>
      <c r="Z193" s="69"/>
      <c r="AA193" s="69"/>
      <c r="AB193" s="69"/>
      <c r="AC193" s="69"/>
      <c r="AD193" s="69"/>
      <c r="AE193" s="69"/>
      <c r="AF193" s="69"/>
      <c r="AG193" s="69"/>
      <c r="AH193" s="69"/>
      <c r="AI193" s="69"/>
      <c r="AJ193" s="69"/>
      <c r="AK193" s="69"/>
    </row>
    <row r="194" ht="15.75" customHeight="1" spans="1:37">
      <c r="A194" s="163"/>
      <c r="B194" s="69"/>
      <c r="C194" s="69"/>
      <c r="D194" s="69"/>
      <c r="E194" s="69"/>
      <c r="F194" s="69"/>
      <c r="G194" s="70"/>
      <c r="H194" s="69"/>
      <c r="I194" s="69"/>
      <c r="J194" s="69"/>
      <c r="K194" s="69"/>
      <c r="L194" s="69"/>
      <c r="M194" s="69"/>
      <c r="N194" s="69"/>
      <c r="O194" s="69"/>
      <c r="P194" s="69"/>
      <c r="Q194" s="69"/>
      <c r="R194" s="69"/>
      <c r="S194" s="69"/>
      <c r="T194" s="69"/>
      <c r="U194" s="69"/>
      <c r="V194" s="69"/>
      <c r="W194" s="69"/>
      <c r="X194" s="106"/>
      <c r="Y194" s="69"/>
      <c r="Z194" s="69"/>
      <c r="AA194" s="69"/>
      <c r="AB194" s="69"/>
      <c r="AC194" s="69"/>
      <c r="AD194" s="69"/>
      <c r="AE194" s="69"/>
      <c r="AF194" s="69"/>
      <c r="AG194" s="69"/>
      <c r="AH194" s="69"/>
      <c r="AI194" s="69"/>
      <c r="AJ194" s="69"/>
      <c r="AK194" s="69"/>
    </row>
    <row r="195" ht="15.75" customHeight="1" spans="1:37">
      <c r="A195" s="163"/>
      <c r="B195" s="69"/>
      <c r="C195" s="69"/>
      <c r="D195" s="69"/>
      <c r="E195" s="69"/>
      <c r="F195" s="69"/>
      <c r="G195" s="70"/>
      <c r="H195" s="69"/>
      <c r="I195" s="69"/>
      <c r="J195" s="69"/>
      <c r="K195" s="69"/>
      <c r="L195" s="69"/>
      <c r="M195" s="69"/>
      <c r="N195" s="69"/>
      <c r="O195" s="69"/>
      <c r="P195" s="69"/>
      <c r="Q195" s="69"/>
      <c r="R195" s="69"/>
      <c r="S195" s="69"/>
      <c r="T195" s="69"/>
      <c r="U195" s="69"/>
      <c r="V195" s="69"/>
      <c r="W195" s="69"/>
      <c r="X195" s="106"/>
      <c r="Y195" s="69"/>
      <c r="Z195" s="69"/>
      <c r="AA195" s="69"/>
      <c r="AB195" s="69"/>
      <c r="AC195" s="69"/>
      <c r="AD195" s="69"/>
      <c r="AE195" s="69"/>
      <c r="AF195" s="69"/>
      <c r="AG195" s="69"/>
      <c r="AH195" s="69"/>
      <c r="AI195" s="69"/>
      <c r="AJ195" s="69"/>
      <c r="AK195" s="69"/>
    </row>
    <row r="196" ht="15.75" customHeight="1" spans="1:37">
      <c r="A196" s="163"/>
      <c r="B196" s="69"/>
      <c r="C196" s="69"/>
      <c r="D196" s="69"/>
      <c r="E196" s="69"/>
      <c r="F196" s="69"/>
      <c r="G196" s="70"/>
      <c r="H196" s="69"/>
      <c r="I196" s="69"/>
      <c r="J196" s="69"/>
      <c r="K196" s="69"/>
      <c r="L196" s="69"/>
      <c r="M196" s="69"/>
      <c r="N196" s="69"/>
      <c r="O196" s="69"/>
      <c r="P196" s="69"/>
      <c r="Q196" s="69"/>
      <c r="R196" s="69"/>
      <c r="S196" s="69"/>
      <c r="T196" s="69"/>
      <c r="U196" s="69"/>
      <c r="V196" s="69"/>
      <c r="W196" s="69"/>
      <c r="X196" s="106"/>
      <c r="Y196" s="69"/>
      <c r="Z196" s="69"/>
      <c r="AA196" s="69"/>
      <c r="AB196" s="69"/>
      <c r="AC196" s="69"/>
      <c r="AD196" s="69"/>
      <c r="AE196" s="69"/>
      <c r="AF196" s="69"/>
      <c r="AG196" s="69"/>
      <c r="AH196" s="69"/>
      <c r="AI196" s="69"/>
      <c r="AJ196" s="69"/>
      <c r="AK196" s="69"/>
    </row>
    <row r="197" ht="15.75" customHeight="1" spans="1:37">
      <c r="A197" s="163"/>
      <c r="B197" s="69"/>
      <c r="C197" s="69"/>
      <c r="D197" s="69"/>
      <c r="E197" s="69"/>
      <c r="F197" s="69"/>
      <c r="G197" s="70"/>
      <c r="H197" s="69"/>
      <c r="I197" s="69"/>
      <c r="J197" s="69"/>
      <c r="K197" s="69"/>
      <c r="L197" s="69"/>
      <c r="M197" s="69"/>
      <c r="N197" s="69"/>
      <c r="O197" s="69"/>
      <c r="P197" s="69"/>
      <c r="Q197" s="69"/>
      <c r="R197" s="69"/>
      <c r="S197" s="69"/>
      <c r="T197" s="69"/>
      <c r="U197" s="69"/>
      <c r="V197" s="69"/>
      <c r="W197" s="69"/>
      <c r="X197" s="106"/>
      <c r="Y197" s="69"/>
      <c r="Z197" s="69"/>
      <c r="AA197" s="69"/>
      <c r="AB197" s="69"/>
      <c r="AC197" s="69"/>
      <c r="AD197" s="69"/>
      <c r="AE197" s="69"/>
      <c r="AF197" s="69"/>
      <c r="AG197" s="69"/>
      <c r="AH197" s="69"/>
      <c r="AI197" s="69"/>
      <c r="AJ197" s="69"/>
      <c r="AK197" s="69"/>
    </row>
    <row r="198" ht="15.75" customHeight="1" spans="1:37">
      <c r="A198" s="163"/>
      <c r="B198" s="69"/>
      <c r="C198" s="69"/>
      <c r="D198" s="69"/>
      <c r="E198" s="69"/>
      <c r="F198" s="69"/>
      <c r="G198" s="70"/>
      <c r="H198" s="69"/>
      <c r="I198" s="69"/>
      <c r="J198" s="69"/>
      <c r="K198" s="69"/>
      <c r="L198" s="69"/>
      <c r="M198" s="69"/>
      <c r="N198" s="69"/>
      <c r="O198" s="69"/>
      <c r="P198" s="69"/>
      <c r="Q198" s="69"/>
      <c r="R198" s="69"/>
      <c r="S198" s="69"/>
      <c r="T198" s="69"/>
      <c r="U198" s="69"/>
      <c r="V198" s="69"/>
      <c r="W198" s="69"/>
      <c r="X198" s="106"/>
      <c r="Y198" s="69"/>
      <c r="Z198" s="69"/>
      <c r="AA198" s="69"/>
      <c r="AB198" s="69"/>
      <c r="AC198" s="69"/>
      <c r="AD198" s="69"/>
      <c r="AE198" s="69"/>
      <c r="AF198" s="69"/>
      <c r="AG198" s="69"/>
      <c r="AH198" s="69"/>
      <c r="AI198" s="69"/>
      <c r="AJ198" s="69"/>
      <c r="AK198" s="69"/>
    </row>
    <row r="199" ht="15.75" customHeight="1" spans="1:37">
      <c r="A199" s="163"/>
      <c r="B199" s="69"/>
      <c r="C199" s="69"/>
      <c r="D199" s="69"/>
      <c r="E199" s="69"/>
      <c r="F199" s="69"/>
      <c r="G199" s="70"/>
      <c r="H199" s="69"/>
      <c r="I199" s="69"/>
      <c r="J199" s="69"/>
      <c r="K199" s="69"/>
      <c r="L199" s="69"/>
      <c r="M199" s="69"/>
      <c r="N199" s="69"/>
      <c r="O199" s="69"/>
      <c r="P199" s="69"/>
      <c r="Q199" s="69"/>
      <c r="R199" s="69"/>
      <c r="S199" s="69"/>
      <c r="T199" s="69"/>
      <c r="U199" s="69"/>
      <c r="V199" s="69"/>
      <c r="W199" s="69"/>
      <c r="X199" s="106"/>
      <c r="Y199" s="69"/>
      <c r="Z199" s="69"/>
      <c r="AA199" s="69"/>
      <c r="AB199" s="69"/>
      <c r="AC199" s="69"/>
      <c r="AD199" s="69"/>
      <c r="AE199" s="69"/>
      <c r="AF199" s="69"/>
      <c r="AG199" s="69"/>
      <c r="AH199" s="69"/>
      <c r="AI199" s="69"/>
      <c r="AJ199" s="69"/>
      <c r="AK199" s="69"/>
    </row>
    <row r="200" ht="15.75" customHeight="1" spans="1:37">
      <c r="A200" s="163"/>
      <c r="B200" s="69"/>
      <c r="C200" s="69"/>
      <c r="D200" s="69"/>
      <c r="E200" s="69"/>
      <c r="F200" s="69"/>
      <c r="G200" s="70"/>
      <c r="H200" s="69"/>
      <c r="I200" s="69"/>
      <c r="J200" s="69"/>
      <c r="K200" s="69"/>
      <c r="L200" s="69"/>
      <c r="M200" s="69"/>
      <c r="N200" s="69"/>
      <c r="O200" s="69"/>
      <c r="P200" s="69"/>
      <c r="Q200" s="69"/>
      <c r="R200" s="69"/>
      <c r="S200" s="69"/>
      <c r="T200" s="69"/>
      <c r="U200" s="69"/>
      <c r="V200" s="69"/>
      <c r="W200" s="69"/>
      <c r="X200" s="106"/>
      <c r="Y200" s="69"/>
      <c r="Z200" s="69"/>
      <c r="AA200" s="69"/>
      <c r="AB200" s="69"/>
      <c r="AC200" s="69"/>
      <c r="AD200" s="69"/>
      <c r="AE200" s="69"/>
      <c r="AF200" s="69"/>
      <c r="AG200" s="69"/>
      <c r="AH200" s="69"/>
      <c r="AI200" s="69"/>
      <c r="AJ200" s="69"/>
      <c r="AK200" s="69"/>
    </row>
    <row r="201" ht="15.75" customHeight="1" spans="1:37">
      <c r="A201" s="163"/>
      <c r="B201" s="69"/>
      <c r="C201" s="69"/>
      <c r="D201" s="69"/>
      <c r="E201" s="69"/>
      <c r="F201" s="69"/>
      <c r="G201" s="70"/>
      <c r="H201" s="69"/>
      <c r="I201" s="69"/>
      <c r="J201" s="69"/>
      <c r="K201" s="69"/>
      <c r="L201" s="69"/>
      <c r="M201" s="69"/>
      <c r="N201" s="69"/>
      <c r="O201" s="69"/>
      <c r="P201" s="69"/>
      <c r="Q201" s="69"/>
      <c r="R201" s="69"/>
      <c r="S201" s="69"/>
      <c r="T201" s="69"/>
      <c r="U201" s="69"/>
      <c r="V201" s="69"/>
      <c r="W201" s="69"/>
      <c r="X201" s="106"/>
      <c r="Y201" s="69"/>
      <c r="Z201" s="69"/>
      <c r="AA201" s="69"/>
      <c r="AB201" s="69"/>
      <c r="AC201" s="69"/>
      <c r="AD201" s="69"/>
      <c r="AE201" s="69"/>
      <c r="AF201" s="69"/>
      <c r="AG201" s="69"/>
      <c r="AH201" s="69"/>
      <c r="AI201" s="69"/>
      <c r="AJ201" s="69"/>
      <c r="AK201" s="69"/>
    </row>
    <row r="202" ht="15.75" customHeight="1" spans="1:37">
      <c r="A202" s="163"/>
      <c r="B202" s="69"/>
      <c r="C202" s="69"/>
      <c r="D202" s="69"/>
      <c r="E202" s="69"/>
      <c r="F202" s="69"/>
      <c r="G202" s="70"/>
      <c r="H202" s="69"/>
      <c r="I202" s="69"/>
      <c r="J202" s="69"/>
      <c r="K202" s="69"/>
      <c r="L202" s="69"/>
      <c r="M202" s="69"/>
      <c r="N202" s="69"/>
      <c r="O202" s="69"/>
      <c r="P202" s="69"/>
      <c r="Q202" s="69"/>
      <c r="R202" s="69"/>
      <c r="S202" s="69"/>
      <c r="T202" s="69"/>
      <c r="U202" s="69"/>
      <c r="V202" s="69"/>
      <c r="W202" s="69"/>
      <c r="X202" s="106"/>
      <c r="Y202" s="69"/>
      <c r="Z202" s="69"/>
      <c r="AA202" s="69"/>
      <c r="AB202" s="69"/>
      <c r="AC202" s="69"/>
      <c r="AD202" s="69"/>
      <c r="AE202" s="69"/>
      <c r="AF202" s="69"/>
      <c r="AG202" s="69"/>
      <c r="AH202" s="69"/>
      <c r="AI202" s="69"/>
      <c r="AJ202" s="69"/>
      <c r="AK202" s="69"/>
    </row>
    <row r="203" ht="15.75" customHeight="1" spans="1:37">
      <c r="A203" s="163"/>
      <c r="B203" s="69"/>
      <c r="C203" s="69"/>
      <c r="D203" s="69"/>
      <c r="E203" s="69"/>
      <c r="F203" s="69"/>
      <c r="G203" s="70"/>
      <c r="H203" s="69"/>
      <c r="I203" s="69"/>
      <c r="J203" s="69"/>
      <c r="K203" s="69"/>
      <c r="L203" s="69"/>
      <c r="M203" s="69"/>
      <c r="N203" s="69"/>
      <c r="O203" s="69"/>
      <c r="P203" s="69"/>
      <c r="Q203" s="69"/>
      <c r="R203" s="69"/>
      <c r="S203" s="69"/>
      <c r="T203" s="69"/>
      <c r="U203" s="69"/>
      <c r="V203" s="69"/>
      <c r="W203" s="69"/>
      <c r="X203" s="106"/>
      <c r="Y203" s="69"/>
      <c r="Z203" s="69"/>
      <c r="AA203" s="69"/>
      <c r="AB203" s="69"/>
      <c r="AC203" s="69"/>
      <c r="AD203" s="69"/>
      <c r="AE203" s="69"/>
      <c r="AF203" s="69"/>
      <c r="AG203" s="69"/>
      <c r="AH203" s="69"/>
      <c r="AI203" s="69"/>
      <c r="AJ203" s="69"/>
      <c r="AK203" s="69"/>
    </row>
    <row r="204" ht="15.75" customHeight="1" spans="1:37">
      <c r="A204" s="163"/>
      <c r="B204" s="69"/>
      <c r="C204" s="69"/>
      <c r="D204" s="69"/>
      <c r="E204" s="69"/>
      <c r="F204" s="69"/>
      <c r="G204" s="70"/>
      <c r="H204" s="69"/>
      <c r="I204" s="69"/>
      <c r="J204" s="69"/>
      <c r="K204" s="69"/>
      <c r="L204" s="69"/>
      <c r="M204" s="69"/>
      <c r="N204" s="69"/>
      <c r="O204" s="69"/>
      <c r="P204" s="69"/>
      <c r="Q204" s="69"/>
      <c r="R204" s="69"/>
      <c r="S204" s="69"/>
      <c r="T204" s="69"/>
      <c r="U204" s="69"/>
      <c r="V204" s="69"/>
      <c r="W204" s="69"/>
      <c r="X204" s="106"/>
      <c r="Y204" s="69"/>
      <c r="Z204" s="69"/>
      <c r="AA204" s="69"/>
      <c r="AB204" s="69"/>
      <c r="AC204" s="69"/>
      <c r="AD204" s="69"/>
      <c r="AE204" s="69"/>
      <c r="AF204" s="69"/>
      <c r="AG204" s="69"/>
      <c r="AH204" s="69"/>
      <c r="AI204" s="69"/>
      <c r="AJ204" s="69"/>
      <c r="AK204" s="69"/>
    </row>
    <row r="205" ht="15.75" customHeight="1" spans="1:37">
      <c r="A205" s="163"/>
      <c r="B205" s="69"/>
      <c r="C205" s="69"/>
      <c r="D205" s="69"/>
      <c r="E205" s="69"/>
      <c r="F205" s="69"/>
      <c r="G205" s="70"/>
      <c r="H205" s="69"/>
      <c r="I205" s="69"/>
      <c r="J205" s="69"/>
      <c r="K205" s="69"/>
      <c r="L205" s="69"/>
      <c r="M205" s="69"/>
      <c r="N205" s="69"/>
      <c r="O205" s="69"/>
      <c r="P205" s="69"/>
      <c r="Q205" s="69"/>
      <c r="R205" s="69"/>
      <c r="S205" s="69"/>
      <c r="T205" s="69"/>
      <c r="U205" s="69"/>
      <c r="V205" s="69"/>
      <c r="W205" s="69"/>
      <c r="X205" s="106"/>
      <c r="Y205" s="69"/>
      <c r="Z205" s="69"/>
      <c r="AA205" s="69"/>
      <c r="AB205" s="69"/>
      <c r="AC205" s="69"/>
      <c r="AD205" s="69"/>
      <c r="AE205" s="69"/>
      <c r="AF205" s="69"/>
      <c r="AG205" s="69"/>
      <c r="AH205" s="69"/>
      <c r="AI205" s="69"/>
      <c r="AJ205" s="69"/>
      <c r="AK205" s="69"/>
    </row>
    <row r="206" ht="15.75" customHeight="1" spans="1:37">
      <c r="A206" s="163"/>
      <c r="B206" s="69"/>
      <c r="C206" s="69"/>
      <c r="D206" s="69"/>
      <c r="E206" s="69"/>
      <c r="F206" s="69"/>
      <c r="G206" s="70"/>
      <c r="H206" s="69"/>
      <c r="I206" s="69"/>
      <c r="J206" s="69"/>
      <c r="K206" s="69"/>
      <c r="L206" s="69"/>
      <c r="M206" s="69"/>
      <c r="N206" s="69"/>
      <c r="O206" s="69"/>
      <c r="P206" s="69"/>
      <c r="Q206" s="69"/>
      <c r="R206" s="69"/>
      <c r="S206" s="69"/>
      <c r="T206" s="69"/>
      <c r="U206" s="69"/>
      <c r="V206" s="69"/>
      <c r="W206" s="69"/>
      <c r="X206" s="106"/>
      <c r="Y206" s="69"/>
      <c r="Z206" s="69"/>
      <c r="AA206" s="69"/>
      <c r="AB206" s="69"/>
      <c r="AC206" s="69"/>
      <c r="AD206" s="69"/>
      <c r="AE206" s="69"/>
      <c r="AF206" s="69"/>
      <c r="AG206" s="69"/>
      <c r="AH206" s="69"/>
      <c r="AI206" s="69"/>
      <c r="AJ206" s="69"/>
      <c r="AK206" s="69"/>
    </row>
    <row r="207" ht="15.75" customHeight="1" spans="1:37">
      <c r="A207" s="163"/>
      <c r="B207" s="69"/>
      <c r="C207" s="69"/>
      <c r="D207" s="69"/>
      <c r="E207" s="69"/>
      <c r="F207" s="69"/>
      <c r="G207" s="70"/>
      <c r="H207" s="69"/>
      <c r="I207" s="69"/>
      <c r="J207" s="69"/>
      <c r="K207" s="69"/>
      <c r="L207" s="69"/>
      <c r="M207" s="69"/>
      <c r="N207" s="69"/>
      <c r="O207" s="69"/>
      <c r="P207" s="69"/>
      <c r="Q207" s="69"/>
      <c r="R207" s="69"/>
      <c r="S207" s="69"/>
      <c r="T207" s="69"/>
      <c r="U207" s="69"/>
      <c r="V207" s="69"/>
      <c r="W207" s="69"/>
      <c r="X207" s="106"/>
      <c r="Y207" s="69"/>
      <c r="Z207" s="69"/>
      <c r="AA207" s="69"/>
      <c r="AB207" s="69"/>
      <c r="AC207" s="69"/>
      <c r="AD207" s="69"/>
      <c r="AE207" s="69"/>
      <c r="AF207" s="69"/>
      <c r="AG207" s="69"/>
      <c r="AH207" s="69"/>
      <c r="AI207" s="69"/>
      <c r="AJ207" s="69"/>
      <c r="AK207" s="69"/>
    </row>
    <row r="208" ht="15.75" customHeight="1" spans="1:37">
      <c r="A208" s="163"/>
      <c r="B208" s="69"/>
      <c r="C208" s="69"/>
      <c r="D208" s="69"/>
      <c r="E208" s="69"/>
      <c r="F208" s="69"/>
      <c r="G208" s="70"/>
      <c r="H208" s="69"/>
      <c r="I208" s="69"/>
      <c r="J208" s="69"/>
      <c r="K208" s="69"/>
      <c r="L208" s="69"/>
      <c r="M208" s="69"/>
      <c r="N208" s="69"/>
      <c r="O208" s="69"/>
      <c r="P208" s="69"/>
      <c r="Q208" s="69"/>
      <c r="R208" s="69"/>
      <c r="S208" s="69"/>
      <c r="T208" s="69"/>
      <c r="U208" s="69"/>
      <c r="V208" s="69"/>
      <c r="W208" s="69"/>
      <c r="X208" s="106"/>
      <c r="Y208" s="69"/>
      <c r="Z208" s="69"/>
      <c r="AA208" s="69"/>
      <c r="AB208" s="69"/>
      <c r="AC208" s="69"/>
      <c r="AD208" s="69"/>
      <c r="AE208" s="69"/>
      <c r="AF208" s="69"/>
      <c r="AG208" s="69"/>
      <c r="AH208" s="69"/>
      <c r="AI208" s="69"/>
      <c r="AJ208" s="69"/>
      <c r="AK208" s="69"/>
    </row>
    <row r="209" ht="15.75" customHeight="1" spans="1:37">
      <c r="A209" s="163"/>
      <c r="B209" s="69"/>
      <c r="C209" s="69"/>
      <c r="D209" s="69"/>
      <c r="E209" s="69"/>
      <c r="F209" s="69"/>
      <c r="G209" s="70"/>
      <c r="H209" s="69"/>
      <c r="I209" s="69"/>
      <c r="J209" s="69"/>
      <c r="K209" s="69"/>
      <c r="L209" s="69"/>
      <c r="M209" s="69"/>
      <c r="N209" s="69"/>
      <c r="O209" s="69"/>
      <c r="P209" s="69"/>
      <c r="Q209" s="69"/>
      <c r="R209" s="69"/>
      <c r="S209" s="69"/>
      <c r="T209" s="69"/>
      <c r="U209" s="69"/>
      <c r="V209" s="69"/>
      <c r="W209" s="69"/>
      <c r="X209" s="106"/>
      <c r="Y209" s="69"/>
      <c r="Z209" s="69"/>
      <c r="AA209" s="69"/>
      <c r="AB209" s="69"/>
      <c r="AC209" s="69"/>
      <c r="AD209" s="69"/>
      <c r="AE209" s="69"/>
      <c r="AF209" s="69"/>
      <c r="AG209" s="69"/>
      <c r="AH209" s="69"/>
      <c r="AI209" s="69"/>
      <c r="AJ209" s="69"/>
      <c r="AK209" s="69"/>
    </row>
    <row r="210" ht="15.75" customHeight="1" spans="1:37">
      <c r="A210" s="163"/>
      <c r="B210" s="69"/>
      <c r="C210" s="69"/>
      <c r="D210" s="69"/>
      <c r="E210" s="69"/>
      <c r="F210" s="69"/>
      <c r="G210" s="70"/>
      <c r="H210" s="69"/>
      <c r="I210" s="69"/>
      <c r="J210" s="69"/>
      <c r="K210" s="69"/>
      <c r="L210" s="69"/>
      <c r="M210" s="69"/>
      <c r="N210" s="69"/>
      <c r="O210" s="69"/>
      <c r="P210" s="69"/>
      <c r="Q210" s="69"/>
      <c r="R210" s="69"/>
      <c r="S210" s="69"/>
      <c r="T210" s="69"/>
      <c r="U210" s="69"/>
      <c r="V210" s="69"/>
      <c r="W210" s="69"/>
      <c r="X210" s="106"/>
      <c r="Y210" s="69"/>
      <c r="Z210" s="69"/>
      <c r="AA210" s="69"/>
      <c r="AB210" s="69"/>
      <c r="AC210" s="69"/>
      <c r="AD210" s="69"/>
      <c r="AE210" s="69"/>
      <c r="AF210" s="69"/>
      <c r="AG210" s="69"/>
      <c r="AH210" s="69"/>
      <c r="AI210" s="69"/>
      <c r="AJ210" s="69"/>
      <c r="AK210" s="69"/>
    </row>
    <row r="211" ht="15.75" customHeight="1" spans="1:37">
      <c r="A211" s="163"/>
      <c r="B211" s="69"/>
      <c r="C211" s="69"/>
      <c r="D211" s="69"/>
      <c r="E211" s="69"/>
      <c r="F211" s="69"/>
      <c r="G211" s="70"/>
      <c r="H211" s="69"/>
      <c r="I211" s="69"/>
      <c r="J211" s="69"/>
      <c r="K211" s="69"/>
      <c r="L211" s="69"/>
      <c r="M211" s="69"/>
      <c r="N211" s="69"/>
      <c r="O211" s="69"/>
      <c r="P211" s="69"/>
      <c r="Q211" s="69"/>
      <c r="R211" s="69"/>
      <c r="S211" s="69"/>
      <c r="T211" s="69"/>
      <c r="U211" s="69"/>
      <c r="V211" s="69"/>
      <c r="W211" s="69"/>
      <c r="X211" s="106"/>
      <c r="Y211" s="69"/>
      <c r="Z211" s="69"/>
      <c r="AA211" s="69"/>
      <c r="AB211" s="69"/>
      <c r="AC211" s="69"/>
      <c r="AD211" s="69"/>
      <c r="AE211" s="69"/>
      <c r="AF211" s="69"/>
      <c r="AG211" s="69"/>
      <c r="AH211" s="69"/>
      <c r="AI211" s="69"/>
      <c r="AJ211" s="69"/>
      <c r="AK211" s="69"/>
    </row>
    <row r="212" ht="15.75" customHeight="1" spans="1:37">
      <c r="A212" s="163"/>
      <c r="B212" s="69"/>
      <c r="C212" s="69"/>
      <c r="D212" s="69"/>
      <c r="E212" s="69"/>
      <c r="F212" s="69"/>
      <c r="G212" s="70"/>
      <c r="H212" s="69"/>
      <c r="I212" s="69"/>
      <c r="J212" s="69"/>
      <c r="K212" s="69"/>
      <c r="L212" s="69"/>
      <c r="M212" s="69"/>
      <c r="N212" s="69"/>
      <c r="O212" s="69"/>
      <c r="P212" s="69"/>
      <c r="Q212" s="69"/>
      <c r="R212" s="69"/>
      <c r="S212" s="69"/>
      <c r="T212" s="69"/>
      <c r="U212" s="69"/>
      <c r="V212" s="69"/>
      <c r="W212" s="69"/>
      <c r="X212" s="106"/>
      <c r="Y212" s="69"/>
      <c r="Z212" s="69"/>
      <c r="AA212" s="69"/>
      <c r="AB212" s="69"/>
      <c r="AC212" s="69"/>
      <c r="AD212" s="69"/>
      <c r="AE212" s="69"/>
      <c r="AF212" s="69"/>
      <c r="AG212" s="69"/>
      <c r="AH212" s="69"/>
      <c r="AI212" s="69"/>
      <c r="AJ212" s="69"/>
      <c r="AK212" s="69"/>
    </row>
    <row r="213" ht="15.75" customHeight="1" spans="1:37">
      <c r="A213" s="163"/>
      <c r="B213" s="69"/>
      <c r="C213" s="69"/>
      <c r="D213" s="69"/>
      <c r="E213" s="69"/>
      <c r="F213" s="69"/>
      <c r="G213" s="70"/>
      <c r="H213" s="69"/>
      <c r="I213" s="69"/>
      <c r="J213" s="69"/>
      <c r="K213" s="69"/>
      <c r="L213" s="69"/>
      <c r="M213" s="69"/>
      <c r="N213" s="69"/>
      <c r="O213" s="69"/>
      <c r="P213" s="69"/>
      <c r="Q213" s="69"/>
      <c r="R213" s="69"/>
      <c r="S213" s="69"/>
      <c r="T213" s="69"/>
      <c r="U213" s="69"/>
      <c r="V213" s="69"/>
      <c r="W213" s="69"/>
      <c r="X213" s="106"/>
      <c r="Y213" s="69"/>
      <c r="Z213" s="69"/>
      <c r="AA213" s="69"/>
      <c r="AB213" s="69"/>
      <c r="AC213" s="69"/>
      <c r="AD213" s="69"/>
      <c r="AE213" s="69"/>
      <c r="AF213" s="69"/>
      <c r="AG213" s="69"/>
      <c r="AH213" s="69"/>
      <c r="AI213" s="69"/>
      <c r="AJ213" s="69"/>
      <c r="AK213" s="69"/>
    </row>
    <row r="214" ht="15.75" customHeight="1" spans="1:37">
      <c r="A214" s="163"/>
      <c r="B214" s="69"/>
      <c r="C214" s="69"/>
      <c r="D214" s="69"/>
      <c r="E214" s="69"/>
      <c r="F214" s="69"/>
      <c r="G214" s="70"/>
      <c r="H214" s="69"/>
      <c r="I214" s="69"/>
      <c r="J214" s="69"/>
      <c r="K214" s="69"/>
      <c r="L214" s="69"/>
      <c r="M214" s="69"/>
      <c r="N214" s="69"/>
      <c r="O214" s="69"/>
      <c r="P214" s="69"/>
      <c r="Q214" s="69"/>
      <c r="R214" s="69"/>
      <c r="S214" s="69"/>
      <c r="T214" s="69"/>
      <c r="U214" s="69"/>
      <c r="V214" s="69"/>
      <c r="W214" s="69"/>
      <c r="X214" s="106"/>
      <c r="Y214" s="69"/>
      <c r="Z214" s="69"/>
      <c r="AA214" s="69"/>
      <c r="AB214" s="69"/>
      <c r="AC214" s="69"/>
      <c r="AD214" s="69"/>
      <c r="AE214" s="69"/>
      <c r="AF214" s="69"/>
      <c r="AG214" s="69"/>
      <c r="AH214" s="69"/>
      <c r="AI214" s="69"/>
      <c r="AJ214" s="69"/>
      <c r="AK214" s="69"/>
    </row>
    <row r="215" ht="15.75" customHeight="1" spans="1:37">
      <c r="A215" s="163"/>
      <c r="B215" s="69"/>
      <c r="C215" s="69"/>
      <c r="D215" s="69"/>
      <c r="E215" s="69"/>
      <c r="F215" s="69"/>
      <c r="G215" s="70"/>
      <c r="H215" s="69"/>
      <c r="I215" s="69"/>
      <c r="J215" s="69"/>
      <c r="K215" s="69"/>
      <c r="L215" s="69"/>
      <c r="M215" s="69"/>
      <c r="N215" s="69"/>
      <c r="O215" s="69"/>
      <c r="P215" s="69"/>
      <c r="Q215" s="69"/>
      <c r="R215" s="69"/>
      <c r="S215" s="69"/>
      <c r="T215" s="69"/>
      <c r="U215" s="69"/>
      <c r="V215" s="69"/>
      <c r="W215" s="69"/>
      <c r="X215" s="106"/>
      <c r="Y215" s="69"/>
      <c r="Z215" s="69"/>
      <c r="AA215" s="69"/>
      <c r="AB215" s="69"/>
      <c r="AC215" s="69"/>
      <c r="AD215" s="69"/>
      <c r="AE215" s="69"/>
      <c r="AF215" s="69"/>
      <c r="AG215" s="69"/>
      <c r="AH215" s="69"/>
      <c r="AI215" s="69"/>
      <c r="AJ215" s="69"/>
      <c r="AK215" s="69"/>
    </row>
    <row r="216" ht="15.75" customHeight="1" spans="1:37">
      <c r="A216" s="163"/>
      <c r="B216" s="69"/>
      <c r="C216" s="69"/>
      <c r="D216" s="69"/>
      <c r="E216" s="69"/>
      <c r="F216" s="69"/>
      <c r="G216" s="70"/>
      <c r="H216" s="69"/>
      <c r="I216" s="69"/>
      <c r="J216" s="69"/>
      <c r="K216" s="69"/>
      <c r="L216" s="69"/>
      <c r="M216" s="69"/>
      <c r="N216" s="69"/>
      <c r="O216" s="69"/>
      <c r="P216" s="69"/>
      <c r="Q216" s="69"/>
      <c r="R216" s="69"/>
      <c r="S216" s="69"/>
      <c r="T216" s="69"/>
      <c r="U216" s="69"/>
      <c r="V216" s="69"/>
      <c r="W216" s="69"/>
      <c r="X216" s="106"/>
      <c r="Y216" s="69"/>
      <c r="Z216" s="69"/>
      <c r="AA216" s="69"/>
      <c r="AB216" s="69"/>
      <c r="AC216" s="69"/>
      <c r="AD216" s="69"/>
      <c r="AE216" s="69"/>
      <c r="AF216" s="69"/>
      <c r="AG216" s="69"/>
      <c r="AH216" s="69"/>
      <c r="AI216" s="69"/>
      <c r="AJ216" s="69"/>
      <c r="AK216" s="69"/>
    </row>
    <row r="217" ht="15.75" customHeight="1" spans="1:37">
      <c r="A217" s="163"/>
      <c r="B217" s="69"/>
      <c r="C217" s="69"/>
      <c r="D217" s="69"/>
      <c r="E217" s="69"/>
      <c r="F217" s="69"/>
      <c r="G217" s="70"/>
      <c r="H217" s="69"/>
      <c r="I217" s="69"/>
      <c r="J217" s="69"/>
      <c r="K217" s="69"/>
      <c r="L217" s="69"/>
      <c r="M217" s="69"/>
      <c r="N217" s="69"/>
      <c r="O217" s="69"/>
      <c r="P217" s="69"/>
      <c r="Q217" s="69"/>
      <c r="R217" s="69"/>
      <c r="S217" s="69"/>
      <c r="T217" s="69"/>
      <c r="U217" s="69"/>
      <c r="V217" s="69"/>
      <c r="W217" s="69"/>
      <c r="X217" s="106"/>
      <c r="Y217" s="69"/>
      <c r="Z217" s="69"/>
      <c r="AA217" s="69"/>
      <c r="AB217" s="69"/>
      <c r="AC217" s="69"/>
      <c r="AD217" s="69"/>
      <c r="AE217" s="69"/>
      <c r="AF217" s="69"/>
      <c r="AG217" s="69"/>
      <c r="AH217" s="69"/>
      <c r="AI217" s="69"/>
      <c r="AJ217" s="69"/>
      <c r="AK217" s="69"/>
    </row>
    <row r="218" ht="15.75" customHeight="1" spans="1:37">
      <c r="A218" s="163"/>
      <c r="B218" s="69"/>
      <c r="C218" s="69"/>
      <c r="D218" s="69"/>
      <c r="E218" s="69"/>
      <c r="F218" s="69"/>
      <c r="G218" s="70"/>
      <c r="H218" s="69"/>
      <c r="I218" s="69"/>
      <c r="J218" s="69"/>
      <c r="K218" s="69"/>
      <c r="L218" s="69"/>
      <c r="M218" s="69"/>
      <c r="N218" s="69"/>
      <c r="O218" s="69"/>
      <c r="P218" s="69"/>
      <c r="Q218" s="69"/>
      <c r="R218" s="69"/>
      <c r="S218" s="69"/>
      <c r="T218" s="69"/>
      <c r="U218" s="69"/>
      <c r="V218" s="69"/>
      <c r="W218" s="69"/>
      <c r="X218" s="106"/>
      <c r="Y218" s="69"/>
      <c r="Z218" s="69"/>
      <c r="AA218" s="69"/>
      <c r="AB218" s="69"/>
      <c r="AC218" s="69"/>
      <c r="AD218" s="69"/>
      <c r="AE218" s="69"/>
      <c r="AF218" s="69"/>
      <c r="AG218" s="69"/>
      <c r="AH218" s="69"/>
      <c r="AI218" s="69"/>
      <c r="AJ218" s="69"/>
      <c r="AK218" s="69"/>
    </row>
    <row r="219" ht="15.75" customHeight="1" spans="1:37">
      <c r="A219" s="163"/>
      <c r="B219" s="69"/>
      <c r="C219" s="69"/>
      <c r="D219" s="69"/>
      <c r="E219" s="69"/>
      <c r="F219" s="69"/>
      <c r="G219" s="70"/>
      <c r="H219" s="69"/>
      <c r="I219" s="69"/>
      <c r="J219" s="69"/>
      <c r="K219" s="69"/>
      <c r="L219" s="69"/>
      <c r="M219" s="69"/>
      <c r="N219" s="69"/>
      <c r="O219" s="69"/>
      <c r="P219" s="69"/>
      <c r="Q219" s="69"/>
      <c r="R219" s="69"/>
      <c r="S219" s="69"/>
      <c r="T219" s="69"/>
      <c r="U219" s="69"/>
      <c r="V219" s="69"/>
      <c r="W219" s="69"/>
      <c r="X219" s="106"/>
      <c r="Y219" s="69"/>
      <c r="Z219" s="69"/>
      <c r="AA219" s="69"/>
      <c r="AB219" s="69"/>
      <c r="AC219" s="69"/>
      <c r="AD219" s="69"/>
      <c r="AE219" s="69"/>
      <c r="AF219" s="69"/>
      <c r="AG219" s="69"/>
      <c r="AH219" s="69"/>
      <c r="AI219" s="69"/>
      <c r="AJ219" s="69"/>
      <c r="AK219" s="69"/>
    </row>
    <row r="220" ht="15.75" customHeight="1" spans="1:37">
      <c r="A220" s="163"/>
      <c r="B220" s="69"/>
      <c r="C220" s="69"/>
      <c r="D220" s="69"/>
      <c r="E220" s="69"/>
      <c r="F220" s="69"/>
      <c r="G220" s="70"/>
      <c r="H220" s="69"/>
      <c r="I220" s="69"/>
      <c r="J220" s="69"/>
      <c r="K220" s="69"/>
      <c r="L220" s="69"/>
      <c r="M220" s="69"/>
      <c r="N220" s="69"/>
      <c r="O220" s="69"/>
      <c r="P220" s="69"/>
      <c r="Q220" s="69"/>
      <c r="R220" s="69"/>
      <c r="S220" s="69"/>
      <c r="T220" s="69"/>
      <c r="U220" s="69"/>
      <c r="V220" s="69"/>
      <c r="W220" s="69"/>
      <c r="X220" s="106"/>
      <c r="Y220" s="69"/>
      <c r="Z220" s="69"/>
      <c r="AA220" s="69"/>
      <c r="AB220" s="69"/>
      <c r="AC220" s="69"/>
      <c r="AD220" s="69"/>
      <c r="AE220" s="69"/>
      <c r="AF220" s="69"/>
      <c r="AG220" s="69"/>
      <c r="AH220" s="69"/>
      <c r="AI220" s="69"/>
      <c r="AJ220" s="69"/>
      <c r="AK220" s="69"/>
    </row>
    <row r="221" ht="15.75" customHeight="1" spans="1:37">
      <c r="A221" s="163"/>
      <c r="B221" s="69"/>
      <c r="C221" s="69"/>
      <c r="D221" s="69"/>
      <c r="E221" s="69"/>
      <c r="F221" s="69"/>
      <c r="G221" s="70"/>
      <c r="H221" s="69"/>
      <c r="I221" s="69"/>
      <c r="J221" s="69"/>
      <c r="K221" s="69"/>
      <c r="L221" s="69"/>
      <c r="M221" s="69"/>
      <c r="N221" s="69"/>
      <c r="O221" s="69"/>
      <c r="P221" s="69"/>
      <c r="Q221" s="69"/>
      <c r="R221" s="69"/>
      <c r="S221" s="69"/>
      <c r="T221" s="69"/>
      <c r="U221" s="69"/>
      <c r="V221" s="69"/>
      <c r="W221" s="69"/>
      <c r="X221" s="106"/>
      <c r="Y221" s="69"/>
      <c r="Z221" s="69"/>
      <c r="AA221" s="69"/>
      <c r="AB221" s="69"/>
      <c r="AC221" s="69"/>
      <c r="AD221" s="69"/>
      <c r="AE221" s="69"/>
      <c r="AF221" s="69"/>
      <c r="AG221" s="69"/>
      <c r="AH221" s="69"/>
      <c r="AI221" s="69"/>
      <c r="AJ221" s="69"/>
      <c r="AK221" s="69"/>
    </row>
    <row r="222" ht="15.75" customHeight="1" spans="1:37">
      <c r="A222" s="163"/>
      <c r="B222" s="69"/>
      <c r="C222" s="69"/>
      <c r="D222" s="69"/>
      <c r="E222" s="69"/>
      <c r="F222" s="69"/>
      <c r="G222" s="70"/>
      <c r="H222" s="69"/>
      <c r="I222" s="69"/>
      <c r="J222" s="69"/>
      <c r="K222" s="69"/>
      <c r="L222" s="69"/>
      <c r="M222" s="69"/>
      <c r="N222" s="69"/>
      <c r="O222" s="69"/>
      <c r="P222" s="69"/>
      <c r="Q222" s="69"/>
      <c r="R222" s="69"/>
      <c r="S222" s="69"/>
      <c r="T222" s="69"/>
      <c r="U222" s="69"/>
      <c r="V222" s="69"/>
      <c r="W222" s="69"/>
      <c r="X222" s="106"/>
      <c r="Y222" s="69"/>
      <c r="Z222" s="69"/>
      <c r="AA222" s="69"/>
      <c r="AB222" s="69"/>
      <c r="AC222" s="69"/>
      <c r="AD222" s="69"/>
      <c r="AE222" s="69"/>
      <c r="AF222" s="69"/>
      <c r="AG222" s="69"/>
      <c r="AH222" s="69"/>
      <c r="AI222" s="69"/>
      <c r="AJ222" s="69"/>
      <c r="AK222" s="69"/>
    </row>
    <row r="223" ht="15.75" customHeight="1" spans="1:37">
      <c r="A223" s="163"/>
      <c r="B223" s="69"/>
      <c r="C223" s="69"/>
      <c r="D223" s="69"/>
      <c r="E223" s="69"/>
      <c r="F223" s="69"/>
      <c r="G223" s="70"/>
      <c r="H223" s="69"/>
      <c r="I223" s="69"/>
      <c r="J223" s="69"/>
      <c r="K223" s="69"/>
      <c r="L223" s="69"/>
      <c r="M223" s="69"/>
      <c r="N223" s="69"/>
      <c r="O223" s="69"/>
      <c r="P223" s="69"/>
      <c r="Q223" s="69"/>
      <c r="R223" s="69"/>
      <c r="S223" s="69"/>
      <c r="T223" s="69"/>
      <c r="U223" s="69"/>
      <c r="V223" s="69"/>
      <c r="W223" s="69"/>
      <c r="X223" s="106"/>
      <c r="Y223" s="69"/>
      <c r="Z223" s="69"/>
      <c r="AA223" s="69"/>
      <c r="AB223" s="69"/>
      <c r="AC223" s="69"/>
      <c r="AD223" s="69"/>
      <c r="AE223" s="69"/>
      <c r="AF223" s="69"/>
      <c r="AG223" s="69"/>
      <c r="AH223" s="69"/>
      <c r="AI223" s="69"/>
      <c r="AJ223" s="69"/>
      <c r="AK223" s="69"/>
    </row>
    <row r="224" ht="15.75" customHeight="1" spans="1:37">
      <c r="A224" s="163"/>
      <c r="B224" s="69"/>
      <c r="C224" s="69"/>
      <c r="D224" s="69"/>
      <c r="E224" s="69"/>
      <c r="F224" s="69"/>
      <c r="G224" s="70"/>
      <c r="H224" s="69"/>
      <c r="I224" s="69"/>
      <c r="J224" s="69"/>
      <c r="K224" s="69"/>
      <c r="L224" s="69"/>
      <c r="M224" s="69"/>
      <c r="N224" s="69"/>
      <c r="O224" s="69"/>
      <c r="P224" s="69"/>
      <c r="Q224" s="69"/>
      <c r="R224" s="69"/>
      <c r="S224" s="69"/>
      <c r="T224" s="69"/>
      <c r="U224" s="69"/>
      <c r="V224" s="69"/>
      <c r="W224" s="69"/>
      <c r="X224" s="106"/>
      <c r="Y224" s="69"/>
      <c r="Z224" s="69"/>
      <c r="AA224" s="69"/>
      <c r="AB224" s="69"/>
      <c r="AC224" s="69"/>
      <c r="AD224" s="69"/>
      <c r="AE224" s="69"/>
      <c r="AF224" s="69"/>
      <c r="AG224" s="69"/>
      <c r="AH224" s="69"/>
      <c r="AI224" s="69"/>
      <c r="AJ224" s="69"/>
      <c r="AK224" s="69"/>
    </row>
    <row r="225" ht="15.75" customHeight="1" spans="1:37">
      <c r="A225" s="163"/>
      <c r="B225" s="69"/>
      <c r="C225" s="69"/>
      <c r="D225" s="69"/>
      <c r="E225" s="69"/>
      <c r="F225" s="69"/>
      <c r="G225" s="70"/>
      <c r="H225" s="69"/>
      <c r="I225" s="69"/>
      <c r="J225" s="69"/>
      <c r="K225" s="69"/>
      <c r="L225" s="69"/>
      <c r="M225" s="69"/>
      <c r="N225" s="69"/>
      <c r="O225" s="69"/>
      <c r="P225" s="69"/>
      <c r="Q225" s="69"/>
      <c r="R225" s="69"/>
      <c r="S225" s="69"/>
      <c r="T225" s="69"/>
      <c r="U225" s="69"/>
      <c r="V225" s="69"/>
      <c r="W225" s="69"/>
      <c r="X225" s="106"/>
      <c r="Y225" s="69"/>
      <c r="Z225" s="69"/>
      <c r="AA225" s="69"/>
      <c r="AB225" s="69"/>
      <c r="AC225" s="69"/>
      <c r="AD225" s="69"/>
      <c r="AE225" s="69"/>
      <c r="AF225" s="69"/>
      <c r="AG225" s="69"/>
      <c r="AH225" s="69"/>
      <c r="AI225" s="69"/>
      <c r="AJ225" s="69"/>
      <c r="AK225" s="69"/>
    </row>
    <row r="226" ht="15.75" customHeight="1" spans="1:37">
      <c r="A226" s="172"/>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row>
    <row r="227" ht="15.75" customHeight="1" spans="1:37">
      <c r="A227" s="172"/>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row>
    <row r="228" ht="15.75" customHeight="1" spans="1:37">
      <c r="A228" s="172"/>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row>
    <row r="229" ht="15.75" customHeight="1" spans="1:37">
      <c r="A229" s="172"/>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row>
    <row r="230" ht="15.75" customHeight="1" spans="1:37">
      <c r="A230" s="172"/>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row>
    <row r="231" ht="15.75" customHeight="1" spans="1:37">
      <c r="A231" s="172"/>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row>
    <row r="232" ht="15.75" customHeight="1" spans="1:37">
      <c r="A232" s="172"/>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row>
    <row r="233" ht="15.75" customHeight="1" spans="1:37">
      <c r="A233" s="172"/>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row>
    <row r="234" ht="15.75" customHeight="1" spans="1:37">
      <c r="A234" s="172"/>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row>
    <row r="235" ht="15.75" customHeight="1" spans="1:37">
      <c r="A235" s="172"/>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row>
    <row r="236" ht="15.75" customHeight="1" spans="1:37">
      <c r="A236" s="172"/>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row>
    <row r="237" ht="15.75" customHeight="1" spans="1:37">
      <c r="A237" s="172"/>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row>
    <row r="238" ht="15.75" customHeight="1" spans="1:37">
      <c r="A238" s="172"/>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row>
    <row r="239" ht="15.75" customHeight="1" spans="1:37">
      <c r="A239" s="172"/>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row>
    <row r="240" ht="15.75" customHeight="1" spans="1:37">
      <c r="A240" s="172"/>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row>
    <row r="241" ht="15.75" customHeight="1" spans="1:37">
      <c r="A241" s="172"/>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row>
    <row r="242" ht="15.75" customHeight="1" spans="1:37">
      <c r="A242" s="172"/>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row>
    <row r="243" ht="15.75" customHeight="1" spans="1:37">
      <c r="A243" s="172"/>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row>
    <row r="244" ht="15.75" customHeight="1" spans="1:37">
      <c r="A244" s="172"/>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row>
    <row r="245" ht="15.75" customHeight="1" spans="1:37">
      <c r="A245" s="172"/>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row>
    <row r="246" ht="15.75" customHeight="1" spans="1:37">
      <c r="A246" s="172"/>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row>
    <row r="247" ht="15.75" customHeight="1" spans="1:37">
      <c r="A247" s="172"/>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row>
    <row r="248" ht="15.75" customHeight="1" spans="1:37">
      <c r="A248" s="172"/>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row>
    <row r="249" ht="15.75" customHeight="1" spans="1:37">
      <c r="A249" s="172"/>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row>
    <row r="250" ht="15.75" customHeight="1" spans="1:37">
      <c r="A250" s="172"/>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row>
    <row r="251" ht="15.75" customHeight="1" spans="1:37">
      <c r="A251" s="172"/>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row>
    <row r="252" ht="15.75" customHeight="1" spans="1:37">
      <c r="A252" s="172"/>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row>
    <row r="253" ht="15.75" customHeight="1" spans="1:37">
      <c r="A253" s="172"/>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row>
    <row r="254" ht="15.75" customHeight="1" spans="1:37">
      <c r="A254" s="172"/>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row>
    <row r="255" ht="15.75" customHeight="1" spans="1:37">
      <c r="A255" s="172"/>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row>
    <row r="256" ht="15.75" customHeight="1" spans="1:37">
      <c r="A256" s="172"/>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row>
    <row r="257" ht="15.75" customHeight="1" spans="1:37">
      <c r="A257" s="172"/>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row>
    <row r="258" ht="15.75" customHeight="1" spans="1:37">
      <c r="A258" s="172"/>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row>
    <row r="259" ht="15.75" customHeight="1" spans="1:37">
      <c r="A259" s="172"/>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row>
    <row r="260" ht="15.75" customHeight="1" spans="1:37">
      <c r="A260" s="172"/>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row>
    <row r="261" ht="15.75" customHeight="1" spans="1:37">
      <c r="A261" s="172"/>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row>
    <row r="262" ht="15.75" customHeight="1" spans="1:37">
      <c r="A262" s="172"/>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row>
    <row r="263" ht="15.75" customHeight="1" spans="1:37">
      <c r="A263" s="172"/>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row>
    <row r="264" ht="15.75" customHeight="1" spans="1:37">
      <c r="A264" s="172"/>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row>
    <row r="265" ht="15.75" customHeight="1" spans="1:37">
      <c r="A265" s="172"/>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row>
    <row r="266" ht="15.75" customHeight="1" spans="1:37">
      <c r="A266" s="172"/>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row>
    <row r="267" ht="15.75" customHeight="1" spans="1:37">
      <c r="A267" s="172"/>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row>
    <row r="268" ht="15.75" customHeight="1" spans="1:37">
      <c r="A268" s="172"/>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row>
    <row r="269" ht="15.75" customHeight="1" spans="1:37">
      <c r="A269" s="172"/>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row>
    <row r="270" ht="15.75" customHeight="1" spans="1:37">
      <c r="A270" s="172"/>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row>
    <row r="271" ht="15.75" customHeight="1" spans="1:37">
      <c r="A271" s="172"/>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row>
    <row r="272" ht="15.75" customHeight="1" spans="1:37">
      <c r="A272" s="172"/>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row>
    <row r="273" ht="15.75" customHeight="1" spans="1:37">
      <c r="A273" s="172"/>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row>
    <row r="274" ht="15.75" customHeight="1" spans="1:37">
      <c r="A274" s="172"/>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row>
    <row r="275" ht="15.75" customHeight="1" spans="1:37">
      <c r="A275" s="172"/>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row>
    <row r="276" ht="15.75" customHeight="1" spans="1:37">
      <c r="A276" s="172"/>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row>
    <row r="277" ht="15.75" customHeight="1" spans="1:37">
      <c r="A277" s="172"/>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row>
    <row r="278" ht="15.75" customHeight="1" spans="1:37">
      <c r="A278" s="172"/>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row>
    <row r="279" ht="15.75" customHeight="1" spans="1:37">
      <c r="A279" s="172"/>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row>
    <row r="280" ht="15.75" customHeight="1" spans="1:37">
      <c r="A280" s="172"/>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row>
    <row r="281" ht="15.75" customHeight="1" spans="1:37">
      <c r="A281" s="172"/>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row>
    <row r="282" ht="15.75" customHeight="1" spans="1:37">
      <c r="A282" s="172"/>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row>
    <row r="283" ht="15.75" customHeight="1" spans="1:37">
      <c r="A283" s="17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row>
    <row r="284" ht="15.75" customHeight="1" spans="1:37">
      <c r="A284" s="172"/>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row>
    <row r="285" ht="15.75" customHeight="1" spans="1:37">
      <c r="A285" s="172"/>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row>
    <row r="286" ht="15.75" customHeight="1" spans="1:37">
      <c r="A286" s="172"/>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row>
    <row r="287" ht="15.75" customHeight="1" spans="1:37">
      <c r="A287" s="172"/>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row>
    <row r="288" ht="15.75" customHeight="1" spans="1:37">
      <c r="A288" s="172"/>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row>
    <row r="289" ht="15.75" customHeight="1" spans="1:37">
      <c r="A289" s="172"/>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row>
    <row r="290" ht="15.75" customHeight="1" spans="1:37">
      <c r="A290" s="172"/>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row>
    <row r="291" ht="15.75" customHeight="1" spans="1:37">
      <c r="A291" s="172"/>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row>
    <row r="292" ht="15.75" customHeight="1" spans="1:37">
      <c r="A292" s="172"/>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row>
    <row r="293" ht="15.75" customHeight="1" spans="1:37">
      <c r="A293" s="172"/>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row>
    <row r="294" ht="15.75" customHeight="1" spans="1:37">
      <c r="A294" s="172"/>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row>
    <row r="295" ht="15.75" customHeight="1" spans="1:37">
      <c r="A295" s="172"/>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row>
    <row r="296" ht="15.75" customHeight="1" spans="1:37">
      <c r="A296" s="172"/>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row>
    <row r="297" ht="15.75" customHeight="1" spans="1:37">
      <c r="A297" s="172"/>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row>
    <row r="298" ht="15.75" customHeight="1" spans="1:37">
      <c r="A298" s="172"/>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row>
    <row r="299" ht="15.75" customHeight="1" spans="1:37">
      <c r="A299" s="172"/>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row>
    <row r="300" ht="15.75" customHeight="1" spans="1:37">
      <c r="A300" s="172"/>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row>
    <row r="301" ht="15.75" customHeight="1" spans="1:37">
      <c r="A301" s="172"/>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row>
    <row r="302" ht="15.75" customHeight="1" spans="1:37">
      <c r="A302" s="172"/>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row>
    <row r="303" ht="15.75" customHeight="1" spans="1:37">
      <c r="A303" s="172"/>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row>
    <row r="304" ht="15.75" customHeight="1" spans="1:37">
      <c r="A304" s="172"/>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row>
    <row r="305" ht="15.75" customHeight="1" spans="1:37">
      <c r="A305" s="172"/>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row>
    <row r="306" ht="15.75" customHeight="1" spans="1:37">
      <c r="A306" s="172"/>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row>
    <row r="307" ht="15.75" customHeight="1" spans="1:37">
      <c r="A307" s="172"/>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row>
    <row r="308" ht="15.75" customHeight="1" spans="1:37">
      <c r="A308" s="172"/>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row>
    <row r="309" ht="15.75" customHeight="1" spans="1:37">
      <c r="A309" s="172"/>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row>
    <row r="310" ht="15.75" customHeight="1" spans="1:37">
      <c r="A310" s="172"/>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row>
    <row r="311" ht="15.75" customHeight="1" spans="1:37">
      <c r="A311" s="172"/>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row>
    <row r="312" ht="15.75" customHeight="1" spans="1:37">
      <c r="A312" s="172"/>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row>
    <row r="313" ht="15.75" customHeight="1" spans="1:37">
      <c r="A313" s="172"/>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row>
    <row r="314" ht="15.75" customHeight="1" spans="1:37">
      <c r="A314" s="172"/>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row>
    <row r="315" ht="15.75" customHeight="1" spans="1:37">
      <c r="A315" s="172"/>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row>
    <row r="316" ht="15.75" customHeight="1" spans="1:37">
      <c r="A316" s="172"/>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row>
    <row r="317" ht="15.75" customHeight="1" spans="1:37">
      <c r="A317" s="172"/>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row>
    <row r="318" ht="15.75" customHeight="1" spans="1:37">
      <c r="A318" s="172"/>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row>
    <row r="319" ht="15.75" customHeight="1" spans="1:37">
      <c r="A319" s="172"/>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row>
    <row r="320" ht="15.75" customHeight="1" spans="1:37">
      <c r="A320" s="172"/>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row>
    <row r="321" ht="15.75" customHeight="1" spans="1:37">
      <c r="A321" s="172"/>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row>
    <row r="322" ht="15.75" customHeight="1" spans="1:37">
      <c r="A322" s="172"/>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row>
    <row r="323" ht="15.75" customHeight="1" spans="1:37">
      <c r="A323" s="172"/>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row>
    <row r="324" ht="15.75" customHeight="1" spans="1:37">
      <c r="A324" s="172"/>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row>
    <row r="325" ht="15.75" customHeight="1" spans="1:37">
      <c r="A325" s="172"/>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row>
    <row r="326" ht="15.75" customHeight="1" spans="1:37">
      <c r="A326" s="172"/>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row>
    <row r="327" ht="15.75" customHeight="1" spans="1:37">
      <c r="A327" s="172"/>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row>
    <row r="328" ht="15.75" customHeight="1" spans="1:37">
      <c r="A328" s="172"/>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row>
    <row r="329" ht="15.75" customHeight="1" spans="1:37">
      <c r="A329" s="172"/>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row>
    <row r="330" ht="15.75" customHeight="1" spans="1:37">
      <c r="A330" s="172"/>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row>
    <row r="331" ht="15.75" customHeight="1" spans="1:37">
      <c r="A331" s="172"/>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row>
    <row r="332" ht="15.75" customHeight="1" spans="1:37">
      <c r="A332" s="172"/>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row>
    <row r="333" ht="15.75" customHeight="1" spans="1:37">
      <c r="A333" s="172"/>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row>
    <row r="334" ht="15.75" customHeight="1" spans="1:37">
      <c r="A334" s="172"/>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row>
    <row r="335" ht="15.75" customHeight="1" spans="1:37">
      <c r="A335" s="172"/>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row>
    <row r="336" ht="15.75" customHeight="1" spans="1:37">
      <c r="A336" s="172"/>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row>
    <row r="337" ht="15.75" customHeight="1" spans="1:37">
      <c r="A337" s="172"/>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row>
    <row r="338" ht="15.75" customHeight="1" spans="1:37">
      <c r="A338" s="172"/>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row>
    <row r="339" ht="15.75" customHeight="1" spans="1:37">
      <c r="A339" s="172"/>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row>
    <row r="340" ht="15.75" customHeight="1" spans="1:37">
      <c r="A340" s="172"/>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row>
    <row r="341" ht="15.75" customHeight="1" spans="1:37">
      <c r="A341" s="172"/>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row>
    <row r="342" ht="15.75" customHeight="1" spans="1:37">
      <c r="A342" s="172"/>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row>
    <row r="343" ht="15.75" customHeight="1" spans="1:37">
      <c r="A343" s="172"/>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row>
    <row r="344" ht="15.75" customHeight="1" spans="1:37">
      <c r="A344" s="172"/>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row>
    <row r="345" ht="15.75" customHeight="1" spans="1:37">
      <c r="A345" s="172"/>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row>
    <row r="346" ht="15.75" customHeight="1" spans="1:37">
      <c r="A346" s="172"/>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row>
    <row r="347" ht="15.75" customHeight="1" spans="1:37">
      <c r="A347" s="172"/>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row>
    <row r="348" ht="15.75" customHeight="1" spans="1:37">
      <c r="A348" s="172"/>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row>
    <row r="349" ht="15.75" customHeight="1" spans="1:37">
      <c r="A349" s="172"/>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row>
    <row r="350" ht="15.75" customHeight="1" spans="1:37">
      <c r="A350" s="172"/>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row>
    <row r="351" ht="15.75" customHeight="1" spans="1:37">
      <c r="A351" s="172"/>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row>
    <row r="352" ht="15.75" customHeight="1" spans="1:37">
      <c r="A352" s="172"/>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row>
    <row r="353" ht="15.75" customHeight="1" spans="1:37">
      <c r="A353" s="172"/>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row>
    <row r="354" ht="15.75" customHeight="1" spans="1:37">
      <c r="A354" s="172"/>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row>
    <row r="355" ht="15.75" customHeight="1" spans="1:37">
      <c r="A355" s="172"/>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row>
    <row r="356" ht="15.75" customHeight="1" spans="1:37">
      <c r="A356" s="172"/>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row>
    <row r="357" ht="15.75" customHeight="1" spans="1:37">
      <c r="A357" s="172"/>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row>
    <row r="358" ht="15.75" customHeight="1" spans="1:37">
      <c r="A358" s="172"/>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row>
    <row r="359" ht="15.75" customHeight="1" spans="1:37">
      <c r="A359" s="172"/>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row>
    <row r="360" ht="15.75" customHeight="1" spans="1:37">
      <c r="A360" s="172"/>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row>
    <row r="361" ht="15.75" customHeight="1" spans="1:37">
      <c r="A361" s="172"/>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row>
    <row r="362" ht="15.75" customHeight="1" spans="1:37">
      <c r="A362" s="172"/>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row>
    <row r="363" ht="15.75" customHeight="1" spans="1:37">
      <c r="A363" s="172"/>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row>
    <row r="364" ht="15.75" customHeight="1" spans="1:37">
      <c r="A364" s="172"/>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row>
    <row r="365" ht="15.75" customHeight="1" spans="1:37">
      <c r="A365" s="172"/>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row>
    <row r="366" ht="15.75" customHeight="1" spans="1:37">
      <c r="A366" s="172"/>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row>
    <row r="367" ht="15.75" customHeight="1" spans="1:37">
      <c r="A367" s="172"/>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row>
    <row r="368" ht="15.75" customHeight="1" spans="1:37">
      <c r="A368" s="172"/>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row>
    <row r="369" ht="15.75" customHeight="1" spans="1:37">
      <c r="A369" s="172"/>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row>
    <row r="370" ht="15.75" customHeight="1" spans="1:37">
      <c r="A370" s="172"/>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row>
    <row r="371" ht="15.75" customHeight="1" spans="1:37">
      <c r="A371" s="172"/>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row>
    <row r="372" ht="15.75" customHeight="1" spans="1:37">
      <c r="A372" s="172"/>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row>
    <row r="373" ht="15.75" customHeight="1" spans="1:37">
      <c r="A373" s="172"/>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row>
    <row r="374" ht="15.75" customHeight="1" spans="1:37">
      <c r="A374" s="172"/>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row>
    <row r="375" ht="15.75" customHeight="1" spans="1:37">
      <c r="A375" s="172"/>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row>
    <row r="376" ht="15.75" customHeight="1" spans="1:37">
      <c r="A376" s="172"/>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row>
    <row r="377" ht="15.75" customHeight="1" spans="1:37">
      <c r="A377" s="172"/>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row>
    <row r="378" ht="15.75" customHeight="1" spans="1:37">
      <c r="A378" s="172"/>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row>
    <row r="379" ht="15.75" customHeight="1" spans="1:37">
      <c r="A379" s="172"/>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row>
    <row r="380" ht="15.75" customHeight="1" spans="1:37">
      <c r="A380" s="172"/>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row>
    <row r="381" ht="15.75" customHeight="1" spans="1:37">
      <c r="A381" s="172"/>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row>
    <row r="382" ht="15.75" customHeight="1" spans="1:37">
      <c r="A382" s="172"/>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row>
    <row r="383" ht="15.75" customHeight="1" spans="1:37">
      <c r="A383" s="172"/>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row>
    <row r="384" ht="15.75" customHeight="1" spans="1:37">
      <c r="A384" s="172"/>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row>
    <row r="385" ht="15.75" customHeight="1" spans="1:37">
      <c r="A385" s="172"/>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row>
    <row r="386" ht="15.75" customHeight="1" spans="1:37">
      <c r="A386" s="172"/>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row>
    <row r="387" ht="15.75" customHeight="1" spans="1:37">
      <c r="A387" s="172"/>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row>
    <row r="388" ht="15.75" customHeight="1" spans="1:37">
      <c r="A388" s="172"/>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row>
    <row r="389" ht="15.75" customHeight="1" spans="1:37">
      <c r="A389" s="172"/>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row>
    <row r="390" ht="15.75" customHeight="1" spans="1:37">
      <c r="A390" s="172"/>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row>
    <row r="391" ht="15.75" customHeight="1" spans="1:37">
      <c r="A391" s="172"/>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row>
    <row r="392" ht="15.75" customHeight="1" spans="1:37">
      <c r="A392" s="172"/>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row>
    <row r="393" ht="15.75" customHeight="1" spans="1:37">
      <c r="A393" s="172"/>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row>
    <row r="394" ht="15.75" customHeight="1" spans="1:37">
      <c r="A394" s="172"/>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row>
    <row r="395" ht="15.75" customHeight="1" spans="1:37">
      <c r="A395" s="172"/>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row>
    <row r="396" ht="15.75" customHeight="1" spans="1:37">
      <c r="A396" s="172"/>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row>
    <row r="397" ht="15.75" customHeight="1" spans="1:37">
      <c r="A397" s="172"/>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row>
    <row r="398" ht="15.75" customHeight="1" spans="1:37">
      <c r="A398" s="172"/>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row>
    <row r="399" ht="15.75" customHeight="1" spans="1:37">
      <c r="A399" s="172"/>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row>
    <row r="400" ht="15.75" customHeight="1" spans="1:37">
      <c r="A400" s="172"/>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row>
    <row r="401" ht="15.75" customHeight="1" spans="1:37">
      <c r="A401" s="172"/>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row>
    <row r="402" ht="15.75" customHeight="1" spans="1:37">
      <c r="A402" s="172"/>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row>
    <row r="403" ht="15.75" customHeight="1" spans="1:37">
      <c r="A403" s="172"/>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row>
    <row r="404" ht="15.75" customHeight="1" spans="1:37">
      <c r="A404" s="172"/>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row>
    <row r="405" ht="15.75" customHeight="1" spans="1:37">
      <c r="A405" s="172"/>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row>
    <row r="406" ht="15.75" customHeight="1" spans="1:37">
      <c r="A406" s="172"/>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row>
    <row r="407" ht="15.75" customHeight="1" spans="1:37">
      <c r="A407" s="172"/>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row>
    <row r="408" ht="15.75" customHeight="1" spans="1:37">
      <c r="A408" s="172"/>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row>
    <row r="409" ht="15.75" customHeight="1" spans="1:37">
      <c r="A409" s="172"/>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row>
    <row r="410" ht="15.75" customHeight="1" spans="1:37">
      <c r="A410" s="172"/>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row>
    <row r="411" ht="15.75" customHeight="1" spans="1:37">
      <c r="A411" s="172"/>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row>
    <row r="412" ht="15.75" customHeight="1" spans="1:37">
      <c r="A412" s="172"/>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row>
    <row r="413" ht="15.75" customHeight="1" spans="1:37">
      <c r="A413" s="172"/>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row>
    <row r="414" ht="15.75" customHeight="1" spans="1:37">
      <c r="A414" s="172"/>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row>
    <row r="415" ht="15.75" customHeight="1" spans="1:37">
      <c r="A415" s="172"/>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row>
    <row r="416" ht="15.75" customHeight="1" spans="1:37">
      <c r="A416" s="172"/>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row>
    <row r="417" ht="15.75" customHeight="1" spans="1:37">
      <c r="A417" s="172"/>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row>
    <row r="418" ht="15.75" customHeight="1" spans="1:37">
      <c r="A418" s="172"/>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row>
    <row r="419" ht="15.75" customHeight="1" spans="1:37">
      <c r="A419" s="172"/>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row>
    <row r="420" ht="15.75" customHeight="1" spans="1:37">
      <c r="A420" s="172"/>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row>
    <row r="421" ht="15.75" customHeight="1" spans="1:37">
      <c r="A421" s="172"/>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row>
    <row r="422" ht="15.75" customHeight="1" spans="1:37">
      <c r="A422" s="172"/>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row>
    <row r="423" ht="15.75" customHeight="1" spans="1:37">
      <c r="A423" s="172"/>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row>
    <row r="424" ht="15.75" customHeight="1" spans="1:37">
      <c r="A424" s="172"/>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row>
    <row r="425" ht="15.75" customHeight="1" spans="1:37">
      <c r="A425" s="172"/>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row>
    <row r="426" ht="15.75" customHeight="1" spans="1:37">
      <c r="A426" s="172"/>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row>
    <row r="427" ht="15.75" customHeight="1" spans="1:37">
      <c r="A427" s="172"/>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row>
    <row r="428" ht="15.75" customHeight="1" spans="1:37">
      <c r="A428" s="172"/>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row>
    <row r="429" ht="15.75" customHeight="1" spans="1:37">
      <c r="A429" s="172"/>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row>
    <row r="430" ht="15.75" customHeight="1" spans="1:37">
      <c r="A430" s="172"/>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row>
    <row r="431" ht="15.75" customHeight="1" spans="1:37">
      <c r="A431" s="172"/>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row>
    <row r="432" ht="15.75" customHeight="1" spans="1:37">
      <c r="A432" s="172"/>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row>
    <row r="433" ht="15.75" customHeight="1" spans="1:37">
      <c r="A433" s="172"/>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row>
    <row r="434" ht="15.75" customHeight="1" spans="1:37">
      <c r="A434" s="172"/>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row>
    <row r="435" ht="15.75" customHeight="1" spans="1:37">
      <c r="A435" s="172"/>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row>
    <row r="436" ht="15.75" customHeight="1" spans="1:37">
      <c r="A436" s="172"/>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row>
    <row r="437" ht="15.75" customHeight="1" spans="1:37">
      <c r="A437" s="172"/>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row>
    <row r="438" ht="15.75" customHeight="1" spans="1:37">
      <c r="A438" s="172"/>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row>
    <row r="439" ht="15.75" customHeight="1" spans="1:37">
      <c r="A439" s="172"/>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row>
    <row r="440" ht="15.75" customHeight="1" spans="1:37">
      <c r="A440" s="172"/>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row>
    <row r="441" ht="15.75" customHeight="1" spans="1:37">
      <c r="A441" s="172"/>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row>
    <row r="442" ht="15.75" customHeight="1" spans="1:37">
      <c r="A442" s="172"/>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row>
    <row r="443" ht="15.75" customHeight="1" spans="1:37">
      <c r="A443" s="172"/>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row>
    <row r="444" ht="15.75" customHeight="1" spans="1:37">
      <c r="A444" s="172"/>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row>
    <row r="445" ht="15.75" customHeight="1" spans="1:37">
      <c r="A445" s="172"/>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row>
    <row r="446" ht="15.75" customHeight="1" spans="1:37">
      <c r="A446" s="172"/>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row>
    <row r="447" ht="15.75" customHeight="1" spans="1:37">
      <c r="A447" s="172"/>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row>
    <row r="448" ht="15.75" customHeight="1" spans="1:37">
      <c r="A448" s="172"/>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row>
    <row r="449" ht="15.75" customHeight="1" spans="1:37">
      <c r="A449" s="172"/>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row>
    <row r="450" ht="15.75" customHeight="1" spans="1:37">
      <c r="A450" s="172"/>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row>
    <row r="451" ht="15.75" customHeight="1" spans="1:37">
      <c r="A451" s="172"/>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row>
    <row r="452" ht="15.75" customHeight="1" spans="1:37">
      <c r="A452" s="172"/>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row>
    <row r="453" ht="15.75" customHeight="1" spans="1:37">
      <c r="A453" s="172"/>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row>
    <row r="454" ht="15.75" customHeight="1" spans="1:37">
      <c r="A454" s="172"/>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row>
    <row r="455" ht="15.75" customHeight="1" spans="1:37">
      <c r="A455" s="172"/>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row>
    <row r="456" ht="15.75" customHeight="1" spans="1:37">
      <c r="A456" s="172"/>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row>
    <row r="457" ht="15.75" customHeight="1" spans="1:37">
      <c r="A457" s="172"/>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row>
    <row r="458" ht="15.75" customHeight="1" spans="1:37">
      <c r="A458" s="172"/>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row>
    <row r="459" ht="15.75" customHeight="1" spans="1:37">
      <c r="A459" s="172"/>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row>
    <row r="460" ht="15.75" customHeight="1" spans="1:37">
      <c r="A460" s="172"/>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row>
    <row r="461" ht="15.75" customHeight="1" spans="1:37">
      <c r="A461" s="172"/>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row>
    <row r="462" ht="15.75" customHeight="1" spans="1:37">
      <c r="A462" s="172"/>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row>
    <row r="463" ht="15.75" customHeight="1" spans="1:37">
      <c r="A463" s="172"/>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row>
    <row r="464" ht="15.75" customHeight="1" spans="1:37">
      <c r="A464" s="172"/>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row>
    <row r="465" ht="15.75" customHeight="1" spans="1:37">
      <c r="A465" s="172"/>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row>
    <row r="466" ht="15.75" customHeight="1" spans="1:37">
      <c r="A466" s="172"/>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row>
    <row r="467" ht="15.75" customHeight="1" spans="1:37">
      <c r="A467" s="172"/>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row>
    <row r="468" ht="15.75" customHeight="1" spans="1:37">
      <c r="A468" s="172"/>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row>
    <row r="469" ht="15.75" customHeight="1" spans="1:37">
      <c r="A469" s="172"/>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row>
    <row r="470" ht="15.75" customHeight="1" spans="1:37">
      <c r="A470" s="172"/>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row>
    <row r="471" ht="15.75" customHeight="1" spans="1:37">
      <c r="A471" s="172"/>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row>
    <row r="472" ht="15.75" customHeight="1" spans="1:37">
      <c r="A472" s="172"/>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row>
    <row r="473" ht="15.75" customHeight="1" spans="1:37">
      <c r="A473" s="172"/>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row>
    <row r="474" ht="15.75" customHeight="1" spans="1:37">
      <c r="A474" s="172"/>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row>
    <row r="475" ht="15.75" customHeight="1" spans="1:37">
      <c r="A475" s="172"/>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row>
    <row r="476" ht="15.75" customHeight="1" spans="1:37">
      <c r="A476" s="172"/>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row>
    <row r="477" ht="15.75" customHeight="1" spans="1:37">
      <c r="A477" s="172"/>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row>
    <row r="478" ht="15.75" customHeight="1" spans="1:37">
      <c r="A478" s="172"/>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row>
    <row r="479" ht="15.75" customHeight="1" spans="1:37">
      <c r="A479" s="172"/>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row>
    <row r="480" ht="15.75" customHeight="1" spans="1:37">
      <c r="A480" s="172"/>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row>
    <row r="481" ht="15.75" customHeight="1" spans="1:37">
      <c r="A481" s="172"/>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row>
    <row r="482" ht="15.75" customHeight="1" spans="1:37">
      <c r="A482" s="172"/>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row>
    <row r="483" ht="15.75" customHeight="1" spans="1:37">
      <c r="A483" s="172"/>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row>
    <row r="484" ht="15.75" customHeight="1" spans="1:37">
      <c r="A484" s="172"/>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row>
    <row r="485" ht="15.75" customHeight="1" spans="1:37">
      <c r="A485" s="172"/>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row>
    <row r="486" ht="15.75" customHeight="1" spans="1:37">
      <c r="A486" s="172"/>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row>
    <row r="487" ht="15.75" customHeight="1" spans="1:37">
      <c r="A487" s="172"/>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row>
    <row r="488" ht="15.75" customHeight="1" spans="1:37">
      <c r="A488" s="172"/>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row>
    <row r="489" ht="15.75" customHeight="1" spans="1:37">
      <c r="A489" s="172"/>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row>
    <row r="490" ht="15.75" customHeight="1" spans="1:37">
      <c r="A490" s="172"/>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row>
    <row r="491" ht="15.75" customHeight="1" spans="1:37">
      <c r="A491" s="172"/>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row>
    <row r="492" ht="15.75" customHeight="1" spans="1:37">
      <c r="A492" s="172"/>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row>
    <row r="493" ht="15.75" customHeight="1" spans="1:37">
      <c r="A493" s="172"/>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row>
    <row r="494" ht="15.75" customHeight="1" spans="1:37">
      <c r="A494" s="172"/>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row>
    <row r="495" ht="15.75" customHeight="1" spans="1:37">
      <c r="A495" s="172"/>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row>
    <row r="496" ht="15.75" customHeight="1" spans="1:37">
      <c r="A496" s="172"/>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row>
    <row r="497" ht="15.75" customHeight="1" spans="1:37">
      <c r="A497" s="172"/>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row>
    <row r="498" ht="15.75" customHeight="1" spans="1:37">
      <c r="A498" s="172"/>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row>
    <row r="499" ht="15.75" customHeight="1" spans="1:37">
      <c r="A499" s="172"/>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row>
    <row r="500" ht="15.75" customHeight="1" spans="1:37">
      <c r="A500" s="172"/>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row>
    <row r="501" ht="15.75" customHeight="1" spans="1:37">
      <c r="A501" s="172"/>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row>
    <row r="502" ht="15.75" customHeight="1" spans="1:37">
      <c r="A502" s="172"/>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row>
    <row r="503" ht="15.75" customHeight="1" spans="1:37">
      <c r="A503" s="172"/>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row>
    <row r="504" ht="15.75" customHeight="1" spans="1:37">
      <c r="A504" s="172"/>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row>
    <row r="505" ht="15.75" customHeight="1" spans="1:37">
      <c r="A505" s="172"/>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row>
    <row r="506" ht="15.75" customHeight="1" spans="1:37">
      <c r="A506" s="172"/>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row>
    <row r="507" ht="15.75" customHeight="1" spans="1:37">
      <c r="A507" s="172"/>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row>
    <row r="508" ht="15.75" customHeight="1" spans="1:37">
      <c r="A508" s="172"/>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row>
    <row r="509" ht="15.75" customHeight="1" spans="1:37">
      <c r="A509" s="172"/>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row>
    <row r="510" ht="15.75" customHeight="1" spans="1:37">
      <c r="A510" s="172"/>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row>
    <row r="511" ht="15.75" customHeight="1" spans="1:37">
      <c r="A511" s="172"/>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row>
    <row r="512" ht="15.75" customHeight="1" spans="1:37">
      <c r="A512" s="172"/>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row>
    <row r="513" ht="15.75" customHeight="1" spans="1:37">
      <c r="A513" s="172"/>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row>
    <row r="514" ht="15.75" customHeight="1" spans="1:37">
      <c r="A514" s="172"/>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row>
    <row r="515" ht="15.75" customHeight="1" spans="1:37">
      <c r="A515" s="172"/>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row>
    <row r="516" ht="15.75" customHeight="1" spans="1:37">
      <c r="A516" s="172"/>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row>
    <row r="517" ht="15.75" customHeight="1" spans="1:37">
      <c r="A517" s="172"/>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row>
    <row r="518" ht="15.75" customHeight="1" spans="1:37">
      <c r="A518" s="172"/>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row>
    <row r="519" ht="15.75" customHeight="1" spans="1:37">
      <c r="A519" s="172"/>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row>
    <row r="520" ht="15.75" customHeight="1" spans="1:37">
      <c r="A520" s="172"/>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row>
    <row r="521" ht="15.75" customHeight="1" spans="1:37">
      <c r="A521" s="172"/>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row>
    <row r="522" ht="15.75" customHeight="1" spans="1:37">
      <c r="A522" s="172"/>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row>
    <row r="523" ht="15.75" customHeight="1" spans="1:37">
      <c r="A523" s="172"/>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row>
    <row r="524" ht="15.75" customHeight="1" spans="1:37">
      <c r="A524" s="172"/>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row>
    <row r="525" ht="15.75" customHeight="1" spans="1:37">
      <c r="A525" s="172"/>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row>
    <row r="526" ht="15.75" customHeight="1" spans="1:37">
      <c r="A526" s="172"/>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row>
    <row r="527" ht="15.75" customHeight="1" spans="1:37">
      <c r="A527" s="172"/>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row>
    <row r="528" ht="15.75" customHeight="1" spans="1:37">
      <c r="A528" s="172"/>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row>
    <row r="529" ht="15.75" customHeight="1" spans="1:37">
      <c r="A529" s="172"/>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row>
    <row r="530" ht="15.75" customHeight="1" spans="1:37">
      <c r="A530" s="172"/>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row>
    <row r="531" ht="15.75" customHeight="1" spans="1:37">
      <c r="A531" s="172"/>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row>
    <row r="532" ht="15.75" customHeight="1" spans="1:37">
      <c r="A532" s="172"/>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row>
    <row r="533" ht="15.75" customHeight="1" spans="1:37">
      <c r="A533" s="172"/>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row>
    <row r="534" ht="15.75" customHeight="1" spans="1:37">
      <c r="A534" s="172"/>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row>
    <row r="535" ht="15.75" customHeight="1" spans="1:37">
      <c r="A535" s="172"/>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row>
    <row r="536" ht="15.75" customHeight="1" spans="1:37">
      <c r="A536" s="172"/>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row>
    <row r="537" ht="15.75" customHeight="1" spans="1:37">
      <c r="A537" s="172"/>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row>
    <row r="538" ht="15.75" customHeight="1" spans="1:37">
      <c r="A538" s="172"/>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row>
    <row r="539" ht="15.75" customHeight="1" spans="1:37">
      <c r="A539" s="172"/>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row>
    <row r="540" ht="15.75" customHeight="1" spans="1:37">
      <c r="A540" s="172"/>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row>
    <row r="541" ht="15.75" customHeight="1" spans="1:37">
      <c r="A541" s="172"/>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row>
    <row r="542" ht="15.75" customHeight="1" spans="1:37">
      <c r="A542" s="172"/>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row>
    <row r="543" ht="15.75" customHeight="1" spans="1:37">
      <c r="A543" s="172"/>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row>
    <row r="544" ht="15.75" customHeight="1" spans="1:37">
      <c r="A544" s="172"/>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row>
    <row r="545" ht="15.75" customHeight="1" spans="1:37">
      <c r="A545" s="172"/>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row>
    <row r="546" ht="15.75" customHeight="1" spans="1:37">
      <c r="A546" s="172"/>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row>
    <row r="547" ht="15.75" customHeight="1" spans="1:37">
      <c r="A547" s="172"/>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row>
    <row r="548" ht="15.75" customHeight="1" spans="1:37">
      <c r="A548" s="172"/>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row>
    <row r="549" ht="15.75" customHeight="1" spans="1:37">
      <c r="A549" s="172"/>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row>
    <row r="550" ht="15.75" customHeight="1" spans="1:37">
      <c r="A550" s="172"/>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row>
    <row r="551" ht="15.75" customHeight="1" spans="1:37">
      <c r="A551" s="172"/>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row>
    <row r="552" ht="15.75" customHeight="1" spans="1:37">
      <c r="A552" s="172"/>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row>
    <row r="553" ht="15.75" customHeight="1" spans="1:37">
      <c r="A553" s="172"/>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row>
    <row r="554" ht="15.75" customHeight="1" spans="1:37">
      <c r="A554" s="172"/>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row>
    <row r="555" ht="15.75" customHeight="1" spans="1:37">
      <c r="A555" s="172"/>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row>
    <row r="556" ht="15.75" customHeight="1" spans="1:37">
      <c r="A556" s="172"/>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row>
    <row r="557" ht="15.75" customHeight="1" spans="1:37">
      <c r="A557" s="172"/>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row>
    <row r="558" ht="15.75" customHeight="1" spans="1:37">
      <c r="A558" s="172"/>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row>
    <row r="559" ht="15.75" customHeight="1" spans="1:37">
      <c r="A559" s="172"/>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row>
    <row r="560" ht="15.75" customHeight="1" spans="1:37">
      <c r="A560" s="172"/>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row>
    <row r="561" ht="15.75" customHeight="1" spans="1:37">
      <c r="A561" s="172"/>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row>
    <row r="562" ht="15.75" customHeight="1" spans="1:37">
      <c r="A562" s="172"/>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row>
    <row r="563" ht="15.75" customHeight="1" spans="1:37">
      <c r="A563" s="172"/>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row>
    <row r="564" ht="15.75" customHeight="1" spans="1:37">
      <c r="A564" s="172"/>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row>
    <row r="565" ht="15.75" customHeight="1" spans="1:37">
      <c r="A565" s="172"/>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row>
    <row r="566" ht="15.75" customHeight="1" spans="1:37">
      <c r="A566" s="172"/>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row>
    <row r="567" ht="15.75" customHeight="1" spans="1:37">
      <c r="A567" s="172"/>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row>
    <row r="568" ht="15.75" customHeight="1" spans="1:37">
      <c r="A568" s="172"/>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row>
    <row r="569" ht="15.75" customHeight="1" spans="1:37">
      <c r="A569" s="172"/>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row>
    <row r="570" ht="15.75" customHeight="1" spans="1:37">
      <c r="A570" s="172"/>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row>
    <row r="571" ht="15.75" customHeight="1" spans="1:37">
      <c r="A571" s="172"/>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row>
    <row r="572" ht="15.75" customHeight="1" spans="1:37">
      <c r="A572" s="172"/>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row>
    <row r="573" ht="15.75" customHeight="1" spans="1:37">
      <c r="A573" s="172"/>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row>
    <row r="574" ht="15.75" customHeight="1" spans="1:37">
      <c r="A574" s="172"/>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row>
    <row r="575" ht="15.75" customHeight="1" spans="1:37">
      <c r="A575" s="172"/>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row>
    <row r="576" ht="15.75" customHeight="1" spans="1:37">
      <c r="A576" s="172"/>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row>
    <row r="577" ht="15.75" customHeight="1" spans="1:37">
      <c r="A577" s="172"/>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row>
    <row r="578" ht="15.75" customHeight="1" spans="1:37">
      <c r="A578" s="172"/>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row>
    <row r="579" ht="15.75" customHeight="1" spans="1:37">
      <c r="A579" s="172"/>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row>
    <row r="580" ht="15.75" customHeight="1" spans="1:37">
      <c r="A580" s="172"/>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row>
    <row r="581" ht="15.75" customHeight="1" spans="1:37">
      <c r="A581" s="172"/>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row>
    <row r="582" ht="15.75" customHeight="1" spans="1:37">
      <c r="A582" s="172"/>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row>
    <row r="583" ht="15.75" customHeight="1" spans="1:37">
      <c r="A583" s="172"/>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row>
    <row r="584" ht="15.75" customHeight="1" spans="1:37">
      <c r="A584" s="172"/>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row>
    <row r="585" ht="15.75" customHeight="1" spans="1:37">
      <c r="A585" s="172"/>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row>
    <row r="586" ht="15.75" customHeight="1" spans="1:37">
      <c r="A586" s="172"/>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row>
    <row r="587" ht="15.75" customHeight="1" spans="1:37">
      <c r="A587" s="172"/>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row>
    <row r="588" ht="15.75" customHeight="1" spans="1:37">
      <c r="A588" s="172"/>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row>
    <row r="589" ht="15.75" customHeight="1" spans="1:37">
      <c r="A589" s="172"/>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row>
    <row r="590" ht="15.75" customHeight="1" spans="1:37">
      <c r="A590" s="172"/>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row>
    <row r="591" ht="15.75" customHeight="1" spans="1:37">
      <c r="A591" s="172"/>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row>
    <row r="592" ht="15.75" customHeight="1" spans="1:37">
      <c r="A592" s="172"/>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row>
    <row r="593" ht="15.75" customHeight="1" spans="1:37">
      <c r="A593" s="172"/>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row>
    <row r="594" ht="15.75" customHeight="1" spans="1:37">
      <c r="A594" s="172"/>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row>
    <row r="595" ht="15.75" customHeight="1" spans="1:37">
      <c r="A595" s="172"/>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row>
    <row r="596" ht="15.75" customHeight="1" spans="1:37">
      <c r="A596" s="172"/>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row>
    <row r="597" ht="15.75" customHeight="1" spans="1:37">
      <c r="A597" s="172"/>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row>
    <row r="598" ht="15.75" customHeight="1" spans="1:37">
      <c r="A598" s="172"/>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row>
    <row r="599" ht="15.75" customHeight="1" spans="1:37">
      <c r="A599" s="172"/>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row>
    <row r="600" ht="15.75" customHeight="1" spans="1:37">
      <c r="A600" s="172"/>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row>
    <row r="601" ht="15.75" customHeight="1" spans="1:37">
      <c r="A601" s="172"/>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row>
    <row r="602" ht="15.75" customHeight="1" spans="1:37">
      <c r="A602" s="172"/>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row>
    <row r="603" ht="15.75" customHeight="1" spans="1:37">
      <c r="A603" s="172"/>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row>
    <row r="604" ht="15.75" customHeight="1" spans="1:37">
      <c r="A604" s="172"/>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row>
    <row r="605" ht="15.75" customHeight="1" spans="1:37">
      <c r="A605" s="172"/>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row>
    <row r="606" ht="15.75" customHeight="1" spans="1:37">
      <c r="A606" s="172"/>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row>
    <row r="607" ht="15.75" customHeight="1" spans="1:37">
      <c r="A607" s="172"/>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row>
    <row r="608" ht="15.75" customHeight="1" spans="1:37">
      <c r="A608" s="172"/>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row>
    <row r="609" ht="15.75" customHeight="1" spans="1:37">
      <c r="A609" s="172"/>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row>
    <row r="610" ht="15.75" customHeight="1" spans="1:37">
      <c r="A610" s="172"/>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row>
    <row r="611" ht="15.75" customHeight="1" spans="1:37">
      <c r="A611" s="172"/>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row>
    <row r="612" ht="15.75" customHeight="1" spans="1:37">
      <c r="A612" s="172"/>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row>
    <row r="613" ht="15.75" customHeight="1" spans="1:37">
      <c r="A613" s="172"/>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row>
    <row r="614" ht="15.75" customHeight="1" spans="1:37">
      <c r="A614" s="172"/>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row>
    <row r="615" ht="15.75" customHeight="1" spans="1:37">
      <c r="A615" s="172"/>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row>
    <row r="616" ht="15.75" customHeight="1" spans="1:37">
      <c r="A616" s="172"/>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row>
    <row r="617" ht="15.75" customHeight="1" spans="1:37">
      <c r="A617" s="172"/>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row>
    <row r="618" ht="15.75" customHeight="1" spans="1:37">
      <c r="A618" s="172"/>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row>
    <row r="619" ht="15.75" customHeight="1" spans="1:37">
      <c r="A619" s="172"/>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row>
    <row r="620" ht="15.75" customHeight="1" spans="1:37">
      <c r="A620" s="172"/>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row>
    <row r="621" ht="15.75" customHeight="1" spans="1:37">
      <c r="A621" s="172"/>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row>
    <row r="622" ht="15.75" customHeight="1" spans="1:37">
      <c r="A622" s="172"/>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row>
    <row r="623" ht="15.75" customHeight="1" spans="1:37">
      <c r="A623" s="172"/>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row>
    <row r="624" ht="15.75" customHeight="1" spans="1:37">
      <c r="A624" s="172"/>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row>
    <row r="625" ht="15.75" customHeight="1" spans="1:37">
      <c r="A625" s="172"/>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row>
    <row r="626" ht="15.75" customHeight="1" spans="1:37">
      <c r="A626" s="172"/>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row>
    <row r="627" ht="15.75" customHeight="1" spans="1:37">
      <c r="A627" s="172"/>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row>
    <row r="628" ht="15.75" customHeight="1" spans="1:37">
      <c r="A628" s="172"/>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row>
    <row r="629" ht="15.75" customHeight="1" spans="1:37">
      <c r="A629" s="172"/>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row>
    <row r="630" ht="15.75" customHeight="1" spans="1:37">
      <c r="A630" s="172"/>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row>
    <row r="631" ht="15.75" customHeight="1" spans="1:37">
      <c r="A631" s="172"/>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row>
    <row r="632" ht="15.75" customHeight="1" spans="1:37">
      <c r="A632" s="172"/>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row>
    <row r="633" ht="15.75" customHeight="1" spans="1:37">
      <c r="A633" s="172"/>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row>
    <row r="634" ht="15.75" customHeight="1" spans="1:37">
      <c r="A634" s="172"/>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row>
    <row r="635" ht="15.75" customHeight="1" spans="1:37">
      <c r="A635" s="172"/>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row>
    <row r="636" ht="15.75" customHeight="1" spans="1:37">
      <c r="A636" s="172"/>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row>
    <row r="637" ht="15.75" customHeight="1" spans="1:37">
      <c r="A637" s="172"/>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row>
    <row r="638" ht="15.75" customHeight="1" spans="1:37">
      <c r="A638" s="172"/>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row>
    <row r="639" ht="15.75" customHeight="1" spans="1:37">
      <c r="A639" s="172"/>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row>
    <row r="640" ht="15.75" customHeight="1" spans="1:37">
      <c r="A640" s="172"/>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row>
    <row r="641" ht="15.75" customHeight="1" spans="1:37">
      <c r="A641" s="172"/>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row>
    <row r="642" ht="15.75" customHeight="1" spans="1:37">
      <c r="A642" s="172"/>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row>
    <row r="643" ht="15.75" customHeight="1" spans="1:37">
      <c r="A643" s="172"/>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row>
    <row r="644" ht="15.75" customHeight="1" spans="1:37">
      <c r="A644" s="172"/>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row>
    <row r="645" ht="15.75" customHeight="1" spans="1:37">
      <c r="A645" s="172"/>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row>
    <row r="646" ht="15.75" customHeight="1" spans="1:37">
      <c r="A646" s="172"/>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row>
    <row r="647" ht="15.75" customHeight="1" spans="1:37">
      <c r="A647" s="172"/>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row>
    <row r="648" ht="15.75" customHeight="1" spans="1:37">
      <c r="A648" s="172"/>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row>
    <row r="649" ht="15.75" customHeight="1" spans="1:37">
      <c r="A649" s="172"/>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row>
    <row r="650" ht="15.75" customHeight="1" spans="1:37">
      <c r="A650" s="172"/>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row>
    <row r="651" ht="15.75" customHeight="1" spans="1:37">
      <c r="A651" s="172"/>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row>
    <row r="652" ht="15.75" customHeight="1" spans="1:37">
      <c r="A652" s="172"/>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row>
    <row r="653" ht="15.75" customHeight="1" spans="1:37">
      <c r="A653" s="172"/>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row>
    <row r="654" ht="15.75" customHeight="1" spans="1:37">
      <c r="A654" s="172"/>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row>
    <row r="655" ht="15.75" customHeight="1" spans="1:37">
      <c r="A655" s="172"/>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row>
    <row r="656" ht="15.75" customHeight="1" spans="1:37">
      <c r="A656" s="172"/>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row>
    <row r="657" ht="15.75" customHeight="1" spans="1:37">
      <c r="A657" s="172"/>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row>
    <row r="658" ht="15.75" customHeight="1" spans="1:37">
      <c r="A658" s="172"/>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row>
    <row r="659" ht="15.75" customHeight="1" spans="1:37">
      <c r="A659" s="172"/>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row>
    <row r="660" ht="15.75" customHeight="1" spans="1:37">
      <c r="A660" s="172"/>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row>
    <row r="661" ht="15.75" customHeight="1" spans="1:37">
      <c r="A661" s="172"/>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row>
    <row r="662" ht="15.75" customHeight="1" spans="1:37">
      <c r="A662" s="172"/>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row>
    <row r="663" ht="15.75" customHeight="1" spans="1:37">
      <c r="A663" s="172"/>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row>
    <row r="664" ht="15.75" customHeight="1" spans="1:37">
      <c r="A664" s="172"/>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row>
    <row r="665" ht="15.75" customHeight="1" spans="1:37">
      <c r="A665" s="172"/>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row>
    <row r="666" ht="15.75" customHeight="1" spans="1:37">
      <c r="A666" s="172"/>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row>
    <row r="667" ht="15.75" customHeight="1" spans="1:37">
      <c r="A667" s="172"/>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row>
    <row r="668" ht="15.75" customHeight="1" spans="1:37">
      <c r="A668" s="172"/>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row>
    <row r="669" ht="15.75" customHeight="1" spans="1:37">
      <c r="A669" s="172"/>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row>
    <row r="670" ht="15.75" customHeight="1" spans="1:37">
      <c r="A670" s="172"/>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row>
    <row r="671" ht="15.75" customHeight="1" spans="1:37">
      <c r="A671" s="172"/>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row>
    <row r="672" ht="15.75" customHeight="1" spans="1:37">
      <c r="A672" s="172"/>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row>
    <row r="673" ht="15.75" customHeight="1" spans="1:37">
      <c r="A673" s="172"/>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row>
    <row r="674" ht="15.75" customHeight="1" spans="1:37">
      <c r="A674" s="172"/>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row>
    <row r="675" ht="15.75" customHeight="1" spans="1:37">
      <c r="A675" s="172"/>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row>
    <row r="676" ht="15.75" customHeight="1" spans="1:37">
      <c r="A676" s="172"/>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row>
    <row r="677" ht="15.75" customHeight="1" spans="1:37">
      <c r="A677" s="172"/>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row>
    <row r="678" ht="15.75" customHeight="1" spans="1:37">
      <c r="A678" s="172"/>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row>
    <row r="679" ht="15.75" customHeight="1" spans="1:37">
      <c r="A679" s="172"/>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row>
    <row r="680" ht="15.75" customHeight="1" spans="1:37">
      <c r="A680" s="172"/>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row>
    <row r="681" ht="15.75" customHeight="1" spans="1:37">
      <c r="A681" s="172"/>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row>
    <row r="682" ht="15.75" customHeight="1" spans="1:37">
      <c r="A682" s="172"/>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row>
    <row r="683" ht="15.75" customHeight="1" spans="1:37">
      <c r="A683" s="172"/>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row>
    <row r="684" ht="15.75" customHeight="1" spans="1:37">
      <c r="A684" s="172"/>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row>
    <row r="685" ht="15.75" customHeight="1" spans="1:37">
      <c r="A685" s="172"/>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row>
    <row r="686" ht="15.75" customHeight="1" spans="1:37">
      <c r="A686" s="172"/>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row>
    <row r="687" ht="15.75" customHeight="1" spans="1:37">
      <c r="A687" s="172"/>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row>
    <row r="688" ht="15.75" customHeight="1" spans="1:37">
      <c r="A688" s="172"/>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row>
    <row r="689" ht="15.75" customHeight="1" spans="1:37">
      <c r="A689" s="172"/>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row>
    <row r="690" ht="15.75" customHeight="1" spans="1:37">
      <c r="A690" s="172"/>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row>
    <row r="691" ht="15.75" customHeight="1" spans="1:37">
      <c r="A691" s="172"/>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row>
    <row r="692" ht="15.75" customHeight="1" spans="1:37">
      <c r="A692" s="172"/>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row>
    <row r="693" ht="15.75" customHeight="1" spans="1:37">
      <c r="A693" s="172"/>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row>
    <row r="694" ht="15.75" customHeight="1" spans="1:37">
      <c r="A694" s="172"/>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row>
    <row r="695" ht="15.75" customHeight="1" spans="1:37">
      <c r="A695" s="172"/>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row>
    <row r="696" ht="15.75" customHeight="1" spans="1:37">
      <c r="A696" s="172"/>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row>
    <row r="697" ht="15.75" customHeight="1" spans="1:37">
      <c r="A697" s="172"/>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row>
    <row r="698" ht="15.75" customHeight="1" spans="1:37">
      <c r="A698" s="172"/>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row>
    <row r="699" ht="15.75" customHeight="1" spans="1:37">
      <c r="A699" s="172"/>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row>
    <row r="700" ht="15.75" customHeight="1" spans="1:37">
      <c r="A700" s="172"/>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row>
    <row r="701" ht="15.75" customHeight="1" spans="1:37">
      <c r="A701" s="172"/>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row>
    <row r="702" ht="15.75" customHeight="1" spans="1:37">
      <c r="A702" s="172"/>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row>
    <row r="703" ht="15.75" customHeight="1" spans="1:37">
      <c r="A703" s="172"/>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row>
    <row r="704" ht="15.75" customHeight="1" spans="1:37">
      <c r="A704" s="172"/>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row>
    <row r="705" ht="15.75" customHeight="1" spans="1:37">
      <c r="A705" s="172"/>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row>
    <row r="706" ht="15.75" customHeight="1" spans="1:37">
      <c r="A706" s="172"/>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row>
    <row r="707" ht="15.75" customHeight="1" spans="1:37">
      <c r="A707" s="172"/>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row>
    <row r="708" ht="15.75" customHeight="1" spans="1:37">
      <c r="A708" s="172"/>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row>
    <row r="709" ht="15.75" customHeight="1" spans="1:37">
      <c r="A709" s="172"/>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row>
    <row r="710" ht="15.75" customHeight="1" spans="1:37">
      <c r="A710" s="172"/>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row>
    <row r="711" ht="15.75" customHeight="1" spans="1:37">
      <c r="A711" s="172"/>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row>
    <row r="712" ht="15.75" customHeight="1" spans="1:37">
      <c r="A712" s="172"/>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row>
    <row r="713" ht="15.75" customHeight="1" spans="1:37">
      <c r="A713" s="172"/>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row>
    <row r="714" ht="15.75" customHeight="1" spans="1:37">
      <c r="A714" s="172"/>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row>
    <row r="715" ht="15.75" customHeight="1" spans="1:37">
      <c r="A715" s="172"/>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row>
    <row r="716" ht="15.75" customHeight="1" spans="1:37">
      <c r="A716" s="172"/>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row>
    <row r="717" ht="15.75" customHeight="1" spans="1:37">
      <c r="A717" s="172"/>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row>
    <row r="718" ht="15.75" customHeight="1" spans="1:37">
      <c r="A718" s="172"/>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row>
    <row r="719" ht="15.75" customHeight="1" spans="1:37">
      <c r="A719" s="172"/>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row>
    <row r="720" ht="15.75" customHeight="1" spans="1:37">
      <c r="A720" s="172"/>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row>
    <row r="721" ht="15.75" customHeight="1" spans="1:37">
      <c r="A721" s="172"/>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row>
    <row r="722" ht="15.75" customHeight="1" spans="1:37">
      <c r="A722" s="172"/>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row>
    <row r="723" ht="15.75" customHeight="1" spans="1:37">
      <c r="A723" s="172"/>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row>
    <row r="724" ht="15.75" customHeight="1" spans="1:37">
      <c r="A724" s="172"/>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row>
    <row r="725" ht="15.75" customHeight="1" spans="1:37">
      <c r="A725" s="172"/>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row>
    <row r="726" ht="15.75" customHeight="1" spans="1:37">
      <c r="A726" s="172"/>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row>
    <row r="727" ht="15.75" customHeight="1" spans="1:37">
      <c r="A727" s="172"/>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row>
    <row r="728" ht="15.75" customHeight="1" spans="1:37">
      <c r="A728" s="172"/>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row>
    <row r="729" ht="15.75" customHeight="1" spans="1:37">
      <c r="A729" s="172"/>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row>
    <row r="730" ht="15.75" customHeight="1" spans="1:37">
      <c r="A730" s="172"/>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row>
    <row r="731" ht="15.75" customHeight="1" spans="1:37">
      <c r="A731" s="172"/>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row>
    <row r="732" ht="15.75" customHeight="1" spans="1:37">
      <c r="A732" s="172"/>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row>
    <row r="733" ht="15.75" customHeight="1" spans="1:37">
      <c r="A733" s="172"/>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row>
    <row r="734" ht="15.75" customHeight="1" spans="1:37">
      <c r="A734" s="172"/>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row>
    <row r="735" ht="15.75" customHeight="1" spans="1:37">
      <c r="A735" s="172"/>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row>
    <row r="736" ht="15.75" customHeight="1" spans="1:37">
      <c r="A736" s="172"/>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row>
    <row r="737" ht="15.75" customHeight="1" spans="1:37">
      <c r="A737" s="172"/>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row>
    <row r="738" ht="15.75" customHeight="1" spans="1:37">
      <c r="A738" s="172"/>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row>
    <row r="739" ht="15.75" customHeight="1" spans="1:37">
      <c r="A739" s="172"/>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row>
    <row r="740" ht="15.75" customHeight="1" spans="1:37">
      <c r="A740" s="172"/>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row>
    <row r="741" ht="15.75" customHeight="1" spans="1:37">
      <c r="A741" s="172"/>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row>
    <row r="742" ht="15.75" customHeight="1" spans="1:37">
      <c r="A742" s="172"/>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row>
    <row r="743" ht="15.75" customHeight="1" spans="1:37">
      <c r="A743" s="172"/>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row>
    <row r="744" ht="15.75" customHeight="1" spans="1:37">
      <c r="A744" s="172"/>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row>
    <row r="745" ht="15.75" customHeight="1" spans="1:37">
      <c r="A745" s="172"/>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row>
    <row r="746" ht="15.75" customHeight="1" spans="1:37">
      <c r="A746" s="172"/>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row>
    <row r="747" ht="15.75" customHeight="1" spans="1:37">
      <c r="A747" s="172"/>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row>
    <row r="748" ht="15.75" customHeight="1" spans="1:37">
      <c r="A748" s="172"/>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row>
    <row r="749" ht="15.75" customHeight="1" spans="1:37">
      <c r="A749" s="172"/>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row>
    <row r="750" ht="15.75" customHeight="1" spans="1:37">
      <c r="A750" s="172"/>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row>
    <row r="751" ht="15.75" customHeight="1" spans="1:37">
      <c r="A751" s="172"/>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row>
    <row r="752" ht="15.75" customHeight="1" spans="1:37">
      <c r="A752" s="172"/>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row>
    <row r="753" ht="15.75" customHeight="1" spans="1:37">
      <c r="A753" s="172"/>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row>
    <row r="754" ht="15.75" customHeight="1" spans="1:37">
      <c r="A754" s="172"/>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row>
    <row r="755" ht="15.75" customHeight="1" spans="1:37">
      <c r="A755" s="172"/>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row>
    <row r="756" ht="15.75" customHeight="1" spans="1:37">
      <c r="A756" s="172"/>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row>
    <row r="757" ht="15.75" customHeight="1" spans="1:37">
      <c r="A757" s="172"/>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row>
    <row r="758" ht="15.75" customHeight="1" spans="1:37">
      <c r="A758" s="172"/>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row>
    <row r="759" ht="15.75" customHeight="1" spans="1:37">
      <c r="A759" s="172"/>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row>
    <row r="760" ht="15.75" customHeight="1" spans="1:37">
      <c r="A760" s="172"/>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row>
    <row r="761" ht="15.75" customHeight="1" spans="1:37">
      <c r="A761" s="172"/>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row>
    <row r="762" ht="15.75" customHeight="1" spans="1:37">
      <c r="A762" s="172"/>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row>
    <row r="763" ht="15.75" customHeight="1" spans="1:37">
      <c r="A763" s="172"/>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row>
    <row r="764" ht="15.75" customHeight="1" spans="1:37">
      <c r="A764" s="172"/>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row>
    <row r="765" ht="15.75" customHeight="1" spans="1:37">
      <c r="A765" s="172"/>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row>
    <row r="766" ht="15.75" customHeight="1" spans="1:37">
      <c r="A766" s="172"/>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row>
    <row r="767" ht="15.75" customHeight="1" spans="1:37">
      <c r="A767" s="172"/>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row>
    <row r="768" ht="15.75" customHeight="1" spans="1:37">
      <c r="A768" s="172"/>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row>
    <row r="769" ht="15.75" customHeight="1" spans="1:37">
      <c r="A769" s="172"/>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row>
    <row r="770" ht="15.75" customHeight="1" spans="1:37">
      <c r="A770" s="172"/>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row>
    <row r="771" ht="15.75" customHeight="1" spans="1:37">
      <c r="A771" s="172"/>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row>
    <row r="772" ht="15.75" customHeight="1" spans="1:37">
      <c r="A772" s="172"/>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row>
    <row r="773" ht="15.75" customHeight="1" spans="1:37">
      <c r="A773" s="172"/>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row>
    <row r="774" ht="15.75" customHeight="1" spans="1:37">
      <c r="A774" s="172"/>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row>
    <row r="775" ht="15.75" customHeight="1" spans="1:37">
      <c r="A775" s="172"/>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row>
    <row r="776" ht="15.75" customHeight="1" spans="1:37">
      <c r="A776" s="172"/>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row>
    <row r="777" ht="15.75" customHeight="1" spans="1:37">
      <c r="A777" s="172"/>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row>
    <row r="778" ht="15.75" customHeight="1" spans="1:37">
      <c r="A778" s="172"/>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row>
    <row r="779" ht="15.75" customHeight="1" spans="1:37">
      <c r="A779" s="172"/>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row>
    <row r="780" ht="15.75" customHeight="1" spans="1:37">
      <c r="A780" s="172"/>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row>
    <row r="781" ht="15.75" customHeight="1" spans="1:37">
      <c r="A781" s="172"/>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row>
    <row r="782" ht="15.75" customHeight="1" spans="1:37">
      <c r="A782" s="172"/>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row>
    <row r="783" ht="15.75" customHeight="1" spans="1:37">
      <c r="A783" s="172"/>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row>
    <row r="784" ht="15.75" customHeight="1" spans="1:37">
      <c r="A784" s="172"/>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row>
    <row r="785" ht="15.75" customHeight="1" spans="1:37">
      <c r="A785" s="172"/>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row>
    <row r="786" ht="15.75" customHeight="1" spans="1:37">
      <c r="A786" s="172"/>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row>
    <row r="787" ht="15.75" customHeight="1" spans="1:37">
      <c r="A787" s="172"/>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row>
    <row r="788" ht="15.75" customHeight="1" spans="1:37">
      <c r="A788" s="172"/>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row>
    <row r="789" ht="15.75" customHeight="1" spans="1:37">
      <c r="A789" s="172"/>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row>
    <row r="790" ht="15.75" customHeight="1" spans="1:37">
      <c r="A790" s="172"/>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row>
    <row r="791" ht="15.75" customHeight="1" spans="1:37">
      <c r="A791" s="172"/>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row>
    <row r="792" ht="15.75" customHeight="1" spans="1:37">
      <c r="A792" s="172"/>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row>
    <row r="793" ht="15.75" customHeight="1" spans="1:37">
      <c r="A793" s="172"/>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row>
    <row r="794" ht="15.75" customHeight="1" spans="1:37">
      <c r="A794" s="172"/>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row>
    <row r="795" ht="15.75" customHeight="1" spans="1:37">
      <c r="A795" s="172"/>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row>
    <row r="796" ht="15.75" customHeight="1" spans="1:37">
      <c r="A796" s="172"/>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row>
    <row r="797" ht="15.75" customHeight="1" spans="1:37">
      <c r="A797" s="172"/>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row>
    <row r="798" ht="15.75" customHeight="1" spans="1:37">
      <c r="A798" s="172"/>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row>
    <row r="799" ht="15.75" customHeight="1" spans="1:37">
      <c r="A799" s="172"/>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row>
    <row r="800" ht="15.75" customHeight="1" spans="1:37">
      <c r="A800" s="172"/>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row>
    <row r="801" ht="15.75" customHeight="1" spans="1:37">
      <c r="A801" s="172"/>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row>
    <row r="802" ht="15.75" customHeight="1" spans="1:37">
      <c r="A802" s="172"/>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row>
    <row r="803" ht="15.75" customHeight="1" spans="1:37">
      <c r="A803" s="172"/>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row>
    <row r="804" ht="15.75" customHeight="1" spans="1:37">
      <c r="A804" s="172"/>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row>
    <row r="805" ht="15.75" customHeight="1" spans="1:37">
      <c r="A805" s="172"/>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row>
    <row r="806" ht="15.75" customHeight="1" spans="1:37">
      <c r="A806" s="172"/>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row>
    <row r="807" ht="15.75" customHeight="1" spans="1:37">
      <c r="A807" s="172"/>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row>
    <row r="808" ht="15.75" customHeight="1" spans="1:37">
      <c r="A808" s="172"/>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row>
    <row r="809" ht="15.75" customHeight="1" spans="1:37">
      <c r="A809" s="172"/>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row>
    <row r="810" ht="15.75" customHeight="1" spans="1:37">
      <c r="A810" s="172"/>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row>
    <row r="811" ht="15.75" customHeight="1" spans="1:37">
      <c r="A811" s="172"/>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row>
    <row r="812" ht="15.75" customHeight="1" spans="1:37">
      <c r="A812" s="172"/>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row>
    <row r="813" ht="15.75" customHeight="1" spans="1:37">
      <c r="A813" s="172"/>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row>
    <row r="814" ht="15.75" customHeight="1" spans="1:37">
      <c r="A814" s="172"/>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row>
    <row r="815" ht="15.75" customHeight="1" spans="1:37">
      <c r="A815" s="172"/>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row>
    <row r="816" ht="15.75" customHeight="1" spans="1:37">
      <c r="A816" s="172"/>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row>
    <row r="817" ht="15.75" customHeight="1" spans="1:37">
      <c r="A817" s="172"/>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row>
    <row r="818" ht="15.75" customHeight="1" spans="1:37">
      <c r="A818" s="172"/>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row>
    <row r="819" ht="15.75" customHeight="1" spans="1:37">
      <c r="A819" s="172"/>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row>
    <row r="820" ht="15.75" customHeight="1" spans="1:37">
      <c r="A820" s="172"/>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row>
    <row r="821" ht="15.75" customHeight="1" spans="1:37">
      <c r="A821" s="172"/>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row>
    <row r="822" ht="15.75" customHeight="1" spans="1:37">
      <c r="A822" s="172"/>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row>
    <row r="823" ht="15.75" customHeight="1" spans="1:37">
      <c r="A823" s="172"/>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row>
    <row r="824" ht="15.75" customHeight="1" spans="1:37">
      <c r="A824" s="172"/>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row>
    <row r="825" ht="15.75" customHeight="1" spans="1:37">
      <c r="A825" s="172"/>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row>
    <row r="826" ht="15.75" customHeight="1" spans="1:37">
      <c r="A826" s="172"/>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row>
    <row r="827" ht="15.75" customHeight="1" spans="1:37">
      <c r="A827" s="172"/>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row>
    <row r="828" ht="15.75" customHeight="1" spans="1:37">
      <c r="A828" s="172"/>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row>
    <row r="829" ht="15.75" customHeight="1" spans="1:37">
      <c r="A829" s="172"/>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row>
    <row r="830" ht="15.75" customHeight="1" spans="1:37">
      <c r="A830" s="172"/>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row>
    <row r="831" ht="15.75" customHeight="1" spans="1:37">
      <c r="A831" s="172"/>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row>
    <row r="832" ht="15.75" customHeight="1" spans="1:37">
      <c r="A832" s="172"/>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row>
    <row r="833" ht="15.75" customHeight="1" spans="1:37">
      <c r="A833" s="172"/>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row>
    <row r="834" ht="15.75" customHeight="1" spans="1:37">
      <c r="A834" s="172"/>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row>
    <row r="835" ht="15.75" customHeight="1" spans="1:37">
      <c r="A835" s="172"/>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row>
    <row r="836" ht="15.75" customHeight="1" spans="1:37">
      <c r="A836" s="172"/>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row>
    <row r="837" ht="15.75" customHeight="1" spans="1:37">
      <c r="A837" s="172"/>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row>
    <row r="838" ht="15.75" customHeight="1" spans="1:37">
      <c r="A838" s="172"/>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row>
    <row r="839" ht="15.75" customHeight="1" spans="1:37">
      <c r="A839" s="172"/>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row>
    <row r="840" ht="15.75" customHeight="1" spans="1:37">
      <c r="A840" s="172"/>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row>
    <row r="841" ht="15.75" customHeight="1" spans="1:37">
      <c r="A841" s="172"/>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row>
    <row r="842" ht="15.75" customHeight="1" spans="1:37">
      <c r="A842" s="172"/>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row>
    <row r="843" ht="15.75" customHeight="1" spans="1:37">
      <c r="A843" s="172"/>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row>
    <row r="844" ht="15.75" customHeight="1" spans="1:37">
      <c r="A844" s="172"/>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row>
    <row r="845" ht="15.75" customHeight="1" spans="1:37">
      <c r="A845" s="172"/>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row>
    <row r="846" ht="15.75" customHeight="1" spans="1:37">
      <c r="A846" s="172"/>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row>
    <row r="847" ht="15.75" customHeight="1" spans="1:37">
      <c r="A847" s="172"/>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row>
    <row r="848" ht="15.75" customHeight="1" spans="1:37">
      <c r="A848" s="172"/>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row>
    <row r="849" ht="15.75" customHeight="1" spans="1:37">
      <c r="A849" s="172"/>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row>
    <row r="850" ht="15.75" customHeight="1" spans="1:37">
      <c r="A850" s="172"/>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row>
    <row r="851" ht="15.75" customHeight="1" spans="1:37">
      <c r="A851" s="172"/>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row>
    <row r="852" ht="15.75" customHeight="1" spans="1:37">
      <c r="A852" s="172"/>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row>
    <row r="853" ht="15.75" customHeight="1" spans="1:37">
      <c r="A853" s="172"/>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row>
    <row r="854" ht="15.75" customHeight="1" spans="1:37">
      <c r="A854" s="172"/>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row>
    <row r="855" ht="15.75" customHeight="1" spans="1:37">
      <c r="A855" s="172"/>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row>
    <row r="856" ht="15.75" customHeight="1" spans="1:37">
      <c r="A856" s="172"/>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row>
    <row r="857" ht="15.75" customHeight="1" spans="1:37">
      <c r="A857" s="172"/>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row>
    <row r="858" ht="15.75" customHeight="1" spans="1:37">
      <c r="A858" s="172"/>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row>
    <row r="859" ht="15.75" customHeight="1" spans="1:37">
      <c r="A859" s="172"/>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row>
    <row r="860" ht="15.75" customHeight="1" spans="1:37">
      <c r="A860" s="172"/>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row>
    <row r="861" ht="15.75" customHeight="1" spans="1:37">
      <c r="A861" s="172"/>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row>
    <row r="862" ht="15.75" customHeight="1" spans="1:37">
      <c r="A862" s="172"/>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row>
    <row r="863" ht="15.75" customHeight="1" spans="1:37">
      <c r="A863" s="172"/>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row>
    <row r="864" ht="15.75" customHeight="1" spans="1:37">
      <c r="A864" s="172"/>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row>
    <row r="865" ht="15.75" customHeight="1" spans="1:37">
      <c r="A865" s="172"/>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row>
    <row r="866" ht="15.75" customHeight="1" spans="1:37">
      <c r="A866" s="172"/>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row>
    <row r="867" ht="15.75" customHeight="1" spans="1:37">
      <c r="A867" s="172"/>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row>
    <row r="868" ht="15.75" customHeight="1" spans="1:37">
      <c r="A868" s="172"/>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row>
    <row r="869" ht="15.75" customHeight="1" spans="1:37">
      <c r="A869" s="172"/>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row>
    <row r="870" ht="15.75" customHeight="1" spans="1:37">
      <c r="A870" s="172"/>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row>
    <row r="871" ht="15.75" customHeight="1" spans="1:37">
      <c r="A871" s="172"/>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row>
    <row r="872" ht="15.75" customHeight="1" spans="1:37">
      <c r="A872" s="172"/>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row>
    <row r="873" ht="15.75" customHeight="1" spans="1:37">
      <c r="A873" s="172"/>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row>
    <row r="874" ht="15.75" customHeight="1" spans="1:37">
      <c r="A874" s="172"/>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row>
    <row r="875" ht="15.75" customHeight="1" spans="1:37">
      <c r="A875" s="172"/>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row>
    <row r="876" ht="15.75" customHeight="1" spans="1:37">
      <c r="A876" s="172"/>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row>
    <row r="877" ht="15.75" customHeight="1" spans="1:37">
      <c r="A877" s="172"/>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row>
    <row r="878" ht="15.75" customHeight="1" spans="1:37">
      <c r="A878" s="172"/>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row>
    <row r="879" ht="15.75" customHeight="1" spans="1:37">
      <c r="A879" s="172"/>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row>
    <row r="880" ht="15.75" customHeight="1" spans="1:37">
      <c r="A880" s="172"/>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row>
    <row r="881" ht="15.75" customHeight="1" spans="1:37">
      <c r="A881" s="172"/>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row>
    <row r="882" ht="15.75" customHeight="1" spans="1:37">
      <c r="A882" s="172"/>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row>
    <row r="883" ht="15.75" customHeight="1" spans="1:37">
      <c r="A883" s="172"/>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row>
    <row r="884" ht="15.75" customHeight="1" spans="1:37">
      <c r="A884" s="172"/>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row>
    <row r="885" ht="15.75" customHeight="1" spans="1:37">
      <c r="A885" s="172"/>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row>
    <row r="886" ht="15.75" customHeight="1" spans="1:37">
      <c r="A886" s="172"/>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row>
    <row r="887" ht="15.75" customHeight="1" spans="1:37">
      <c r="A887" s="172"/>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row>
    <row r="888" ht="15.75" customHeight="1" spans="1:37">
      <c r="A888" s="172"/>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row>
    <row r="889" ht="15.75" customHeight="1" spans="1:37">
      <c r="A889" s="172"/>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row>
    <row r="890" ht="15.75" customHeight="1" spans="1:37">
      <c r="A890" s="172"/>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row>
    <row r="891" ht="15.75" customHeight="1" spans="1:37">
      <c r="A891" s="172"/>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row>
    <row r="892" ht="15.75" customHeight="1" spans="1:37">
      <c r="A892" s="172"/>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row>
    <row r="893" ht="15.75" customHeight="1" spans="1:37">
      <c r="A893" s="172"/>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row>
    <row r="894" ht="15.75" customHeight="1" spans="1:37">
      <c r="A894" s="172"/>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row>
    <row r="895" ht="15.75" customHeight="1" spans="1:37">
      <c r="A895" s="172"/>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row>
    <row r="896" ht="15.75" customHeight="1" spans="1:37">
      <c r="A896" s="172"/>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row>
    <row r="897" ht="15.75" customHeight="1" spans="1:37">
      <c r="A897" s="172"/>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row>
    <row r="898" ht="15.75" customHeight="1" spans="1:37">
      <c r="A898" s="172"/>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row>
    <row r="899" ht="15.75" customHeight="1" spans="1:37">
      <c r="A899" s="172"/>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row>
    <row r="900" ht="15.75" customHeight="1" spans="1:37">
      <c r="A900" s="172"/>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row>
    <row r="901" ht="15.75" customHeight="1" spans="1:37">
      <c r="A901" s="172"/>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row>
    <row r="902" ht="15.75" customHeight="1" spans="1:37">
      <c r="A902" s="172"/>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row>
    <row r="903" ht="15.75" customHeight="1" spans="1:37">
      <c r="A903" s="172"/>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row>
    <row r="904" ht="15.75" customHeight="1" spans="1:37">
      <c r="A904" s="172"/>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row>
    <row r="905" ht="15.75" customHeight="1" spans="1:37">
      <c r="A905" s="172"/>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row>
    <row r="906" ht="15.75" customHeight="1" spans="1:37">
      <c r="A906" s="172"/>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row>
    <row r="907" ht="15.75" customHeight="1" spans="1:37">
      <c r="A907" s="172"/>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row>
    <row r="908" ht="15.75" customHeight="1" spans="1:37">
      <c r="A908" s="172"/>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row>
    <row r="909" ht="15.75" customHeight="1" spans="1:37">
      <c r="A909" s="172"/>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row>
    <row r="910" ht="15.75" customHeight="1" spans="1:37">
      <c r="A910" s="172"/>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row>
    <row r="911" ht="15.75" customHeight="1" spans="1:37">
      <c r="A911" s="172"/>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row>
    <row r="912" ht="15.75" customHeight="1" spans="1:37">
      <c r="A912" s="172"/>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row>
    <row r="913" ht="15.75" customHeight="1" spans="1:37">
      <c r="A913" s="172"/>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row>
    <row r="914" ht="15.75" customHeight="1" spans="1:37">
      <c r="A914" s="172"/>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row>
    <row r="915" ht="15.75" customHeight="1" spans="1:37">
      <c r="A915" s="172"/>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row>
    <row r="916" ht="15.75" customHeight="1" spans="1:37">
      <c r="A916" s="172"/>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row>
    <row r="917" ht="15.75" customHeight="1" spans="1:37">
      <c r="A917" s="172"/>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row>
    <row r="918" ht="15.75" customHeight="1" spans="1:37">
      <c r="A918" s="172"/>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row>
    <row r="919" ht="15.75" customHeight="1" spans="1:37">
      <c r="A919" s="172"/>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row>
    <row r="920" ht="15.75" customHeight="1" spans="1:37">
      <c r="A920" s="172"/>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row>
    <row r="921" ht="15.75" customHeight="1" spans="1:37">
      <c r="A921" s="172"/>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row>
    <row r="922" ht="15.75" customHeight="1" spans="1:37">
      <c r="A922" s="172"/>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row>
    <row r="923" ht="15.75" customHeight="1" spans="1:37">
      <c r="A923" s="172"/>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row>
    <row r="924" ht="15.75" customHeight="1" spans="1:37">
      <c r="A924" s="172"/>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row>
    <row r="925" ht="15.75" customHeight="1" spans="1:37">
      <c r="A925" s="172"/>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row>
    <row r="926" ht="15.75" customHeight="1" spans="1:37">
      <c r="A926" s="172"/>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row>
    <row r="927" ht="15.75" customHeight="1" spans="1:37">
      <c r="A927" s="172"/>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row>
    <row r="928" ht="15.75" customHeight="1" spans="1:37">
      <c r="A928" s="172"/>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row>
    <row r="929" ht="15.75" customHeight="1" spans="1:37">
      <c r="A929" s="172"/>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row>
    <row r="930" ht="15.75" customHeight="1" spans="1:37">
      <c r="A930" s="172"/>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row>
    <row r="931" ht="15.75" customHeight="1" spans="1:37">
      <c r="A931" s="172"/>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row>
    <row r="932" ht="15.75" customHeight="1" spans="1:37">
      <c r="A932" s="172"/>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row>
    <row r="933" ht="15.75" customHeight="1" spans="1:37">
      <c r="A933" s="172"/>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row>
    <row r="934" ht="15.75" customHeight="1" spans="1:37">
      <c r="A934" s="172"/>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row>
    <row r="935" ht="15.75" customHeight="1" spans="1:37">
      <c r="A935" s="172"/>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row>
    <row r="936" ht="15.75" customHeight="1" spans="1:37">
      <c r="A936" s="172"/>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row>
    <row r="937" ht="15.75" customHeight="1" spans="1:37">
      <c r="A937" s="172"/>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row>
    <row r="938" ht="15.75" customHeight="1" spans="1:37">
      <c r="A938" s="172"/>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row>
    <row r="939" ht="15.75" customHeight="1" spans="1:37">
      <c r="A939" s="172"/>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row>
    <row r="940" ht="15.75" customHeight="1" spans="1:37">
      <c r="A940" s="172"/>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row>
    <row r="941" ht="15.75" customHeight="1" spans="1:37">
      <c r="A941" s="172"/>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row>
    <row r="942" ht="15.75" customHeight="1" spans="1:37">
      <c r="A942" s="172"/>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row>
    <row r="943" ht="15.75" customHeight="1" spans="1:37">
      <c r="A943" s="172"/>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row>
    <row r="944" ht="15.75" customHeight="1" spans="1:37">
      <c r="A944" s="172"/>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row>
    <row r="945" ht="15.75" customHeight="1" spans="1:37">
      <c r="A945" s="172"/>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row>
    <row r="946" ht="15.75" customHeight="1" spans="1:37">
      <c r="A946" s="172"/>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row>
    <row r="947" ht="15.75" customHeight="1" spans="1:37">
      <c r="A947" s="172"/>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row>
    <row r="948" ht="15.75" customHeight="1" spans="1:37">
      <c r="A948" s="172"/>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row>
    <row r="949" ht="15.75" customHeight="1" spans="1:37">
      <c r="A949" s="172"/>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row>
    <row r="950" ht="15.75" customHeight="1" spans="1:37">
      <c r="A950" s="172"/>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row>
    <row r="951" ht="15.75" customHeight="1" spans="1:37">
      <c r="A951" s="172"/>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row>
    <row r="952" ht="15.75" customHeight="1" spans="1:37">
      <c r="A952" s="172"/>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row>
    <row r="953" ht="15.75" customHeight="1" spans="1:37">
      <c r="A953" s="172"/>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row>
    <row r="954" ht="15.75" customHeight="1" spans="1:37">
      <c r="A954" s="172"/>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row>
    <row r="955" ht="15.75" customHeight="1" spans="1:37">
      <c r="A955" s="172"/>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row>
    <row r="956" ht="15.75" customHeight="1" spans="1:37">
      <c r="A956" s="172"/>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row>
    <row r="957" ht="15.75" customHeight="1" spans="1:37">
      <c r="A957" s="172"/>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row>
    <row r="958" ht="15.75" customHeight="1" spans="1:37">
      <c r="A958" s="172"/>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row>
    <row r="959" ht="15.75" customHeight="1" spans="1:37">
      <c r="A959" s="172"/>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row>
    <row r="960" ht="15.75" customHeight="1" spans="1:37">
      <c r="A960" s="172"/>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row>
    <row r="961" ht="15.75" customHeight="1" spans="1:37">
      <c r="A961" s="172"/>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row>
    <row r="962" ht="15.75" customHeight="1" spans="1:37">
      <c r="A962" s="172"/>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row>
    <row r="963" ht="15.75" customHeight="1" spans="1:37">
      <c r="A963" s="172"/>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row>
    <row r="964" ht="15.75" customHeight="1" spans="1:37">
      <c r="A964" s="172"/>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row>
    <row r="965" ht="15.75" customHeight="1" spans="1:37">
      <c r="A965" s="172"/>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row>
    <row r="966" ht="15.75" customHeight="1" spans="1:37">
      <c r="A966" s="172"/>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row>
    <row r="967" ht="15.75" customHeight="1" spans="1:37">
      <c r="A967" s="172"/>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row>
    <row r="968" ht="15.75" customHeight="1" spans="1:37">
      <c r="A968" s="172"/>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row>
    <row r="969" ht="15.75" customHeight="1" spans="1:37">
      <c r="A969" s="172"/>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row>
    <row r="970" ht="15.75" customHeight="1" spans="1:37">
      <c r="A970" s="172"/>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row>
    <row r="971" ht="15.75" customHeight="1" spans="1:37">
      <c r="A971" s="172"/>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row>
    <row r="972" ht="15.75" customHeight="1" spans="1:37">
      <c r="A972" s="172"/>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row>
    <row r="973" ht="15.75" customHeight="1" spans="1:37">
      <c r="A973" s="172"/>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row>
    <row r="974" ht="15.75" customHeight="1" spans="1:37">
      <c r="A974" s="172"/>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row>
    <row r="975" ht="15.75" customHeight="1" spans="1:37">
      <c r="A975" s="172"/>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row>
    <row r="976" ht="15.75" customHeight="1" spans="1:37">
      <c r="A976" s="172"/>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row>
    <row r="977" ht="15.75" customHeight="1" spans="1:37">
      <c r="A977" s="172"/>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row>
    <row r="978" ht="15.75" customHeight="1" spans="1:37">
      <c r="A978" s="172"/>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row>
    <row r="979" ht="15.75" customHeight="1" spans="1:37">
      <c r="A979" s="172"/>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row>
    <row r="980" ht="15.75" customHeight="1" spans="1:37">
      <c r="A980" s="172"/>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row>
    <row r="981" ht="15.75" customHeight="1" spans="1:37">
      <c r="A981" s="172"/>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row>
    <row r="982" ht="15.75" customHeight="1" spans="1:37">
      <c r="A982" s="172"/>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row>
    <row r="983" ht="15.75" customHeight="1" spans="1:37">
      <c r="A983" s="172"/>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row>
    <row r="984" ht="15.75" customHeight="1" spans="1:37">
      <c r="A984" s="172"/>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row>
    <row r="985" ht="15.75" customHeight="1" spans="1:37">
      <c r="A985" s="172"/>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row>
    <row r="986" ht="15.75" customHeight="1" spans="1:37">
      <c r="A986" s="172"/>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row>
    <row r="987" ht="15.75" customHeight="1" spans="1:37">
      <c r="A987" s="172"/>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row>
    <row r="988" ht="15.75" customHeight="1" spans="1:37">
      <c r="A988" s="172"/>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row>
    <row r="989" ht="15.75" customHeight="1" spans="1:37">
      <c r="A989" s="172"/>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row>
    <row r="990" ht="15.75" customHeight="1" spans="1:37">
      <c r="A990" s="172"/>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row>
    <row r="991" ht="15.75" customHeight="1" spans="1:37">
      <c r="A991" s="172"/>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row>
    <row r="992" ht="15.75" customHeight="1" spans="1:37">
      <c r="A992" s="172"/>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row>
    <row r="993" ht="15.75" customHeight="1" spans="1:37">
      <c r="A993" s="172"/>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row>
    <row r="994" ht="15.75" customHeight="1" spans="1:37">
      <c r="A994" s="172"/>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row>
    <row r="995" ht="15.75" customHeight="1" spans="1:37">
      <c r="A995" s="172"/>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row>
    <row r="996" ht="15.75" customHeight="1" spans="1:37">
      <c r="A996" s="172"/>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row>
    <row r="997" ht="15.75" customHeight="1" spans="1:37">
      <c r="A997" s="172"/>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row>
    <row r="998" ht="15.75" customHeight="1" spans="1:37">
      <c r="A998" s="172"/>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row>
    <row r="999" ht="15.75" customHeight="1" spans="1:37">
      <c r="A999" s="172"/>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row>
    <row r="1000" ht="15.75" customHeight="1" spans="1:37">
      <c r="A1000" s="172"/>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row>
  </sheetData>
  <mergeCells count="1">
    <mergeCell ref="N1:AA1"/>
  </mergeCells>
  <pageMargins left="0.7" right="0.7" top="0.75" bottom="0.75" header="0" footer="0"/>
  <pageSetup paperSize="1" orientation="portrait"/>
  <headerFooter>
    <oddFooter>&amp;C000000000000&amp;P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000"/>
  <sheetViews>
    <sheetView showGridLines="0" workbookViewId="0">
      <selection activeCell="A1" sqref="A$1:A$1048576"/>
    </sheetView>
  </sheetViews>
  <sheetFormatPr defaultColWidth="12.5714285714286" defaultRowHeight="15" customHeight="1"/>
  <cols>
    <col min="1" max="1" width="18.4285714285714" style="139" customWidth="1"/>
    <col min="2" max="2" width="19.4285714285714" customWidth="1"/>
    <col min="3" max="6" width="15" customWidth="1"/>
    <col min="7" max="7" width="15.4285714285714" customWidth="1"/>
    <col min="8" max="8" width="15" customWidth="1"/>
    <col min="9" max="9" width="6" customWidth="1"/>
    <col min="10" max="10" width="15.2857142857143" customWidth="1"/>
    <col min="11" max="11" width="18.4285714285714" customWidth="1"/>
    <col min="12" max="12" width="16.7142857142857" customWidth="1"/>
    <col min="13" max="13" width="15.2857142857143" customWidth="1"/>
    <col min="14" max="14" width="14" customWidth="1"/>
    <col min="15" max="15" width="14.7142857142857" customWidth="1"/>
    <col min="16" max="16" width="11.8571428571429" customWidth="1"/>
    <col min="17" max="17" width="13" customWidth="1"/>
    <col min="18" max="20" width="15" customWidth="1"/>
    <col min="21" max="21" width="12.8571428571429" customWidth="1"/>
    <col min="22" max="22" width="14.4285714285714" customWidth="1"/>
    <col min="23" max="27" width="19.1428571428571" customWidth="1"/>
    <col min="28" max="28" width="11.4285714285714" customWidth="1"/>
    <col min="29" max="38" width="9.14285714285714" customWidth="1"/>
  </cols>
  <sheetData>
    <row r="1" ht="15.75" customHeight="1" spans="1:38">
      <c r="A1" s="140" t="s">
        <v>116</v>
      </c>
      <c r="B1" s="26" t="s">
        <v>152</v>
      </c>
      <c r="C1" s="26" t="s">
        <v>153</v>
      </c>
      <c r="D1" s="26" t="s">
        <v>154</v>
      </c>
      <c r="E1" s="26" t="s">
        <v>155</v>
      </c>
      <c r="F1" s="26" t="s">
        <v>133</v>
      </c>
      <c r="G1" s="26" t="s">
        <v>156</v>
      </c>
      <c r="H1" s="26" t="s">
        <v>157</v>
      </c>
      <c r="I1" s="26" t="s">
        <v>40</v>
      </c>
      <c r="J1" s="26" t="s">
        <v>158</v>
      </c>
      <c r="K1" s="26" t="s">
        <v>159</v>
      </c>
      <c r="L1" s="71" t="s">
        <v>160</v>
      </c>
      <c r="M1" s="71" t="s">
        <v>161</v>
      </c>
      <c r="N1" s="72"/>
      <c r="O1" s="73" t="s">
        <v>162</v>
      </c>
      <c r="P1" s="128"/>
      <c r="Q1" s="128"/>
      <c r="R1" s="128"/>
      <c r="S1" s="128"/>
      <c r="T1" s="128"/>
      <c r="U1" s="128"/>
      <c r="V1" s="128"/>
      <c r="W1" s="128"/>
      <c r="X1" s="128"/>
      <c r="Y1" s="128"/>
      <c r="Z1" s="128"/>
      <c r="AA1" s="128"/>
      <c r="AB1" s="134"/>
      <c r="AC1" s="135"/>
      <c r="AD1" s="69"/>
      <c r="AE1" s="69"/>
      <c r="AF1" s="69"/>
      <c r="AG1" s="69"/>
      <c r="AH1" s="69"/>
      <c r="AI1" s="69"/>
      <c r="AJ1" s="69"/>
      <c r="AK1" s="69"/>
      <c r="AL1" s="69"/>
    </row>
    <row r="2" ht="15.75" customHeight="1" spans="1:38">
      <c r="A2" s="141"/>
      <c r="B2" s="27"/>
      <c r="C2" s="27"/>
      <c r="D2" s="27"/>
      <c r="E2" s="27"/>
      <c r="F2" s="27"/>
      <c r="G2" s="29"/>
      <c r="H2" s="27"/>
      <c r="I2" s="29"/>
      <c r="J2" s="74"/>
      <c r="K2" s="75"/>
      <c r="L2" s="76"/>
      <c r="M2" s="218"/>
      <c r="N2" s="78">
        <v>0.7</v>
      </c>
      <c r="O2" s="79" t="s">
        <v>163</v>
      </c>
      <c r="P2" s="129" t="s">
        <v>164</v>
      </c>
      <c r="Q2" s="129" t="s">
        <v>165</v>
      </c>
      <c r="R2" s="129" t="s">
        <v>166</v>
      </c>
      <c r="S2" s="129" t="s">
        <v>167</v>
      </c>
      <c r="T2" s="130" t="s">
        <v>168</v>
      </c>
      <c r="U2" s="79" t="s">
        <v>169</v>
      </c>
      <c r="V2" s="130" t="s">
        <v>170</v>
      </c>
      <c r="W2" s="131" t="s">
        <v>171</v>
      </c>
      <c r="X2" s="131" t="s">
        <v>172</v>
      </c>
      <c r="Y2" s="131" t="s">
        <v>44</v>
      </c>
      <c r="Z2" s="131" t="s">
        <v>173</v>
      </c>
      <c r="AA2" s="131" t="s">
        <v>174</v>
      </c>
      <c r="AB2" s="131" t="s">
        <v>44</v>
      </c>
      <c r="AC2" s="135"/>
      <c r="AD2" s="69"/>
      <c r="AE2" s="69"/>
      <c r="AF2" s="69"/>
      <c r="AG2" s="69"/>
      <c r="AH2" s="69"/>
      <c r="AI2" s="69"/>
      <c r="AJ2" s="69"/>
      <c r="AK2" s="69"/>
      <c r="AL2" s="69"/>
    </row>
    <row r="3" ht="15.75" customHeight="1" spans="1:38">
      <c r="A3" s="200">
        <v>45047</v>
      </c>
      <c r="B3" s="43">
        <v>335500</v>
      </c>
      <c r="C3" s="33"/>
      <c r="D3" s="33"/>
      <c r="E3" s="33"/>
      <c r="F3" s="33"/>
      <c r="G3" s="201">
        <f t="shared" ref="G3:G25" si="0">(B3+C3+D3+E3+F3)-Y3</f>
        <v>300500</v>
      </c>
      <c r="H3" s="33">
        <f>'Détail Dépenses'!Y16</f>
        <v>584400</v>
      </c>
      <c r="I3" s="80">
        <f t="shared" ref="I3:I33" si="1">H3/G3</f>
        <v>1.94475873544093</v>
      </c>
      <c r="J3" s="33">
        <f t="shared" ref="J3:J18" si="2">G3-H3</f>
        <v>-283900</v>
      </c>
      <c r="K3" s="81">
        <f>138500-406750</f>
        <v>-268250</v>
      </c>
      <c r="L3" s="81">
        <f t="shared" ref="L3:L10" si="3">K3-J3</f>
        <v>15650</v>
      </c>
      <c r="M3" s="219">
        <f>K3</f>
        <v>-268250</v>
      </c>
      <c r="N3" s="220"/>
      <c r="O3" s="221">
        <v>23000</v>
      </c>
      <c r="P3" s="84">
        <v>12000</v>
      </c>
      <c r="Q3" s="84"/>
      <c r="R3" s="84"/>
      <c r="S3" s="84"/>
      <c r="T3" s="84"/>
      <c r="U3" s="84"/>
      <c r="V3" s="84"/>
      <c r="W3" s="84"/>
      <c r="X3" s="242"/>
      <c r="Y3" s="253">
        <f t="shared" ref="Y3:Y33" si="4">SUM(O3:X3)</f>
        <v>35000</v>
      </c>
      <c r="Z3" s="254">
        <f>Z5</f>
        <v>0</v>
      </c>
      <c r="AA3" s="247"/>
      <c r="AB3" s="253">
        <f t="shared" ref="AB3:AB33" si="5">SUM(Z3:AA3)</f>
        <v>0</v>
      </c>
      <c r="AC3" s="133"/>
      <c r="AD3" s="69"/>
      <c r="AE3" s="69"/>
      <c r="AF3" s="69"/>
      <c r="AG3" s="69"/>
      <c r="AH3" s="69"/>
      <c r="AI3" s="69"/>
      <c r="AJ3" s="69"/>
      <c r="AK3" s="69"/>
      <c r="AL3" s="69"/>
    </row>
    <row r="4" ht="15.75" customHeight="1" spans="1:38">
      <c r="A4" s="202">
        <v>45048</v>
      </c>
      <c r="B4" s="36">
        <v>146500</v>
      </c>
      <c r="C4" s="38"/>
      <c r="D4" s="38"/>
      <c r="E4" s="38"/>
      <c r="F4" s="38"/>
      <c r="G4" s="203">
        <f t="shared" si="0"/>
        <v>136000</v>
      </c>
      <c r="H4" s="38">
        <f>'Détail Dépenses'!Y17</f>
        <v>130500</v>
      </c>
      <c r="I4" s="89">
        <f t="shared" si="1"/>
        <v>0.959558823529412</v>
      </c>
      <c r="J4" s="38">
        <f t="shared" si="2"/>
        <v>5500</v>
      </c>
      <c r="K4" s="85">
        <v>5800</v>
      </c>
      <c r="L4" s="85">
        <f t="shared" si="3"/>
        <v>300</v>
      </c>
      <c r="M4" s="222">
        <f>K3+K4</f>
        <v>-262450</v>
      </c>
      <c r="N4" s="223"/>
      <c r="O4" s="224">
        <v>10500</v>
      </c>
      <c r="P4" s="88"/>
      <c r="Q4" s="88"/>
      <c r="R4" s="88"/>
      <c r="S4" s="88"/>
      <c r="T4" s="88"/>
      <c r="U4" s="88"/>
      <c r="V4" s="88"/>
      <c r="W4" s="88"/>
      <c r="X4" s="243"/>
      <c r="Y4" s="253">
        <f t="shared" si="4"/>
        <v>10500</v>
      </c>
      <c r="Z4" s="255"/>
      <c r="AA4" s="245"/>
      <c r="AB4" s="253">
        <f t="shared" si="5"/>
        <v>0</v>
      </c>
      <c r="AC4" s="133"/>
      <c r="AD4" s="69"/>
      <c r="AE4" s="69"/>
      <c r="AF4" s="69"/>
      <c r="AG4" s="69"/>
      <c r="AH4" s="69"/>
      <c r="AI4" s="69"/>
      <c r="AJ4" s="69"/>
      <c r="AK4" s="69"/>
      <c r="AL4" s="69"/>
    </row>
    <row r="5" ht="15.75" customHeight="1" spans="1:38">
      <c r="A5" s="202">
        <v>45049</v>
      </c>
      <c r="B5" s="36">
        <v>265000</v>
      </c>
      <c r="C5" s="38"/>
      <c r="D5" s="38"/>
      <c r="E5" s="38"/>
      <c r="F5" s="38"/>
      <c r="G5" s="203">
        <f t="shared" si="0"/>
        <v>211500</v>
      </c>
      <c r="H5" s="38">
        <f>'Détail Dépenses'!Y18</f>
        <v>78650</v>
      </c>
      <c r="I5" s="80">
        <f t="shared" si="1"/>
        <v>0.371867612293144</v>
      </c>
      <c r="J5" s="38">
        <f t="shared" si="2"/>
        <v>132850</v>
      </c>
      <c r="K5" s="85">
        <v>133000</v>
      </c>
      <c r="L5" s="85">
        <f t="shared" si="3"/>
        <v>150</v>
      </c>
      <c r="M5" s="222">
        <f t="shared" ref="M5:M9" si="6">M4+K5</f>
        <v>-129450</v>
      </c>
      <c r="N5" s="223"/>
      <c r="O5" s="224">
        <v>19500</v>
      </c>
      <c r="P5" s="88">
        <v>31000</v>
      </c>
      <c r="Q5" s="88"/>
      <c r="R5" s="88"/>
      <c r="S5" s="88"/>
      <c r="T5" s="88"/>
      <c r="U5" s="88">
        <v>3000</v>
      </c>
      <c r="V5" s="88"/>
      <c r="W5" s="88"/>
      <c r="X5" s="243"/>
      <c r="Y5" s="253">
        <f t="shared" si="4"/>
        <v>53500</v>
      </c>
      <c r="Z5" s="255"/>
      <c r="AA5" s="245"/>
      <c r="AB5" s="253">
        <f t="shared" si="5"/>
        <v>0</v>
      </c>
      <c r="AC5" s="133"/>
      <c r="AD5" s="69"/>
      <c r="AE5" s="69"/>
      <c r="AF5" s="69"/>
      <c r="AG5" s="69"/>
      <c r="AH5" s="69"/>
      <c r="AI5" s="69"/>
      <c r="AJ5" s="69"/>
      <c r="AK5" s="69"/>
      <c r="AL5" s="69"/>
    </row>
    <row r="6" ht="15.75" customHeight="1" spans="1:38">
      <c r="A6" s="202">
        <v>45050</v>
      </c>
      <c r="B6" s="36">
        <v>275500</v>
      </c>
      <c r="C6" s="38"/>
      <c r="D6" s="38"/>
      <c r="E6" s="38"/>
      <c r="F6" s="38"/>
      <c r="G6" s="203">
        <f t="shared" si="0"/>
        <v>267500</v>
      </c>
      <c r="H6" s="38">
        <f>'Détail Dépenses'!Y19</f>
        <v>218750</v>
      </c>
      <c r="I6" s="89">
        <f t="shared" si="1"/>
        <v>0.817757009345794</v>
      </c>
      <c r="J6" s="38">
        <f t="shared" si="2"/>
        <v>48750</v>
      </c>
      <c r="K6" s="85">
        <v>44500</v>
      </c>
      <c r="L6" s="85">
        <f t="shared" si="3"/>
        <v>-4250</v>
      </c>
      <c r="M6" s="222">
        <f t="shared" si="6"/>
        <v>-84950</v>
      </c>
      <c r="N6" s="223"/>
      <c r="O6" s="224">
        <v>5000</v>
      </c>
      <c r="P6" s="88"/>
      <c r="Q6" s="88"/>
      <c r="R6" s="88"/>
      <c r="S6" s="88"/>
      <c r="T6" s="88"/>
      <c r="U6" s="88">
        <v>3000</v>
      </c>
      <c r="V6" s="88"/>
      <c r="W6" s="88"/>
      <c r="X6" s="243"/>
      <c r="Y6" s="253">
        <f t="shared" si="4"/>
        <v>8000</v>
      </c>
      <c r="Z6" s="255"/>
      <c r="AA6" s="245"/>
      <c r="AB6" s="253">
        <f t="shared" si="5"/>
        <v>0</v>
      </c>
      <c r="AC6" s="133"/>
      <c r="AD6" s="69"/>
      <c r="AE6" s="69"/>
      <c r="AF6" s="69"/>
      <c r="AG6" s="69"/>
      <c r="AH6" s="69"/>
      <c r="AI6" s="69"/>
      <c r="AJ6" s="69"/>
      <c r="AK6" s="69"/>
      <c r="AL6" s="69"/>
    </row>
    <row r="7" ht="15.75" customHeight="1" spans="1:38">
      <c r="A7" s="202">
        <v>45051</v>
      </c>
      <c r="B7" s="36">
        <v>535300</v>
      </c>
      <c r="C7" s="38"/>
      <c r="D7" s="38"/>
      <c r="E7" s="38"/>
      <c r="F7" s="38"/>
      <c r="G7" s="203">
        <f t="shared" si="0"/>
        <v>399800</v>
      </c>
      <c r="H7" s="38">
        <f>'Détail Dépenses'!Y20</f>
        <v>230300</v>
      </c>
      <c r="I7" s="80">
        <f t="shared" si="1"/>
        <v>0.576038019009505</v>
      </c>
      <c r="J7" s="38">
        <f t="shared" si="2"/>
        <v>169500</v>
      </c>
      <c r="K7" s="85">
        <v>170000</v>
      </c>
      <c r="L7" s="85">
        <f t="shared" si="3"/>
        <v>500</v>
      </c>
      <c r="M7" s="222">
        <f t="shared" si="6"/>
        <v>85050</v>
      </c>
      <c r="N7" s="223"/>
      <c r="O7" s="224">
        <v>54500</v>
      </c>
      <c r="P7" s="88">
        <v>73000</v>
      </c>
      <c r="Q7" s="88"/>
      <c r="R7" s="88"/>
      <c r="S7" s="88"/>
      <c r="T7" s="88"/>
      <c r="U7" s="88">
        <v>6000</v>
      </c>
      <c r="V7" s="88">
        <v>2000</v>
      </c>
      <c r="W7" s="88"/>
      <c r="X7" s="243"/>
      <c r="Y7" s="253">
        <f t="shared" si="4"/>
        <v>135500</v>
      </c>
      <c r="Z7" s="255"/>
      <c r="AA7" s="245"/>
      <c r="AB7" s="253">
        <f t="shared" si="5"/>
        <v>0</v>
      </c>
      <c r="AC7" s="133"/>
      <c r="AD7" s="69"/>
      <c r="AE7" s="69"/>
      <c r="AF7" s="69"/>
      <c r="AG7" s="69"/>
      <c r="AH7" s="69"/>
      <c r="AI7" s="69"/>
      <c r="AJ7" s="69"/>
      <c r="AK7" s="69"/>
      <c r="AL7" s="69"/>
    </row>
    <row r="8" ht="15.75" customHeight="1" spans="1:38">
      <c r="A8" s="202">
        <v>45052</v>
      </c>
      <c r="B8" s="36">
        <v>411100</v>
      </c>
      <c r="C8" s="38"/>
      <c r="D8" s="38"/>
      <c r="E8" s="38"/>
      <c r="F8" s="38"/>
      <c r="G8" s="203">
        <f t="shared" si="0"/>
        <v>381600</v>
      </c>
      <c r="H8" s="38">
        <f>'Détail Dépenses'!Y21</f>
        <v>91500</v>
      </c>
      <c r="I8" s="89">
        <f t="shared" si="1"/>
        <v>0.239779874213836</v>
      </c>
      <c r="J8" s="38">
        <f t="shared" si="2"/>
        <v>290100</v>
      </c>
      <c r="K8" s="85">
        <v>289800</v>
      </c>
      <c r="L8" s="85">
        <f t="shared" si="3"/>
        <v>-300</v>
      </c>
      <c r="M8" s="222">
        <f t="shared" si="6"/>
        <v>374850</v>
      </c>
      <c r="N8" s="223"/>
      <c r="O8" s="224">
        <v>21000</v>
      </c>
      <c r="P8" s="88"/>
      <c r="Q8" s="88"/>
      <c r="R8" s="88"/>
      <c r="S8" s="88"/>
      <c r="T8" s="88"/>
      <c r="U8" s="88">
        <v>5500</v>
      </c>
      <c r="V8" s="88">
        <v>3000</v>
      </c>
      <c r="W8" s="88"/>
      <c r="X8" s="243"/>
      <c r="Y8" s="253">
        <f t="shared" si="4"/>
        <v>29500</v>
      </c>
      <c r="Z8" s="255"/>
      <c r="AA8" s="245"/>
      <c r="AB8" s="253">
        <f t="shared" si="5"/>
        <v>0</v>
      </c>
      <c r="AC8" s="133"/>
      <c r="AD8" s="69"/>
      <c r="AE8" s="69"/>
      <c r="AF8" s="69"/>
      <c r="AG8" s="69"/>
      <c r="AH8" s="69"/>
      <c r="AI8" s="69"/>
      <c r="AJ8" s="69"/>
      <c r="AK8" s="69"/>
      <c r="AL8" s="69"/>
    </row>
    <row r="9" ht="15.75" customHeight="1" spans="1:38">
      <c r="A9" s="204">
        <v>45053</v>
      </c>
      <c r="B9" s="44">
        <v>262500</v>
      </c>
      <c r="C9" s="42"/>
      <c r="D9" s="42"/>
      <c r="E9" s="42"/>
      <c r="F9" s="42"/>
      <c r="G9" s="205">
        <f t="shared" si="0"/>
        <v>249500</v>
      </c>
      <c r="H9" s="42">
        <f>'Détail Dépenses'!Y22</f>
        <v>164500</v>
      </c>
      <c r="I9" s="80">
        <f t="shared" si="1"/>
        <v>0.659318637274549</v>
      </c>
      <c r="J9" s="42">
        <f t="shared" si="2"/>
        <v>85000</v>
      </c>
      <c r="K9" s="90">
        <f>100500-15000</f>
        <v>85500</v>
      </c>
      <c r="L9" s="90">
        <f t="shared" si="3"/>
        <v>500</v>
      </c>
      <c r="M9" s="225">
        <f t="shared" si="6"/>
        <v>460350</v>
      </c>
      <c r="N9" s="226"/>
      <c r="O9" s="227">
        <v>11500</v>
      </c>
      <c r="P9" s="93"/>
      <c r="Q9" s="93"/>
      <c r="R9" s="93"/>
      <c r="S9" s="93"/>
      <c r="T9" s="93"/>
      <c r="U9" s="93">
        <v>1500</v>
      </c>
      <c r="V9" s="93"/>
      <c r="W9" s="93"/>
      <c r="X9" s="244"/>
      <c r="Y9" s="253">
        <f t="shared" si="4"/>
        <v>13000</v>
      </c>
      <c r="Z9" s="256"/>
      <c r="AA9" s="246"/>
      <c r="AB9" s="253">
        <f t="shared" si="5"/>
        <v>0</v>
      </c>
      <c r="AC9" s="133"/>
      <c r="AD9" s="69"/>
      <c r="AE9" s="69"/>
      <c r="AF9" s="69"/>
      <c r="AG9" s="69"/>
      <c r="AH9" s="69"/>
      <c r="AI9" s="69"/>
      <c r="AJ9" s="69"/>
      <c r="AK9" s="69"/>
      <c r="AL9" s="69"/>
    </row>
    <row r="10" ht="15.75" customHeight="1" spans="1:38">
      <c r="A10" s="200">
        <v>45054</v>
      </c>
      <c r="B10" s="43">
        <v>105500</v>
      </c>
      <c r="C10" s="33"/>
      <c r="D10" s="33"/>
      <c r="E10" s="33"/>
      <c r="F10" s="33"/>
      <c r="G10" s="201">
        <f t="shared" si="0"/>
        <v>95000</v>
      </c>
      <c r="H10" s="33">
        <f>'Détail Dépenses'!Y23</f>
        <v>187150</v>
      </c>
      <c r="I10" s="89">
        <f t="shared" si="1"/>
        <v>1.97</v>
      </c>
      <c r="J10" s="33">
        <f t="shared" si="2"/>
        <v>-92150</v>
      </c>
      <c r="K10" s="81">
        <v>-92150</v>
      </c>
      <c r="L10" s="81">
        <f t="shared" si="3"/>
        <v>0</v>
      </c>
      <c r="M10" s="219">
        <f>M9</f>
        <v>460350</v>
      </c>
      <c r="N10" s="228"/>
      <c r="O10" s="229">
        <v>7500</v>
      </c>
      <c r="P10" s="84"/>
      <c r="Q10" s="84"/>
      <c r="R10" s="84"/>
      <c r="S10" s="84"/>
      <c r="T10" s="84"/>
      <c r="U10" s="84">
        <v>3000</v>
      </c>
      <c r="V10" s="84"/>
      <c r="W10" s="84"/>
      <c r="X10" s="242"/>
      <c r="Y10" s="253">
        <f t="shared" si="4"/>
        <v>10500</v>
      </c>
      <c r="Z10" s="254"/>
      <c r="AA10" s="247"/>
      <c r="AB10" s="253">
        <f t="shared" si="5"/>
        <v>0</v>
      </c>
      <c r="AC10" s="133"/>
      <c r="AD10" s="69"/>
      <c r="AE10" s="69"/>
      <c r="AF10" s="69"/>
      <c r="AG10" s="69"/>
      <c r="AH10" s="69"/>
      <c r="AI10" s="69"/>
      <c r="AJ10" s="69"/>
      <c r="AK10" s="69"/>
      <c r="AL10" s="69"/>
    </row>
    <row r="11" ht="15.75" customHeight="1" spans="1:38">
      <c r="A11" s="202">
        <v>45055</v>
      </c>
      <c r="B11" s="36">
        <v>181500</v>
      </c>
      <c r="C11" s="38"/>
      <c r="D11" s="38"/>
      <c r="E11" s="38"/>
      <c r="F11" s="38"/>
      <c r="G11" s="203">
        <f t="shared" si="0"/>
        <v>156000</v>
      </c>
      <c r="H11" s="38">
        <f>'Détail Dépenses'!Y24</f>
        <v>335327.39623</v>
      </c>
      <c r="I11" s="80">
        <f t="shared" si="1"/>
        <v>2.14953459121795</v>
      </c>
      <c r="J11" s="38">
        <f t="shared" si="2"/>
        <v>-179327.39623</v>
      </c>
      <c r="K11" s="85">
        <f>-81650-90000</f>
        <v>-171650</v>
      </c>
      <c r="L11" s="85">
        <v>0</v>
      </c>
      <c r="M11" s="222">
        <f t="shared" ref="M11:M17" si="7">M10+K11</f>
        <v>288700</v>
      </c>
      <c r="N11" s="230"/>
      <c r="O11" s="231">
        <v>23500</v>
      </c>
      <c r="P11" s="88"/>
      <c r="Q11" s="88"/>
      <c r="R11" s="88"/>
      <c r="S11" s="88"/>
      <c r="T11" s="88"/>
      <c r="U11" s="88">
        <v>2000</v>
      </c>
      <c r="V11" s="88"/>
      <c r="W11" s="88"/>
      <c r="X11" s="243"/>
      <c r="Y11" s="253">
        <f t="shared" si="4"/>
        <v>25500</v>
      </c>
      <c r="Z11" s="255">
        <v>2000</v>
      </c>
      <c r="AA11" s="245">
        <v>500</v>
      </c>
      <c r="AB11" s="253">
        <f t="shared" si="5"/>
        <v>2500</v>
      </c>
      <c r="AC11" s="133"/>
      <c r="AD11" s="69"/>
      <c r="AE11" s="69"/>
      <c r="AF11" s="69"/>
      <c r="AG11" s="69"/>
      <c r="AH11" s="69"/>
      <c r="AI11" s="69"/>
      <c r="AJ11" s="69"/>
      <c r="AK11" s="69"/>
      <c r="AL11" s="69"/>
    </row>
    <row r="12" ht="15.75" customHeight="1" spans="1:38">
      <c r="A12" s="202">
        <v>45056</v>
      </c>
      <c r="B12" s="36">
        <v>600500</v>
      </c>
      <c r="C12" s="38"/>
      <c r="D12" s="38"/>
      <c r="E12" s="38"/>
      <c r="F12" s="38"/>
      <c r="G12" s="203">
        <f t="shared" si="0"/>
        <v>440500</v>
      </c>
      <c r="H12" s="38">
        <f>'Détail Dépenses'!Y25</f>
        <v>133200</v>
      </c>
      <c r="I12" s="89">
        <f t="shared" si="1"/>
        <v>0.302383654937571</v>
      </c>
      <c r="J12" s="38">
        <f t="shared" si="2"/>
        <v>307300</v>
      </c>
      <c r="K12" s="85">
        <v>215800</v>
      </c>
      <c r="L12" s="85">
        <v>-9850</v>
      </c>
      <c r="M12" s="222">
        <f t="shared" si="7"/>
        <v>504500</v>
      </c>
      <c r="N12" s="230"/>
      <c r="O12" s="231">
        <v>7500</v>
      </c>
      <c r="P12" s="88">
        <v>86000</v>
      </c>
      <c r="Q12" s="88"/>
      <c r="R12" s="88"/>
      <c r="S12" s="88"/>
      <c r="T12" s="88"/>
      <c r="U12" s="88">
        <v>3500</v>
      </c>
      <c r="V12" s="88">
        <v>500</v>
      </c>
      <c r="W12" s="88"/>
      <c r="X12" s="243">
        <v>62500</v>
      </c>
      <c r="Y12" s="253">
        <f t="shared" si="4"/>
        <v>160000</v>
      </c>
      <c r="Z12" s="255"/>
      <c r="AA12" s="245"/>
      <c r="AB12" s="253">
        <f t="shared" si="5"/>
        <v>0</v>
      </c>
      <c r="AC12" s="133"/>
      <c r="AD12" s="69"/>
      <c r="AE12" s="69"/>
      <c r="AF12" s="69"/>
      <c r="AG12" s="69"/>
      <c r="AH12" s="69"/>
      <c r="AI12" s="69"/>
      <c r="AJ12" s="69"/>
      <c r="AK12" s="69"/>
      <c r="AL12" s="69"/>
    </row>
    <row r="13" ht="15.75" customHeight="1" spans="1:38">
      <c r="A13" s="202">
        <v>45057</v>
      </c>
      <c r="B13" s="36">
        <v>167900</v>
      </c>
      <c r="C13" s="38"/>
      <c r="D13" s="38"/>
      <c r="E13" s="38"/>
      <c r="F13" s="38"/>
      <c r="G13" s="203">
        <f t="shared" si="0"/>
        <v>150400</v>
      </c>
      <c r="H13" s="38">
        <f>'Détail Dépenses'!Y26</f>
        <v>296300</v>
      </c>
      <c r="I13" s="80">
        <f t="shared" si="1"/>
        <v>1.97007978723404</v>
      </c>
      <c r="J13" s="38">
        <f t="shared" si="2"/>
        <v>-145900</v>
      </c>
      <c r="K13" s="85">
        <v>-145900</v>
      </c>
      <c r="L13" s="85">
        <f>K13-J13</f>
        <v>0</v>
      </c>
      <c r="M13" s="222">
        <f t="shared" si="7"/>
        <v>358600</v>
      </c>
      <c r="N13" s="230"/>
      <c r="O13" s="231"/>
      <c r="P13" s="88"/>
      <c r="Q13" s="88"/>
      <c r="R13" s="88"/>
      <c r="S13" s="88"/>
      <c r="T13" s="88"/>
      <c r="U13" s="88">
        <v>7000</v>
      </c>
      <c r="V13" s="243">
        <v>10500</v>
      </c>
      <c r="W13" s="245"/>
      <c r="X13" s="245"/>
      <c r="Y13" s="253">
        <f t="shared" si="4"/>
        <v>17500</v>
      </c>
      <c r="Z13" s="255"/>
      <c r="AA13" s="245"/>
      <c r="AB13" s="253">
        <f t="shared" si="5"/>
        <v>0</v>
      </c>
      <c r="AC13" s="133"/>
      <c r="AD13" s="69"/>
      <c r="AE13" s="69"/>
      <c r="AF13" s="69"/>
      <c r="AG13" s="69"/>
      <c r="AH13" s="69"/>
      <c r="AI13" s="69"/>
      <c r="AJ13" s="69"/>
      <c r="AK13" s="69"/>
      <c r="AL13" s="69"/>
    </row>
    <row r="14" ht="15.75" customHeight="1" spans="1:38">
      <c r="A14" s="202">
        <v>45058</v>
      </c>
      <c r="B14" s="36">
        <v>887000</v>
      </c>
      <c r="C14" s="38"/>
      <c r="D14" s="38"/>
      <c r="E14" s="38"/>
      <c r="F14" s="38"/>
      <c r="G14" s="203">
        <f t="shared" si="0"/>
        <v>752500</v>
      </c>
      <c r="H14" s="38">
        <f>'Détail Dépenses'!Y27</f>
        <v>100150</v>
      </c>
      <c r="I14" s="89">
        <f t="shared" si="1"/>
        <v>0.133089700996678</v>
      </c>
      <c r="J14" s="38">
        <f t="shared" si="2"/>
        <v>652350</v>
      </c>
      <c r="K14" s="85">
        <v>539800</v>
      </c>
      <c r="L14" s="85">
        <v>33350</v>
      </c>
      <c r="M14" s="222">
        <f t="shared" si="7"/>
        <v>898400</v>
      </c>
      <c r="N14" s="230"/>
      <c r="O14" s="231"/>
      <c r="P14" s="88"/>
      <c r="Q14" s="88"/>
      <c r="R14" s="88">
        <v>124000</v>
      </c>
      <c r="S14" s="88"/>
      <c r="T14" s="88"/>
      <c r="U14" s="88">
        <v>10500</v>
      </c>
      <c r="V14" s="243"/>
      <c r="W14" s="245"/>
      <c r="X14" s="245"/>
      <c r="Y14" s="253">
        <f t="shared" si="4"/>
        <v>134500</v>
      </c>
      <c r="Z14" s="255"/>
      <c r="AA14" s="245"/>
      <c r="AB14" s="253">
        <f t="shared" si="5"/>
        <v>0</v>
      </c>
      <c r="AC14" s="133"/>
      <c r="AD14" s="69"/>
      <c r="AE14" s="69"/>
      <c r="AF14" s="69"/>
      <c r="AG14" s="69"/>
      <c r="AH14" s="69"/>
      <c r="AI14" s="69"/>
      <c r="AJ14" s="69"/>
      <c r="AK14" s="69"/>
      <c r="AL14" s="69"/>
    </row>
    <row r="15" ht="15.75" customHeight="1" spans="1:38">
      <c r="A15" s="202">
        <v>45059</v>
      </c>
      <c r="B15" s="36">
        <v>760000</v>
      </c>
      <c r="C15" s="38">
        <v>24500</v>
      </c>
      <c r="D15" s="38"/>
      <c r="E15" s="38"/>
      <c r="F15" s="38"/>
      <c r="G15" s="203">
        <f t="shared" si="0"/>
        <v>771000</v>
      </c>
      <c r="H15" s="38">
        <f>'Détail Dépenses'!Y28</f>
        <v>154750</v>
      </c>
      <c r="I15" s="80">
        <f t="shared" si="1"/>
        <v>0.200713359273671</v>
      </c>
      <c r="J15" s="38">
        <f t="shared" si="2"/>
        <v>616250</v>
      </c>
      <c r="K15" s="85">
        <v>591500</v>
      </c>
      <c r="L15" s="85">
        <v>-250</v>
      </c>
      <c r="M15" s="222">
        <f t="shared" si="7"/>
        <v>1489900</v>
      </c>
      <c r="N15" s="230"/>
      <c r="O15" s="231">
        <v>7000</v>
      </c>
      <c r="P15" s="88"/>
      <c r="Q15" s="88"/>
      <c r="R15" s="88"/>
      <c r="S15" s="88"/>
      <c r="T15" s="88"/>
      <c r="U15" s="88">
        <v>4500</v>
      </c>
      <c r="V15" s="243"/>
      <c r="W15" s="245"/>
      <c r="X15" s="245">
        <v>2000</v>
      </c>
      <c r="Y15" s="253">
        <f t="shared" si="4"/>
        <v>13500</v>
      </c>
      <c r="Z15" s="255">
        <v>2000</v>
      </c>
      <c r="AA15" s="245"/>
      <c r="AB15" s="253">
        <f t="shared" si="5"/>
        <v>2000</v>
      </c>
      <c r="AC15" s="133"/>
      <c r="AD15" s="69"/>
      <c r="AE15" s="69"/>
      <c r="AF15" s="69"/>
      <c r="AG15" s="69"/>
      <c r="AH15" s="69"/>
      <c r="AI15" s="69"/>
      <c r="AJ15" s="69"/>
      <c r="AK15" s="69"/>
      <c r="AL15" s="69"/>
    </row>
    <row r="16" ht="15.75" customHeight="1" spans="1:38">
      <c r="A16" s="204">
        <v>45060</v>
      </c>
      <c r="B16" s="44">
        <v>854000</v>
      </c>
      <c r="C16" s="42"/>
      <c r="D16" s="42"/>
      <c r="E16" s="42"/>
      <c r="F16" s="42"/>
      <c r="G16" s="205">
        <f t="shared" si="0"/>
        <v>845500</v>
      </c>
      <c r="H16" s="42">
        <f>'Détail Dépenses'!Y29</f>
        <v>166750</v>
      </c>
      <c r="I16" s="89">
        <f t="shared" si="1"/>
        <v>0.197220579538734</v>
      </c>
      <c r="J16" s="42">
        <f t="shared" si="2"/>
        <v>678750</v>
      </c>
      <c r="K16" s="90">
        <v>728750</v>
      </c>
      <c r="L16" s="90">
        <f t="shared" ref="L16:L17" si="8">K16-J16</f>
        <v>50000</v>
      </c>
      <c r="M16" s="225">
        <f t="shared" si="7"/>
        <v>2218650</v>
      </c>
      <c r="N16" s="232"/>
      <c r="O16" s="233">
        <v>8500</v>
      </c>
      <c r="P16" s="93"/>
      <c r="Q16" s="93"/>
      <c r="R16" s="93"/>
      <c r="S16" s="93"/>
      <c r="T16" s="93"/>
      <c r="U16" s="93"/>
      <c r="V16" s="244"/>
      <c r="W16" s="246"/>
      <c r="X16" s="246"/>
      <c r="Y16" s="253">
        <f t="shared" si="4"/>
        <v>8500</v>
      </c>
      <c r="Z16" s="256"/>
      <c r="AA16" s="246"/>
      <c r="AB16" s="253">
        <f t="shared" si="5"/>
        <v>0</v>
      </c>
      <c r="AC16" s="133"/>
      <c r="AD16" s="69"/>
      <c r="AE16" s="69"/>
      <c r="AF16" s="69"/>
      <c r="AG16" s="69"/>
      <c r="AH16" s="69"/>
      <c r="AI16" s="69"/>
      <c r="AJ16" s="69"/>
      <c r="AK16" s="69"/>
      <c r="AL16" s="69"/>
    </row>
    <row r="17" ht="15.75" customHeight="1" spans="1:38">
      <c r="A17" s="200">
        <v>45061</v>
      </c>
      <c r="B17" s="43">
        <v>648500</v>
      </c>
      <c r="C17" s="33"/>
      <c r="D17" s="33"/>
      <c r="E17" s="33"/>
      <c r="F17" s="33"/>
      <c r="G17" s="201">
        <f t="shared" si="0"/>
        <v>638500</v>
      </c>
      <c r="H17" s="33">
        <f>'Détail Dépenses'!Y30</f>
        <v>1359175</v>
      </c>
      <c r="I17" s="80">
        <f t="shared" si="1"/>
        <v>2.12870007830854</v>
      </c>
      <c r="J17" s="33">
        <f t="shared" si="2"/>
        <v>-720675</v>
      </c>
      <c r="K17" s="81">
        <f>432000-50000-172100-570450-210000-150000</f>
        <v>-720550</v>
      </c>
      <c r="L17" s="81">
        <f t="shared" si="8"/>
        <v>125</v>
      </c>
      <c r="M17" s="219">
        <f t="shared" si="7"/>
        <v>1498100</v>
      </c>
      <c r="N17" s="220"/>
      <c r="O17" s="221">
        <v>6000</v>
      </c>
      <c r="P17" s="84"/>
      <c r="Q17" s="84"/>
      <c r="R17" s="84"/>
      <c r="S17" s="84"/>
      <c r="T17" s="84"/>
      <c r="U17" s="84">
        <v>4000</v>
      </c>
      <c r="V17" s="242"/>
      <c r="W17" s="247"/>
      <c r="X17" s="247"/>
      <c r="Y17" s="253">
        <f t="shared" si="4"/>
        <v>10000</v>
      </c>
      <c r="Z17" s="254"/>
      <c r="AA17" s="247"/>
      <c r="AB17" s="253">
        <f t="shared" si="5"/>
        <v>0</v>
      </c>
      <c r="AC17" s="133"/>
      <c r="AD17" s="69"/>
      <c r="AE17" s="69"/>
      <c r="AF17" s="69"/>
      <c r="AG17" s="69"/>
      <c r="AH17" s="69"/>
      <c r="AI17" s="69"/>
      <c r="AJ17" s="69"/>
      <c r="AK17" s="69"/>
      <c r="AL17" s="69"/>
    </row>
    <row r="18" ht="15.75" customHeight="1" spans="1:38">
      <c r="A18" s="202">
        <v>45062</v>
      </c>
      <c r="B18" s="36">
        <v>283000</v>
      </c>
      <c r="C18" s="38"/>
      <c r="D18" s="38"/>
      <c r="E18" s="38"/>
      <c r="F18" s="38"/>
      <c r="G18" s="203">
        <f t="shared" si="0"/>
        <v>273000</v>
      </c>
      <c r="H18" s="38">
        <f>'Détail Dépenses'!Y31</f>
        <v>313250</v>
      </c>
      <c r="I18" s="89">
        <f t="shared" si="1"/>
        <v>1.1474358974359</v>
      </c>
      <c r="J18" s="38">
        <f t="shared" si="2"/>
        <v>-40250</v>
      </c>
      <c r="K18" s="85">
        <v>-40250</v>
      </c>
      <c r="L18" s="85">
        <v>0</v>
      </c>
      <c r="M18" s="222">
        <f>M17</f>
        <v>1498100</v>
      </c>
      <c r="N18" s="223"/>
      <c r="O18" s="224">
        <v>8000</v>
      </c>
      <c r="P18" s="88"/>
      <c r="Q18" s="88"/>
      <c r="R18" s="88"/>
      <c r="S18" s="88"/>
      <c r="T18" s="88"/>
      <c r="U18" s="88">
        <v>2000</v>
      </c>
      <c r="V18" s="243"/>
      <c r="W18" s="245"/>
      <c r="X18" s="245"/>
      <c r="Y18" s="253">
        <f t="shared" si="4"/>
        <v>10000</v>
      </c>
      <c r="Z18" s="255"/>
      <c r="AA18" s="245"/>
      <c r="AB18" s="253">
        <f t="shared" si="5"/>
        <v>0</v>
      </c>
      <c r="AC18" s="133"/>
      <c r="AD18" s="69"/>
      <c r="AE18" s="69"/>
      <c r="AF18" s="69"/>
      <c r="AG18" s="69"/>
      <c r="AH18" s="69"/>
      <c r="AI18" s="69"/>
      <c r="AJ18" s="69"/>
      <c r="AK18" s="69"/>
      <c r="AL18" s="69"/>
    </row>
    <row r="19" ht="15.75" customHeight="1" spans="1:38">
      <c r="A19" s="202">
        <v>45063</v>
      </c>
      <c r="B19" s="36">
        <v>1083000</v>
      </c>
      <c r="C19" s="38"/>
      <c r="D19" s="38"/>
      <c r="E19" s="38"/>
      <c r="F19" s="38">
        <v>20000</v>
      </c>
      <c r="G19" s="203">
        <f t="shared" si="0"/>
        <v>931000</v>
      </c>
      <c r="H19" s="38">
        <f>'Détail Dépenses'!Y32</f>
        <v>406525</v>
      </c>
      <c r="I19" s="80">
        <f t="shared" si="1"/>
        <v>0.436654135338346</v>
      </c>
      <c r="J19" s="38">
        <f>G19+J18-H19</f>
        <v>484225</v>
      </c>
      <c r="K19" s="85">
        <v>427600</v>
      </c>
      <c r="L19" s="85">
        <f t="shared" ref="L19:L25" si="9">K19-J19</f>
        <v>-56625</v>
      </c>
      <c r="M19" s="222">
        <f t="shared" ref="M19:M33" si="10">M18+K19</f>
        <v>1925700</v>
      </c>
      <c r="N19" s="223"/>
      <c r="O19" s="224">
        <v>1500</v>
      </c>
      <c r="P19" s="88">
        <v>114000</v>
      </c>
      <c r="Q19" s="88"/>
      <c r="R19" s="88">
        <v>44500</v>
      </c>
      <c r="S19" s="88"/>
      <c r="T19" s="88"/>
      <c r="U19" s="88">
        <v>5500</v>
      </c>
      <c r="V19" s="243">
        <v>4000</v>
      </c>
      <c r="W19" s="245">
        <v>2500</v>
      </c>
      <c r="X19" s="245"/>
      <c r="Y19" s="253">
        <f t="shared" si="4"/>
        <v>172000</v>
      </c>
      <c r="Z19" s="255"/>
      <c r="AA19" s="245"/>
      <c r="AB19" s="253">
        <f t="shared" si="5"/>
        <v>0</v>
      </c>
      <c r="AC19" s="133"/>
      <c r="AD19" s="69"/>
      <c r="AE19" s="69"/>
      <c r="AF19" s="69"/>
      <c r="AG19" s="69"/>
      <c r="AH19" s="69"/>
      <c r="AI19" s="69"/>
      <c r="AJ19" s="69"/>
      <c r="AK19" s="69"/>
      <c r="AL19" s="69"/>
    </row>
    <row r="20" ht="15.75" customHeight="1" spans="1:38">
      <c r="A20" s="202">
        <v>45064</v>
      </c>
      <c r="B20" s="36">
        <v>455000</v>
      </c>
      <c r="C20" s="38"/>
      <c r="D20" s="38"/>
      <c r="E20" s="38"/>
      <c r="F20" s="38"/>
      <c r="G20" s="203">
        <f t="shared" si="0"/>
        <v>419000</v>
      </c>
      <c r="H20" s="38">
        <f>'Détail Dépenses'!Y33</f>
        <v>187950</v>
      </c>
      <c r="I20" s="89">
        <f t="shared" si="1"/>
        <v>0.448568019093079</v>
      </c>
      <c r="J20" s="38">
        <f t="shared" ref="J20:J27" si="11">G20-H20</f>
        <v>231050</v>
      </c>
      <c r="K20" s="85">
        <v>232000</v>
      </c>
      <c r="L20" s="85">
        <f t="shared" si="9"/>
        <v>950</v>
      </c>
      <c r="M20" s="222">
        <f t="shared" si="10"/>
        <v>2157700</v>
      </c>
      <c r="N20" s="223"/>
      <c r="O20" s="224">
        <v>7000</v>
      </c>
      <c r="P20" s="88">
        <v>27000</v>
      </c>
      <c r="Q20" s="88"/>
      <c r="R20" s="88"/>
      <c r="S20" s="88"/>
      <c r="T20" s="88"/>
      <c r="U20" s="88">
        <v>2000</v>
      </c>
      <c r="V20" s="243"/>
      <c r="W20" s="245"/>
      <c r="X20" s="245"/>
      <c r="Y20" s="253">
        <f t="shared" si="4"/>
        <v>36000</v>
      </c>
      <c r="Z20" s="255"/>
      <c r="AA20" s="245"/>
      <c r="AB20" s="253">
        <f t="shared" si="5"/>
        <v>0</v>
      </c>
      <c r="AC20" s="133"/>
      <c r="AD20" s="69"/>
      <c r="AE20" s="69"/>
      <c r="AF20" s="69"/>
      <c r="AG20" s="69"/>
      <c r="AH20" s="69"/>
      <c r="AI20" s="69"/>
      <c r="AJ20" s="69"/>
      <c r="AK20" s="69"/>
      <c r="AL20" s="69"/>
    </row>
    <row r="21" ht="15.75" customHeight="1" spans="1:38">
      <c r="A21" s="202">
        <v>45065</v>
      </c>
      <c r="B21" s="36">
        <v>470500</v>
      </c>
      <c r="C21" s="38"/>
      <c r="D21" s="38"/>
      <c r="E21" s="38"/>
      <c r="F21" s="38"/>
      <c r="G21" s="203">
        <f t="shared" si="0"/>
        <v>375000</v>
      </c>
      <c r="H21" s="38">
        <f>'Détail Dépenses'!Y34</f>
        <v>360050</v>
      </c>
      <c r="I21" s="80">
        <f t="shared" si="1"/>
        <v>0.960133333333333</v>
      </c>
      <c r="J21" s="38">
        <f t="shared" si="11"/>
        <v>14950</v>
      </c>
      <c r="K21" s="85">
        <v>15000</v>
      </c>
      <c r="L21" s="85">
        <f t="shared" si="9"/>
        <v>50</v>
      </c>
      <c r="M21" s="222">
        <f t="shared" si="10"/>
        <v>2172700</v>
      </c>
      <c r="N21" s="223"/>
      <c r="O21" s="224"/>
      <c r="P21" s="88">
        <v>92000</v>
      </c>
      <c r="Q21" s="88"/>
      <c r="R21" s="88"/>
      <c r="S21" s="88"/>
      <c r="T21" s="88"/>
      <c r="U21" s="88">
        <v>3500</v>
      </c>
      <c r="V21" s="243"/>
      <c r="W21" s="245"/>
      <c r="X21" s="245"/>
      <c r="Y21" s="253">
        <f t="shared" si="4"/>
        <v>95500</v>
      </c>
      <c r="Z21" s="255"/>
      <c r="AA21" s="245"/>
      <c r="AB21" s="253">
        <f t="shared" si="5"/>
        <v>0</v>
      </c>
      <c r="AC21" s="133"/>
      <c r="AD21" s="69"/>
      <c r="AE21" s="69"/>
      <c r="AF21" s="69"/>
      <c r="AG21" s="69"/>
      <c r="AH21" s="69"/>
      <c r="AI21" s="69"/>
      <c r="AJ21" s="69"/>
      <c r="AK21" s="69"/>
      <c r="AL21" s="69"/>
    </row>
    <row r="22" ht="15.75" customHeight="1" spans="1:38">
      <c r="A22" s="202">
        <v>45066</v>
      </c>
      <c r="B22" s="36">
        <v>770250</v>
      </c>
      <c r="C22" s="38"/>
      <c r="D22" s="38"/>
      <c r="E22" s="38"/>
      <c r="F22" s="38"/>
      <c r="G22" s="203">
        <f t="shared" si="0"/>
        <v>745250</v>
      </c>
      <c r="H22" s="38">
        <f>'Détail Dépenses'!Y35</f>
        <v>125900</v>
      </c>
      <c r="I22" s="89">
        <f t="shared" si="1"/>
        <v>0.168936598456894</v>
      </c>
      <c r="J22" s="38">
        <f t="shared" si="11"/>
        <v>619350</v>
      </c>
      <c r="K22" s="85">
        <v>620000</v>
      </c>
      <c r="L22" s="85">
        <f t="shared" si="9"/>
        <v>650</v>
      </c>
      <c r="M22" s="222">
        <f t="shared" si="10"/>
        <v>2792700</v>
      </c>
      <c r="N22" s="223"/>
      <c r="O22" s="224">
        <v>18500</v>
      </c>
      <c r="P22" s="88"/>
      <c r="Q22" s="88"/>
      <c r="R22" s="88"/>
      <c r="S22" s="88"/>
      <c r="T22" s="88"/>
      <c r="U22" s="88">
        <v>6500</v>
      </c>
      <c r="V22" s="243"/>
      <c r="W22" s="245"/>
      <c r="X22" s="245"/>
      <c r="Y22" s="253">
        <f t="shared" si="4"/>
        <v>25000</v>
      </c>
      <c r="Z22" s="255"/>
      <c r="AA22" s="245"/>
      <c r="AB22" s="253">
        <f t="shared" si="5"/>
        <v>0</v>
      </c>
      <c r="AC22" s="133"/>
      <c r="AD22" s="69"/>
      <c r="AE22" s="69"/>
      <c r="AF22" s="69"/>
      <c r="AG22" s="69"/>
      <c r="AH22" s="69"/>
      <c r="AI22" s="69"/>
      <c r="AJ22" s="69"/>
      <c r="AK22" s="69"/>
      <c r="AL22" s="69"/>
    </row>
    <row r="23" ht="15.75" customHeight="1" spans="1:38">
      <c r="A23" s="204">
        <v>45067</v>
      </c>
      <c r="B23" s="44">
        <v>276500</v>
      </c>
      <c r="C23" s="42"/>
      <c r="D23" s="42"/>
      <c r="E23" s="42"/>
      <c r="F23" s="42"/>
      <c r="G23" s="205">
        <f t="shared" si="0"/>
        <v>276500</v>
      </c>
      <c r="H23" s="42">
        <f>'Détail Dépenses'!Y36</f>
        <v>403772.26</v>
      </c>
      <c r="I23" s="80">
        <f t="shared" si="1"/>
        <v>1.4602975045208</v>
      </c>
      <c r="J23" s="42">
        <f t="shared" si="11"/>
        <v>-127272.26</v>
      </c>
      <c r="K23" s="90">
        <f>53000-42000-140000</f>
        <v>-129000</v>
      </c>
      <c r="L23" s="90">
        <f t="shared" si="9"/>
        <v>-1727.73999999999</v>
      </c>
      <c r="M23" s="225">
        <f t="shared" si="10"/>
        <v>2663700</v>
      </c>
      <c r="N23" s="226"/>
      <c r="O23" s="227"/>
      <c r="P23" s="93"/>
      <c r="Q23" s="93"/>
      <c r="R23" s="93"/>
      <c r="S23" s="93"/>
      <c r="T23" s="93"/>
      <c r="U23" s="93"/>
      <c r="V23" s="244"/>
      <c r="W23" s="246"/>
      <c r="X23" s="246"/>
      <c r="Y23" s="253">
        <f t="shared" si="4"/>
        <v>0</v>
      </c>
      <c r="Z23" s="256"/>
      <c r="AA23" s="246"/>
      <c r="AB23" s="253">
        <f t="shared" si="5"/>
        <v>0</v>
      </c>
      <c r="AC23" s="133"/>
      <c r="AD23" s="69"/>
      <c r="AE23" s="69"/>
      <c r="AF23" s="69"/>
      <c r="AG23" s="69"/>
      <c r="AH23" s="69"/>
      <c r="AI23" s="69"/>
      <c r="AJ23" s="69"/>
      <c r="AK23" s="69"/>
      <c r="AL23" s="69"/>
    </row>
    <row r="24" ht="15.75" customHeight="1" spans="1:38">
      <c r="A24" s="200">
        <v>45068</v>
      </c>
      <c r="B24" s="43">
        <v>214150</v>
      </c>
      <c r="C24" s="33"/>
      <c r="D24" s="33"/>
      <c r="E24" s="33"/>
      <c r="F24" s="33"/>
      <c r="G24" s="201">
        <f t="shared" si="0"/>
        <v>214150</v>
      </c>
      <c r="H24" s="33">
        <f>'Détail Dépenses'!Y37</f>
        <v>805850</v>
      </c>
      <c r="I24" s="89">
        <f t="shared" si="1"/>
        <v>3.76301657716554</v>
      </c>
      <c r="J24" s="33">
        <f t="shared" si="11"/>
        <v>-591700</v>
      </c>
      <c r="K24" s="81">
        <f>139050-730550</f>
        <v>-591500</v>
      </c>
      <c r="L24" s="81">
        <f t="shared" si="9"/>
        <v>200</v>
      </c>
      <c r="M24" s="219">
        <f t="shared" si="10"/>
        <v>2072200</v>
      </c>
      <c r="N24" s="228"/>
      <c r="O24" s="229"/>
      <c r="P24" s="84"/>
      <c r="Q24" s="84"/>
      <c r="R24" s="84"/>
      <c r="S24" s="84"/>
      <c r="T24" s="84"/>
      <c r="U24" s="84"/>
      <c r="V24" s="242"/>
      <c r="W24" s="247"/>
      <c r="X24" s="247"/>
      <c r="Y24" s="253">
        <f t="shared" si="4"/>
        <v>0</v>
      </c>
      <c r="Z24" s="254"/>
      <c r="AA24" s="247"/>
      <c r="AB24" s="253">
        <f t="shared" si="5"/>
        <v>0</v>
      </c>
      <c r="AC24" s="133"/>
      <c r="AD24" s="69"/>
      <c r="AE24" s="69"/>
      <c r="AF24" s="69"/>
      <c r="AG24" s="69"/>
      <c r="AH24" s="69"/>
      <c r="AI24" s="69"/>
      <c r="AJ24" s="69"/>
      <c r="AK24" s="69"/>
      <c r="AL24" s="69"/>
    </row>
    <row r="25" ht="15.75" customHeight="1" spans="1:38">
      <c r="A25" s="206">
        <v>45069</v>
      </c>
      <c r="B25" s="36">
        <v>476500</v>
      </c>
      <c r="C25" s="38"/>
      <c r="D25" s="38"/>
      <c r="E25" s="38"/>
      <c r="F25" s="38"/>
      <c r="G25" s="207">
        <f t="shared" si="0"/>
        <v>446500</v>
      </c>
      <c r="H25" s="38">
        <f>'Détail Dépenses'!Y38</f>
        <v>63000</v>
      </c>
      <c r="I25" s="80">
        <f t="shared" si="1"/>
        <v>0.141097424412094</v>
      </c>
      <c r="J25" s="38">
        <f t="shared" si="11"/>
        <v>383500</v>
      </c>
      <c r="K25" s="85">
        <f>383500</f>
        <v>383500</v>
      </c>
      <c r="L25" s="85">
        <f t="shared" si="9"/>
        <v>0</v>
      </c>
      <c r="M25" s="222">
        <f t="shared" si="10"/>
        <v>2455700</v>
      </c>
      <c r="N25" s="230"/>
      <c r="O25" s="231">
        <v>16000</v>
      </c>
      <c r="P25" s="88"/>
      <c r="Q25" s="88">
        <v>14000</v>
      </c>
      <c r="R25" s="88"/>
      <c r="S25" s="88"/>
      <c r="T25" s="88"/>
      <c r="U25" s="88"/>
      <c r="V25" s="243"/>
      <c r="W25" s="245"/>
      <c r="X25" s="245"/>
      <c r="Y25" s="253">
        <f t="shared" si="4"/>
        <v>30000</v>
      </c>
      <c r="Z25" s="255"/>
      <c r="AA25" s="245"/>
      <c r="AB25" s="253">
        <f t="shared" si="5"/>
        <v>0</v>
      </c>
      <c r="AC25" s="133"/>
      <c r="AD25" s="69"/>
      <c r="AE25" s="69"/>
      <c r="AF25" s="69"/>
      <c r="AG25" s="69"/>
      <c r="AH25" s="69"/>
      <c r="AI25" s="69"/>
      <c r="AJ25" s="69"/>
      <c r="AK25" s="69"/>
      <c r="AL25" s="69"/>
    </row>
    <row r="26" ht="15.75" customHeight="1" spans="1:38">
      <c r="A26" s="202">
        <v>45070</v>
      </c>
      <c r="B26" s="36">
        <v>190600</v>
      </c>
      <c r="C26" s="38"/>
      <c r="D26" s="38"/>
      <c r="E26" s="38"/>
      <c r="F26" s="38"/>
      <c r="G26" s="203">
        <f>B26-4000</f>
        <v>186600</v>
      </c>
      <c r="H26" s="38">
        <f>'Détail Dépenses'!Y39</f>
        <v>323850</v>
      </c>
      <c r="I26" s="89">
        <f t="shared" si="1"/>
        <v>1.73553054662379</v>
      </c>
      <c r="J26" s="38">
        <f t="shared" si="11"/>
        <v>-137250</v>
      </c>
      <c r="K26" s="85">
        <f>-132250-5000</f>
        <v>-137250</v>
      </c>
      <c r="L26" s="85">
        <v>0</v>
      </c>
      <c r="M26" s="222">
        <f t="shared" si="10"/>
        <v>2318450</v>
      </c>
      <c r="N26" s="230"/>
      <c r="O26" s="231">
        <f>46000+4000+8500</f>
        <v>58500</v>
      </c>
      <c r="P26" s="88">
        <v>18000</v>
      </c>
      <c r="Q26" s="88">
        <v>13000</v>
      </c>
      <c r="R26" s="88"/>
      <c r="S26" s="88"/>
      <c r="T26" s="88"/>
      <c r="U26" s="88">
        <f>7500</f>
        <v>7500</v>
      </c>
      <c r="V26" s="243"/>
      <c r="W26" s="245"/>
      <c r="X26" s="245">
        <f>8000</f>
        <v>8000</v>
      </c>
      <c r="Y26" s="253">
        <f t="shared" si="4"/>
        <v>105000</v>
      </c>
      <c r="Z26" s="255"/>
      <c r="AA26" s="245">
        <v>500</v>
      </c>
      <c r="AB26" s="253">
        <f t="shared" si="5"/>
        <v>500</v>
      </c>
      <c r="AC26" s="133"/>
      <c r="AD26" s="69"/>
      <c r="AE26" s="69"/>
      <c r="AF26" s="69"/>
      <c r="AG26" s="69"/>
      <c r="AH26" s="69"/>
      <c r="AI26" s="69"/>
      <c r="AJ26" s="69"/>
      <c r="AK26" s="69"/>
      <c r="AL26" s="69"/>
    </row>
    <row r="27" ht="15.75" customHeight="1" spans="1:38">
      <c r="A27" s="202">
        <v>45071</v>
      </c>
      <c r="B27" s="36">
        <f>245500</f>
        <v>245500</v>
      </c>
      <c r="C27" s="38"/>
      <c r="D27" s="38"/>
      <c r="E27" s="38"/>
      <c r="F27" s="38"/>
      <c r="G27" s="203">
        <f t="shared" ref="G27:G30" si="12">(B27+C27+D27+E27+F27)</f>
        <v>245500</v>
      </c>
      <c r="H27" s="38">
        <f>'Détail Dépenses'!Y40</f>
        <v>127600</v>
      </c>
      <c r="I27" s="80">
        <f t="shared" si="1"/>
        <v>0.519755600814664</v>
      </c>
      <c r="J27" s="38">
        <f t="shared" si="11"/>
        <v>117900</v>
      </c>
      <c r="K27" s="85">
        <v>-14350</v>
      </c>
      <c r="L27" s="85">
        <v>0</v>
      </c>
      <c r="M27" s="222">
        <f t="shared" si="10"/>
        <v>2304100</v>
      </c>
      <c r="N27" s="230"/>
      <c r="O27" s="231"/>
      <c r="P27" s="88">
        <v>62500</v>
      </c>
      <c r="Q27" s="88">
        <v>32000</v>
      </c>
      <c r="R27" s="88"/>
      <c r="S27" s="88"/>
      <c r="T27" s="88"/>
      <c r="U27" s="88"/>
      <c r="V27" s="243">
        <v>5000</v>
      </c>
      <c r="W27" s="245"/>
      <c r="X27" s="245"/>
      <c r="Y27" s="253">
        <f t="shared" si="4"/>
        <v>99500</v>
      </c>
      <c r="Z27" s="255">
        <v>2000</v>
      </c>
      <c r="AA27" s="245">
        <v>500</v>
      </c>
      <c r="AB27" s="253">
        <f t="shared" si="5"/>
        <v>2500</v>
      </c>
      <c r="AC27" s="133"/>
      <c r="AD27" s="69"/>
      <c r="AE27" s="69"/>
      <c r="AF27" s="69"/>
      <c r="AG27" s="69"/>
      <c r="AH27" s="69"/>
      <c r="AI27" s="69"/>
      <c r="AJ27" s="69"/>
      <c r="AK27" s="69"/>
      <c r="AL27" s="69"/>
    </row>
    <row r="28" ht="15.75" customHeight="1" spans="1:38">
      <c r="A28" s="202">
        <v>45072</v>
      </c>
      <c r="B28" s="36">
        <v>302000</v>
      </c>
      <c r="C28" s="38"/>
      <c r="D28" s="38"/>
      <c r="E28" s="38"/>
      <c r="F28" s="38"/>
      <c r="G28" s="203">
        <f t="shared" si="12"/>
        <v>302000</v>
      </c>
      <c r="H28" s="38">
        <f>'Détail Dépenses'!Y41</f>
        <v>122650</v>
      </c>
      <c r="I28" s="89">
        <f t="shared" si="1"/>
        <v>0.40612582781457</v>
      </c>
      <c r="J28" s="38">
        <f>(G28-H28)-14350</f>
        <v>165000</v>
      </c>
      <c r="K28" s="85">
        <v>138450</v>
      </c>
      <c r="L28" s="85">
        <f>K28-J28</f>
        <v>-26550</v>
      </c>
      <c r="M28" s="222">
        <f t="shared" si="10"/>
        <v>2442550</v>
      </c>
      <c r="N28" s="230"/>
      <c r="O28" s="231">
        <v>6000</v>
      </c>
      <c r="P28" s="88">
        <f>12500+45000</f>
        <v>57500</v>
      </c>
      <c r="Q28" s="88">
        <v>28000</v>
      </c>
      <c r="R28" s="88"/>
      <c r="S28" s="88"/>
      <c r="T28" s="88"/>
      <c r="U28" s="88"/>
      <c r="V28" s="243"/>
      <c r="W28" s="245"/>
      <c r="X28" s="245"/>
      <c r="Y28" s="253">
        <f t="shared" si="4"/>
        <v>91500</v>
      </c>
      <c r="Z28" s="255">
        <f>2000+500</f>
        <v>2500</v>
      </c>
      <c r="AA28" s="245">
        <v>500</v>
      </c>
      <c r="AB28" s="253">
        <f t="shared" si="5"/>
        <v>3000</v>
      </c>
      <c r="AC28" s="133"/>
      <c r="AD28" s="69"/>
      <c r="AE28" s="69"/>
      <c r="AF28" s="69"/>
      <c r="AG28" s="69"/>
      <c r="AH28" s="69"/>
      <c r="AI28" s="69"/>
      <c r="AJ28" s="69"/>
      <c r="AK28" s="69"/>
      <c r="AL28" s="69"/>
    </row>
    <row r="29" ht="15.75" customHeight="1" spans="1:38">
      <c r="A29" s="202">
        <v>45073</v>
      </c>
      <c r="B29" s="36">
        <f>481500-E29</f>
        <v>479000</v>
      </c>
      <c r="C29" s="38"/>
      <c r="D29" s="38"/>
      <c r="E29" s="38">
        <v>2500</v>
      </c>
      <c r="F29" s="38"/>
      <c r="G29" s="203">
        <f t="shared" si="12"/>
        <v>481500</v>
      </c>
      <c r="H29" s="38">
        <f>'Détail Dépenses'!Y42</f>
        <v>176750</v>
      </c>
      <c r="I29" s="80">
        <f t="shared" si="1"/>
        <v>0.367082035306334</v>
      </c>
      <c r="J29" s="38">
        <f t="shared" ref="J29:J30" si="13">G29-H29</f>
        <v>304750</v>
      </c>
      <c r="K29" s="85">
        <v>302250</v>
      </c>
      <c r="L29" s="85"/>
      <c r="M29" s="222">
        <f t="shared" si="10"/>
        <v>2744800</v>
      </c>
      <c r="N29" s="230"/>
      <c r="O29" s="231">
        <v>7500</v>
      </c>
      <c r="P29" s="88"/>
      <c r="Q29" s="88">
        <v>90500</v>
      </c>
      <c r="R29" s="88"/>
      <c r="S29" s="88"/>
      <c r="T29" s="88"/>
      <c r="U29" s="88">
        <v>11500</v>
      </c>
      <c r="V29" s="243"/>
      <c r="W29" s="245"/>
      <c r="X29" s="245"/>
      <c r="Y29" s="253">
        <f t="shared" si="4"/>
        <v>109500</v>
      </c>
      <c r="Z29" s="255">
        <v>2000</v>
      </c>
      <c r="AA29" s="245">
        <v>1000</v>
      </c>
      <c r="AB29" s="253">
        <f t="shared" si="5"/>
        <v>3000</v>
      </c>
      <c r="AC29" s="133"/>
      <c r="AD29" s="69"/>
      <c r="AE29" s="69"/>
      <c r="AF29" s="69"/>
      <c r="AG29" s="69"/>
      <c r="AH29" s="69"/>
      <c r="AI29" s="69"/>
      <c r="AJ29" s="69"/>
      <c r="AK29" s="69"/>
      <c r="AL29" s="69"/>
    </row>
    <row r="30" ht="15.75" customHeight="1" spans="1:38">
      <c r="A30" s="204">
        <v>45074</v>
      </c>
      <c r="B30" s="44">
        <v>615250</v>
      </c>
      <c r="C30" s="42"/>
      <c r="D30" s="42"/>
      <c r="E30" s="42"/>
      <c r="F30" s="42"/>
      <c r="G30" s="205">
        <f t="shared" si="12"/>
        <v>615250</v>
      </c>
      <c r="H30" s="42">
        <f>'Détail Dépenses'!Y43</f>
        <v>663600</v>
      </c>
      <c r="I30" s="89">
        <f t="shared" si="1"/>
        <v>1.07858594067452</v>
      </c>
      <c r="J30" s="42">
        <f t="shared" si="13"/>
        <v>-48350</v>
      </c>
      <c r="K30" s="90">
        <f>369500-30000-142500-130000-136450-5350</f>
        <v>-74800</v>
      </c>
      <c r="L30" s="90">
        <f t="shared" ref="L30:L33" si="14">K30-J30</f>
        <v>-26450</v>
      </c>
      <c r="M30" s="225">
        <f t="shared" si="10"/>
        <v>2670000</v>
      </c>
      <c r="N30" s="232"/>
      <c r="O30" s="233">
        <v>4000</v>
      </c>
      <c r="P30" s="93"/>
      <c r="Q30" s="93">
        <f>30000+18000</f>
        <v>48000</v>
      </c>
      <c r="R30" s="93"/>
      <c r="S30" s="93"/>
      <c r="T30" s="93"/>
      <c r="U30" s="93">
        <v>7500</v>
      </c>
      <c r="V30" s="244"/>
      <c r="W30" s="246"/>
      <c r="X30" s="246"/>
      <c r="Y30" s="253">
        <f t="shared" si="4"/>
        <v>59500</v>
      </c>
      <c r="Z30" s="256">
        <v>2000</v>
      </c>
      <c r="AA30" s="246"/>
      <c r="AB30" s="253">
        <f t="shared" si="5"/>
        <v>2000</v>
      </c>
      <c r="AC30" s="133"/>
      <c r="AD30" s="69"/>
      <c r="AE30" s="69"/>
      <c r="AF30" s="69"/>
      <c r="AG30" s="69"/>
      <c r="AH30" s="69"/>
      <c r="AI30" s="69"/>
      <c r="AJ30" s="69"/>
      <c r="AK30" s="69"/>
      <c r="AL30" s="69"/>
    </row>
    <row r="31" ht="15.75" customHeight="1" spans="1:38">
      <c r="A31" s="200">
        <v>45075</v>
      </c>
      <c r="B31" s="43">
        <f>214500-E31</f>
        <v>203000</v>
      </c>
      <c r="C31" s="33"/>
      <c r="D31" s="33"/>
      <c r="E31" s="33">
        <v>11500</v>
      </c>
      <c r="F31" s="33"/>
      <c r="G31" s="201">
        <f t="shared" ref="G31:G33" si="15">(B31+E31)</f>
        <v>214500</v>
      </c>
      <c r="H31" s="33">
        <f>'Détail Dépenses'!Y44</f>
        <v>135800</v>
      </c>
      <c r="I31" s="80">
        <f t="shared" si="1"/>
        <v>0.633100233100233</v>
      </c>
      <c r="J31" s="33">
        <f>G31-H31-E31</f>
        <v>67200</v>
      </c>
      <c r="K31" s="81">
        <v>67200</v>
      </c>
      <c r="L31" s="81">
        <f t="shared" si="14"/>
        <v>0</v>
      </c>
      <c r="M31" s="219">
        <f t="shared" si="10"/>
        <v>2737200</v>
      </c>
      <c r="N31" s="228"/>
      <c r="O31" s="229">
        <v>6500</v>
      </c>
      <c r="P31" s="84"/>
      <c r="Q31" s="84"/>
      <c r="R31" s="84"/>
      <c r="S31" s="84"/>
      <c r="T31" s="84"/>
      <c r="U31" s="84">
        <v>2000</v>
      </c>
      <c r="V31" s="242"/>
      <c r="W31" s="247"/>
      <c r="X31" s="247"/>
      <c r="Y31" s="253">
        <f t="shared" si="4"/>
        <v>8500</v>
      </c>
      <c r="Z31" s="254">
        <v>500</v>
      </c>
      <c r="AA31" s="247"/>
      <c r="AB31" s="253">
        <f t="shared" si="5"/>
        <v>500</v>
      </c>
      <c r="AC31" s="133"/>
      <c r="AD31" s="69"/>
      <c r="AE31" s="69"/>
      <c r="AF31" s="69"/>
      <c r="AG31" s="69"/>
      <c r="AH31" s="69"/>
      <c r="AI31" s="69"/>
      <c r="AJ31" s="69"/>
      <c r="AK31" s="69"/>
      <c r="AL31" s="69"/>
    </row>
    <row r="32" ht="15.75" customHeight="1" spans="1:38">
      <c r="A32" s="202">
        <v>45076</v>
      </c>
      <c r="B32" s="36">
        <v>209250</v>
      </c>
      <c r="C32" s="38"/>
      <c r="D32" s="38"/>
      <c r="E32" s="38"/>
      <c r="F32" s="38"/>
      <c r="G32" s="203">
        <f t="shared" si="15"/>
        <v>209250</v>
      </c>
      <c r="H32" s="38">
        <f>'Détail Dépenses'!Y45</f>
        <v>111450</v>
      </c>
      <c r="I32" s="24">
        <f t="shared" si="1"/>
        <v>0.532616487455197</v>
      </c>
      <c r="J32" s="38">
        <f t="shared" ref="J32:J33" si="16">G32-H32</f>
        <v>97800</v>
      </c>
      <c r="K32" s="85">
        <v>95200</v>
      </c>
      <c r="L32" s="85">
        <f t="shared" si="14"/>
        <v>-2600</v>
      </c>
      <c r="M32" s="222">
        <f t="shared" si="10"/>
        <v>2832400</v>
      </c>
      <c r="N32" s="230"/>
      <c r="O32" s="234">
        <v>12000</v>
      </c>
      <c r="P32" s="235"/>
      <c r="Q32" s="235">
        <v>11000</v>
      </c>
      <c r="R32" s="235"/>
      <c r="S32" s="235"/>
      <c r="T32" s="235"/>
      <c r="U32" s="235">
        <f>1000+4500</f>
        <v>5500</v>
      </c>
      <c r="V32" s="248"/>
      <c r="W32" s="249"/>
      <c r="X32" s="249"/>
      <c r="Y32" s="253">
        <f t="shared" si="4"/>
        <v>28500</v>
      </c>
      <c r="Z32" s="257">
        <v>1000</v>
      </c>
      <c r="AA32" s="245">
        <v>1500</v>
      </c>
      <c r="AB32" s="253">
        <f t="shared" si="5"/>
        <v>2500</v>
      </c>
      <c r="AC32" s="133"/>
      <c r="AD32" s="69"/>
      <c r="AE32" s="69"/>
      <c r="AF32" s="69"/>
      <c r="AG32" s="69"/>
      <c r="AH32" s="69"/>
      <c r="AI32" s="69"/>
      <c r="AJ32" s="69"/>
      <c r="AK32" s="69"/>
      <c r="AL32" s="69"/>
    </row>
    <row r="33" ht="16.5" customHeight="1" spans="1:38">
      <c r="A33" s="204">
        <v>45077</v>
      </c>
      <c r="B33" s="44">
        <v>494250</v>
      </c>
      <c r="C33" s="90"/>
      <c r="D33" s="90"/>
      <c r="E33" s="90"/>
      <c r="F33" s="90"/>
      <c r="G33" s="205">
        <f t="shared" si="15"/>
        <v>494250</v>
      </c>
      <c r="H33" s="42">
        <f>'Détail Dépenses'!Y46</f>
        <v>2530650</v>
      </c>
      <c r="I33" s="89">
        <f t="shared" si="1"/>
        <v>5.12018209408194</v>
      </c>
      <c r="J33" s="42">
        <f t="shared" si="16"/>
        <v>-2036400</v>
      </c>
      <c r="K33" s="42">
        <f>409000-300000-685000-265000-170000-70000-100000-80000-96000-40000-85150-54000-200000</f>
        <v>-1736150</v>
      </c>
      <c r="L33" s="90">
        <f t="shared" si="14"/>
        <v>300250</v>
      </c>
      <c r="M33" s="225">
        <f t="shared" si="10"/>
        <v>1096250</v>
      </c>
      <c r="N33" s="232"/>
      <c r="O33" s="236">
        <v>8000</v>
      </c>
      <c r="P33" s="237">
        <v>137000</v>
      </c>
      <c r="Q33" s="237"/>
      <c r="R33" s="237"/>
      <c r="S33" s="237"/>
      <c r="T33" s="237">
        <v>79500</v>
      </c>
      <c r="U33" s="237">
        <v>6000</v>
      </c>
      <c r="V33" s="250"/>
      <c r="W33" s="251"/>
      <c r="X33" s="251"/>
      <c r="Y33" s="253">
        <f t="shared" si="4"/>
        <v>230500</v>
      </c>
      <c r="Z33" s="258"/>
      <c r="AA33" s="246">
        <v>5500</v>
      </c>
      <c r="AB33" s="253">
        <f t="shared" si="5"/>
        <v>5500</v>
      </c>
      <c r="AC33" s="133"/>
      <c r="AD33" s="69"/>
      <c r="AE33" s="69"/>
      <c r="AF33" s="69"/>
      <c r="AG33" s="69"/>
      <c r="AH33" s="69"/>
      <c r="AI33" s="69"/>
      <c r="AJ33" s="69"/>
      <c r="AK33" s="69"/>
      <c r="AL33" s="69"/>
    </row>
    <row r="34" ht="16.5" customHeight="1" spans="1:38">
      <c r="A34" s="208" t="s">
        <v>44</v>
      </c>
      <c r="B34" s="47">
        <f t="shared" ref="B34:H34" si="17">SUM(B3:B33)</f>
        <v>13204050</v>
      </c>
      <c r="C34" s="47">
        <f t="shared" si="17"/>
        <v>24500</v>
      </c>
      <c r="D34" s="47">
        <f t="shared" si="17"/>
        <v>0</v>
      </c>
      <c r="E34" s="47">
        <f t="shared" si="17"/>
        <v>14000</v>
      </c>
      <c r="F34" s="47">
        <f t="shared" si="17"/>
        <v>20000</v>
      </c>
      <c r="G34" s="47">
        <f t="shared" si="17"/>
        <v>12225050</v>
      </c>
      <c r="H34" s="47">
        <f t="shared" si="17"/>
        <v>11090049.65623</v>
      </c>
      <c r="I34" s="47"/>
      <c r="J34" s="47">
        <f t="shared" ref="J34:L34" si="18">SUM(J3:J33)</f>
        <v>1068900.34377</v>
      </c>
      <c r="K34" s="47">
        <f t="shared" si="18"/>
        <v>963850</v>
      </c>
      <c r="L34" s="47">
        <f t="shared" si="18"/>
        <v>274072.26</v>
      </c>
      <c r="M34" s="47">
        <f>M33</f>
        <v>1096250</v>
      </c>
      <c r="N34" s="238"/>
      <c r="O34" s="239">
        <f t="shared" ref="O34:AA34" si="19">SUM(O3:O33)</f>
        <v>358500</v>
      </c>
      <c r="P34" s="239">
        <f t="shared" si="19"/>
        <v>710000</v>
      </c>
      <c r="Q34" s="239">
        <f t="shared" si="19"/>
        <v>236500</v>
      </c>
      <c r="R34" s="239">
        <f t="shared" si="19"/>
        <v>168500</v>
      </c>
      <c r="S34" s="239">
        <f t="shared" si="19"/>
        <v>0</v>
      </c>
      <c r="T34" s="239">
        <f t="shared" si="19"/>
        <v>79500</v>
      </c>
      <c r="U34" s="239">
        <f t="shared" si="19"/>
        <v>113000</v>
      </c>
      <c r="V34" s="239">
        <f t="shared" si="19"/>
        <v>25000</v>
      </c>
      <c r="W34" s="252">
        <f t="shared" si="19"/>
        <v>2500</v>
      </c>
      <c r="X34" s="252">
        <f t="shared" si="19"/>
        <v>72500</v>
      </c>
      <c r="Y34" s="252">
        <f t="shared" si="19"/>
        <v>1766000</v>
      </c>
      <c r="Z34" s="252">
        <f t="shared" si="19"/>
        <v>14000</v>
      </c>
      <c r="AA34" s="252">
        <f t="shared" si="19"/>
        <v>10000</v>
      </c>
      <c r="AB34" s="259">
        <f>Y34+Z34+AA34</f>
        <v>1790000</v>
      </c>
      <c r="AC34" s="133"/>
      <c r="AD34" s="69"/>
      <c r="AE34" s="69"/>
      <c r="AF34" s="69"/>
      <c r="AG34" s="69"/>
      <c r="AH34" s="69"/>
      <c r="AI34" s="69"/>
      <c r="AJ34" s="69"/>
      <c r="AK34" s="69"/>
      <c r="AL34" s="69"/>
    </row>
    <row r="35" ht="15.75" customHeight="1" spans="1:38">
      <c r="A35" s="209"/>
      <c r="B35" s="210"/>
      <c r="C35" s="50">
        <f t="shared" ref="C35:F35" si="20">C34/$G$34</f>
        <v>0.00200408178289659</v>
      </c>
      <c r="D35" s="50">
        <f t="shared" si="20"/>
        <v>0</v>
      </c>
      <c r="E35" s="50">
        <f t="shared" si="20"/>
        <v>0.00114518959022662</v>
      </c>
      <c r="F35" s="50">
        <f t="shared" si="20"/>
        <v>0.00163598512889518</v>
      </c>
      <c r="G35" s="50"/>
      <c r="H35" s="50">
        <f>H34/$G$34</f>
        <v>0.907157815815068</v>
      </c>
      <c r="I35" s="50"/>
      <c r="J35" s="50">
        <f t="shared" ref="J35:M35" si="21">J34/$G$34</f>
        <v>0.0874352533339332</v>
      </c>
      <c r="K35" s="50">
        <f t="shared" si="21"/>
        <v>0.0788422133242809</v>
      </c>
      <c r="L35" s="50">
        <f t="shared" si="21"/>
        <v>0.0224189070801346</v>
      </c>
      <c r="M35" s="50">
        <f t="shared" si="21"/>
        <v>0.089672434877567</v>
      </c>
      <c r="N35" s="238"/>
      <c r="O35" s="50">
        <f t="shared" ref="O35:AA35" si="22">O34/$AB$34</f>
        <v>0.200279329608939</v>
      </c>
      <c r="P35" s="50">
        <f t="shared" si="22"/>
        <v>0.396648044692737</v>
      </c>
      <c r="Q35" s="50">
        <f t="shared" si="22"/>
        <v>0.132122905027933</v>
      </c>
      <c r="R35" s="50">
        <f t="shared" si="22"/>
        <v>0.0941340782122905</v>
      </c>
      <c r="S35" s="50">
        <f t="shared" si="22"/>
        <v>0</v>
      </c>
      <c r="T35" s="50">
        <f t="shared" si="22"/>
        <v>0.0444134078212291</v>
      </c>
      <c r="U35" s="50">
        <f t="shared" si="22"/>
        <v>0.0631284916201117</v>
      </c>
      <c r="V35" s="50">
        <f t="shared" si="22"/>
        <v>0.0139664804469274</v>
      </c>
      <c r="W35" s="50">
        <f t="shared" si="22"/>
        <v>0.00139664804469274</v>
      </c>
      <c r="X35" s="50">
        <f t="shared" si="22"/>
        <v>0.0405027932960894</v>
      </c>
      <c r="Y35" s="50">
        <f t="shared" si="22"/>
        <v>0.98659217877095</v>
      </c>
      <c r="Z35" s="50">
        <f t="shared" si="22"/>
        <v>0.00782122905027933</v>
      </c>
      <c r="AA35" s="50">
        <f t="shared" si="22"/>
        <v>0.00558659217877095</v>
      </c>
      <c r="AB35" s="238"/>
      <c r="AC35" s="133"/>
      <c r="AD35" s="69"/>
      <c r="AE35" s="69"/>
      <c r="AF35" s="69"/>
      <c r="AG35" s="69"/>
      <c r="AH35" s="69"/>
      <c r="AI35" s="69"/>
      <c r="AJ35" s="69"/>
      <c r="AK35" s="69"/>
      <c r="AL35" s="69"/>
    </row>
    <row r="36" ht="15.75" customHeight="1" spans="1:38">
      <c r="A36" s="153" t="s">
        <v>156</v>
      </c>
      <c r="B36" s="53">
        <f>G34</f>
        <v>12225050</v>
      </c>
      <c r="C36" s="211"/>
      <c r="D36" s="57"/>
      <c r="E36" s="57"/>
      <c r="F36" s="57"/>
      <c r="G36" s="99"/>
      <c r="H36" s="57"/>
      <c r="I36" s="99"/>
      <c r="J36" s="100"/>
      <c r="K36" s="101"/>
      <c r="L36" s="102"/>
      <c r="M36" s="240"/>
      <c r="N36" s="104" t="s">
        <v>185</v>
      </c>
      <c r="O36" s="105">
        <f>'AVRIL 23'!N15</f>
        <v>25950</v>
      </c>
      <c r="P36" s="105">
        <f>'AVRIL 23'!O15</f>
        <v>94950</v>
      </c>
      <c r="Q36" s="105">
        <f>'AVRIL 23'!P15</f>
        <v>4500</v>
      </c>
      <c r="R36" s="132"/>
      <c r="S36" s="66"/>
      <c r="T36" s="66"/>
      <c r="U36" s="66"/>
      <c r="V36" s="66"/>
      <c r="W36" s="66"/>
      <c r="X36" s="66"/>
      <c r="Y36" s="57"/>
      <c r="Z36" s="66"/>
      <c r="AA36" s="66"/>
      <c r="AB36" s="66"/>
      <c r="AC36" s="69"/>
      <c r="AD36" s="69"/>
      <c r="AE36" s="69"/>
      <c r="AF36" s="69"/>
      <c r="AG36" s="69"/>
      <c r="AH36" s="69"/>
      <c r="AI36" s="69"/>
      <c r="AJ36" s="69"/>
      <c r="AK36" s="69"/>
      <c r="AL36" s="69"/>
    </row>
    <row r="37" ht="15.75" customHeight="1" spans="1:38">
      <c r="A37" s="153" t="s">
        <v>176</v>
      </c>
      <c r="B37" s="53">
        <f>'Détail Dépenses'!D47+'Détail Dépenses'!E47+'Détail Dépenses'!G47+'Détail Dépenses'!H47+'Détail Dépenses'!I47</f>
        <v>6067100</v>
      </c>
      <c r="C37" s="212"/>
      <c r="D37" s="106"/>
      <c r="E37" s="106"/>
      <c r="F37" s="106"/>
      <c r="G37" s="107"/>
      <c r="H37" s="106"/>
      <c r="I37" s="107"/>
      <c r="J37" s="108"/>
      <c r="K37" s="109"/>
      <c r="L37" s="110"/>
      <c r="M37" s="241"/>
      <c r="N37" s="104" t="s">
        <v>186</v>
      </c>
      <c r="O37" s="192">
        <f t="shared" ref="O37:Q37" si="23">O34*(1-$N$2)</f>
        <v>107550</v>
      </c>
      <c r="P37" s="192">
        <f t="shared" si="23"/>
        <v>213000</v>
      </c>
      <c r="Q37" s="192">
        <f t="shared" si="23"/>
        <v>70950</v>
      </c>
      <c r="R37" s="133"/>
      <c r="S37" s="69"/>
      <c r="T37" s="69"/>
      <c r="U37" s="69"/>
      <c r="V37" s="69"/>
      <c r="W37" s="69"/>
      <c r="X37" s="69"/>
      <c r="Y37" s="106"/>
      <c r="Z37" s="69"/>
      <c r="AA37" s="69"/>
      <c r="AB37" s="69"/>
      <c r="AC37" s="69"/>
      <c r="AD37" s="69"/>
      <c r="AE37" s="69"/>
      <c r="AF37" s="69"/>
      <c r="AG37" s="69"/>
      <c r="AH37" s="69"/>
      <c r="AI37" s="69"/>
      <c r="AJ37" s="69"/>
      <c r="AK37" s="69"/>
      <c r="AL37" s="69"/>
    </row>
    <row r="38" ht="15.75" customHeight="1" spans="1:38">
      <c r="A38" s="153" t="s">
        <v>177</v>
      </c>
      <c r="B38" s="53">
        <f>G34-B37</f>
        <v>6157950</v>
      </c>
      <c r="C38" s="213"/>
      <c r="D38" s="112"/>
      <c r="E38" s="112"/>
      <c r="F38" s="112"/>
      <c r="G38" s="113"/>
      <c r="H38" s="112"/>
      <c r="I38" s="113"/>
      <c r="J38" s="114"/>
      <c r="K38" s="115"/>
      <c r="L38" s="116"/>
      <c r="M38" s="241"/>
      <c r="N38" s="123" t="s">
        <v>187</v>
      </c>
      <c r="O38" s="124">
        <f t="shared" ref="O38:Q38" si="24">SUM(O36:O37)</f>
        <v>133500</v>
      </c>
      <c r="P38" s="124">
        <f t="shared" si="24"/>
        <v>307950</v>
      </c>
      <c r="Q38" s="124">
        <f t="shared" si="24"/>
        <v>75450</v>
      </c>
      <c r="R38" s="133"/>
      <c r="S38" s="69"/>
      <c r="T38" s="69"/>
      <c r="U38" s="69"/>
      <c r="V38" s="69"/>
      <c r="W38" s="69"/>
      <c r="X38" s="69"/>
      <c r="Y38" s="106"/>
      <c r="Z38" s="69"/>
      <c r="AA38" s="69"/>
      <c r="AB38" s="69"/>
      <c r="AC38" s="69"/>
      <c r="AD38" s="69"/>
      <c r="AE38" s="69"/>
      <c r="AF38" s="69"/>
      <c r="AG38" s="69"/>
      <c r="AH38" s="69"/>
      <c r="AI38" s="69"/>
      <c r="AJ38" s="69"/>
      <c r="AK38" s="69"/>
      <c r="AL38" s="69"/>
    </row>
    <row r="39" ht="15.75" customHeight="1" spans="1:38">
      <c r="A39" s="153" t="s">
        <v>178</v>
      </c>
      <c r="B39" s="62">
        <f>B38/G34</f>
        <v>0.503715731224003</v>
      </c>
      <c r="C39" s="58"/>
      <c r="D39" s="59"/>
      <c r="E39" s="59"/>
      <c r="F39" s="59"/>
      <c r="G39" s="118"/>
      <c r="H39" s="59"/>
      <c r="I39" s="118"/>
      <c r="J39" s="119"/>
      <c r="K39" s="120"/>
      <c r="L39" s="121"/>
      <c r="M39" s="126"/>
      <c r="N39" s="66"/>
      <c r="O39" s="66"/>
      <c r="P39" s="66"/>
      <c r="Q39" s="66"/>
      <c r="R39" s="69"/>
      <c r="S39" s="69"/>
      <c r="T39" s="69"/>
      <c r="U39" s="69"/>
      <c r="V39" s="69"/>
      <c r="W39" s="69"/>
      <c r="X39" s="69"/>
      <c r="Y39" s="106"/>
      <c r="Z39" s="69"/>
      <c r="AA39" s="69"/>
      <c r="AB39" s="69"/>
      <c r="AC39" s="69"/>
      <c r="AD39" s="69"/>
      <c r="AE39" s="69"/>
      <c r="AF39" s="69"/>
      <c r="AG39" s="69"/>
      <c r="AH39" s="69"/>
      <c r="AI39" s="69"/>
      <c r="AJ39" s="69"/>
      <c r="AK39" s="69"/>
      <c r="AL39" s="69"/>
    </row>
    <row r="40" ht="15.75" customHeight="1" spans="1:38">
      <c r="A40" s="153" t="s">
        <v>20</v>
      </c>
      <c r="B40" s="53">
        <f>SUM('Détail Dépenses'!J47:V47)+'Détail Dépenses'!F47</f>
        <v>1931922.26</v>
      </c>
      <c r="C40" s="58"/>
      <c r="D40" s="59"/>
      <c r="E40" s="59"/>
      <c r="F40" s="59"/>
      <c r="G40" s="118"/>
      <c r="H40" s="59"/>
      <c r="I40" s="118"/>
      <c r="J40" s="119"/>
      <c r="K40" s="120"/>
      <c r="L40" s="121"/>
      <c r="M40" s="126"/>
      <c r="N40" s="69"/>
      <c r="O40" s="69"/>
      <c r="P40" s="69"/>
      <c r="Q40" s="69"/>
      <c r="R40" s="69"/>
      <c r="S40" s="69"/>
      <c r="T40" s="69"/>
      <c r="U40" s="69"/>
      <c r="V40" s="69"/>
      <c r="W40" s="69"/>
      <c r="X40" s="69"/>
      <c r="Y40" s="106"/>
      <c r="Z40" s="69"/>
      <c r="AA40" s="69"/>
      <c r="AB40" s="69"/>
      <c r="AC40" s="69"/>
      <c r="AD40" s="69"/>
      <c r="AE40" s="69"/>
      <c r="AF40" s="69"/>
      <c r="AG40" s="69"/>
      <c r="AH40" s="69"/>
      <c r="AI40" s="69"/>
      <c r="AJ40" s="69"/>
      <c r="AK40" s="69"/>
      <c r="AL40" s="69"/>
    </row>
    <row r="41" ht="15.75" customHeight="1" spans="1:38">
      <c r="A41" s="153" t="s">
        <v>179</v>
      </c>
      <c r="B41" s="53">
        <f>'Détail Dépenses'!W47+'Détail Dépenses'!X47</f>
        <v>3087027.39623</v>
      </c>
      <c r="C41" s="58"/>
      <c r="D41" s="59"/>
      <c r="E41" s="59"/>
      <c r="F41" s="59"/>
      <c r="G41" s="118"/>
      <c r="H41" s="59"/>
      <c r="I41" s="118"/>
      <c r="J41" s="119"/>
      <c r="K41" s="120"/>
      <c r="L41" s="121"/>
      <c r="M41" s="126"/>
      <c r="N41" s="69"/>
      <c r="O41" s="69"/>
      <c r="P41" s="69"/>
      <c r="Q41" s="69"/>
      <c r="R41" s="69"/>
      <c r="S41" s="69"/>
      <c r="T41" s="69"/>
      <c r="U41" s="69"/>
      <c r="V41" s="69"/>
      <c r="W41" s="69"/>
      <c r="X41" s="69"/>
      <c r="Y41" s="106"/>
      <c r="Z41" s="69"/>
      <c r="AA41" s="69"/>
      <c r="AB41" s="69"/>
      <c r="AC41" s="69"/>
      <c r="AD41" s="69"/>
      <c r="AE41" s="69"/>
      <c r="AF41" s="69"/>
      <c r="AG41" s="69"/>
      <c r="AH41" s="69"/>
      <c r="AI41" s="69"/>
      <c r="AJ41" s="69"/>
      <c r="AK41" s="69"/>
      <c r="AL41" s="69"/>
    </row>
    <row r="42" ht="15.75" customHeight="1" spans="1:38">
      <c r="A42" s="153" t="s">
        <v>180</v>
      </c>
      <c r="B42" s="53">
        <f>B38-B40-B41</f>
        <v>1139000.34377</v>
      </c>
      <c r="C42" s="214">
        <f>K34-B42+C34+F34</f>
        <v>-130650.34377</v>
      </c>
      <c r="D42" s="59"/>
      <c r="E42" s="59"/>
      <c r="F42" s="59"/>
      <c r="G42" s="118"/>
      <c r="H42" s="59"/>
      <c r="I42" s="118"/>
      <c r="J42" s="119"/>
      <c r="K42" s="120"/>
      <c r="L42" s="121"/>
      <c r="M42" s="126"/>
      <c r="N42" s="69"/>
      <c r="O42" s="69"/>
      <c r="P42" s="69"/>
      <c r="Q42" s="69"/>
      <c r="R42" s="69"/>
      <c r="S42" s="69"/>
      <c r="T42" s="69"/>
      <c r="U42" s="69"/>
      <c r="V42" s="69"/>
      <c r="W42" s="69"/>
      <c r="X42" s="69"/>
      <c r="Y42" s="106"/>
      <c r="Z42" s="69"/>
      <c r="AA42" s="69"/>
      <c r="AB42" s="69"/>
      <c r="AC42" s="69"/>
      <c r="AD42" s="69"/>
      <c r="AE42" s="69"/>
      <c r="AF42" s="69"/>
      <c r="AG42" s="69"/>
      <c r="AH42" s="69"/>
      <c r="AI42" s="69"/>
      <c r="AJ42" s="69"/>
      <c r="AK42" s="69"/>
      <c r="AL42" s="69"/>
    </row>
    <row r="43" ht="15.75" customHeight="1" spans="1:38">
      <c r="A43" s="153" t="s">
        <v>181</v>
      </c>
      <c r="B43" s="62">
        <f>B42/G34</f>
        <v>0.0931693812107108</v>
      </c>
      <c r="C43" s="58"/>
      <c r="D43" s="25"/>
      <c r="E43" s="59"/>
      <c r="F43" s="59"/>
      <c r="G43" s="118"/>
      <c r="H43" s="59"/>
      <c r="I43" s="118"/>
      <c r="J43" s="119"/>
      <c r="K43" s="120"/>
      <c r="L43" s="121"/>
      <c r="M43" s="126"/>
      <c r="N43" s="69"/>
      <c r="O43" s="69"/>
      <c r="P43" s="69"/>
      <c r="Q43" s="69"/>
      <c r="R43" s="69"/>
      <c r="S43" s="69"/>
      <c r="T43" s="69"/>
      <c r="U43" s="69"/>
      <c r="V43" s="69"/>
      <c r="W43" s="69"/>
      <c r="X43" s="69"/>
      <c r="Y43" s="106"/>
      <c r="Z43" s="69"/>
      <c r="AA43" s="69"/>
      <c r="AB43" s="69"/>
      <c r="AC43" s="69"/>
      <c r="AD43" s="69"/>
      <c r="AE43" s="69"/>
      <c r="AF43" s="69"/>
      <c r="AG43" s="69"/>
      <c r="AH43" s="69"/>
      <c r="AI43" s="69"/>
      <c r="AJ43" s="69"/>
      <c r="AK43" s="69"/>
      <c r="AL43" s="69"/>
    </row>
    <row r="44" ht="15.75" customHeight="1" spans="1:38">
      <c r="A44" s="153" t="s">
        <v>188</v>
      </c>
      <c r="B44" s="53">
        <f>RHv!D58</f>
        <v>1399000</v>
      </c>
      <c r="C44" s="58"/>
      <c r="D44" s="59"/>
      <c r="E44" s="59"/>
      <c r="F44" s="59"/>
      <c r="G44" s="118"/>
      <c r="H44" s="59"/>
      <c r="I44" s="118"/>
      <c r="J44" s="119"/>
      <c r="K44" s="120"/>
      <c r="L44" s="121"/>
      <c r="M44" s="126"/>
      <c r="N44" s="69"/>
      <c r="O44" s="69"/>
      <c r="P44" s="69"/>
      <c r="Q44" s="69"/>
      <c r="R44" s="69"/>
      <c r="S44" s="69"/>
      <c r="T44" s="69"/>
      <c r="U44" s="69"/>
      <c r="V44" s="69"/>
      <c r="W44" s="69"/>
      <c r="X44" s="69"/>
      <c r="Y44" s="106"/>
      <c r="Z44" s="69"/>
      <c r="AA44" s="69"/>
      <c r="AB44" s="69"/>
      <c r="AC44" s="69"/>
      <c r="AD44" s="69"/>
      <c r="AE44" s="69"/>
      <c r="AF44" s="69"/>
      <c r="AG44" s="69"/>
      <c r="AH44" s="69"/>
      <c r="AI44" s="69"/>
      <c r="AJ44" s="69"/>
      <c r="AK44" s="69"/>
      <c r="AL44" s="69"/>
    </row>
    <row r="45" ht="15.75" customHeight="1" spans="1:38">
      <c r="A45" s="153" t="s">
        <v>183</v>
      </c>
      <c r="B45" s="64">
        <f>B42-B44</f>
        <v>-259999.65623</v>
      </c>
      <c r="C45" s="58"/>
      <c r="D45" s="59"/>
      <c r="E45" s="59"/>
      <c r="F45" s="59"/>
      <c r="G45" s="118"/>
      <c r="H45" s="59"/>
      <c r="I45" s="118"/>
      <c r="J45" s="119"/>
      <c r="K45" s="120"/>
      <c r="L45" s="121"/>
      <c r="M45" s="126"/>
      <c r="N45" s="69"/>
      <c r="O45" s="69"/>
      <c r="P45" s="69"/>
      <c r="Q45" s="69"/>
      <c r="R45" s="69"/>
      <c r="S45" s="69"/>
      <c r="T45" s="69"/>
      <c r="U45" s="69"/>
      <c r="V45" s="69"/>
      <c r="W45" s="69"/>
      <c r="X45" s="69"/>
      <c r="Y45" s="106"/>
      <c r="Z45" s="69"/>
      <c r="AA45" s="69"/>
      <c r="AB45" s="69"/>
      <c r="AC45" s="69"/>
      <c r="AD45" s="69"/>
      <c r="AE45" s="69"/>
      <c r="AF45" s="69"/>
      <c r="AG45" s="69"/>
      <c r="AH45" s="69"/>
      <c r="AI45" s="69"/>
      <c r="AJ45" s="69"/>
      <c r="AK45" s="69"/>
      <c r="AL45" s="69"/>
    </row>
    <row r="46" ht="15.75" customHeight="1" spans="1:38">
      <c r="A46" s="153" t="s">
        <v>184</v>
      </c>
      <c r="B46" s="62">
        <f>B45/G34</f>
        <v>-0.0212677785555069</v>
      </c>
      <c r="C46" s="58"/>
      <c r="D46" s="59"/>
      <c r="E46" s="59"/>
      <c r="F46" s="59"/>
      <c r="G46" s="118"/>
      <c r="H46" s="59"/>
      <c r="I46" s="118"/>
      <c r="J46" s="119"/>
      <c r="K46" s="120"/>
      <c r="L46" s="121"/>
      <c r="M46" s="126"/>
      <c r="N46" s="69"/>
      <c r="O46" s="69"/>
      <c r="P46" s="69"/>
      <c r="Q46" s="69"/>
      <c r="R46" s="69"/>
      <c r="S46" s="69"/>
      <c r="T46" s="69"/>
      <c r="U46" s="69"/>
      <c r="V46" s="69"/>
      <c r="W46" s="69"/>
      <c r="X46" s="69"/>
      <c r="Y46" s="106"/>
      <c r="Z46" s="69"/>
      <c r="AA46" s="69"/>
      <c r="AB46" s="69"/>
      <c r="AC46" s="69"/>
      <c r="AD46" s="69"/>
      <c r="AE46" s="69"/>
      <c r="AF46" s="69"/>
      <c r="AG46" s="69"/>
      <c r="AH46" s="69"/>
      <c r="AI46" s="69"/>
      <c r="AJ46" s="69"/>
      <c r="AK46" s="69"/>
      <c r="AL46" s="69"/>
    </row>
    <row r="47" ht="15.75" customHeight="1" spans="1:38">
      <c r="A47" s="215"/>
      <c r="B47" s="216"/>
      <c r="C47" s="59"/>
      <c r="D47" s="59"/>
      <c r="E47" s="59"/>
      <c r="F47" s="59"/>
      <c r="G47" s="118"/>
      <c r="H47" s="59"/>
      <c r="I47" s="118"/>
      <c r="J47" s="119"/>
      <c r="K47" s="120"/>
      <c r="L47" s="121"/>
      <c r="M47" s="126"/>
      <c r="N47" s="69"/>
      <c r="O47" s="69"/>
      <c r="P47" s="69"/>
      <c r="Q47" s="69"/>
      <c r="R47" s="69"/>
      <c r="S47" s="69"/>
      <c r="T47" s="69"/>
      <c r="U47" s="69"/>
      <c r="V47" s="69"/>
      <c r="W47" s="69"/>
      <c r="X47" s="69"/>
      <c r="Y47" s="106"/>
      <c r="Z47" s="69"/>
      <c r="AA47" s="69"/>
      <c r="AB47" s="69"/>
      <c r="AC47" s="69"/>
      <c r="AD47" s="69"/>
      <c r="AE47" s="69"/>
      <c r="AF47" s="69"/>
      <c r="AG47" s="69"/>
      <c r="AH47" s="69"/>
      <c r="AI47" s="69"/>
      <c r="AJ47" s="69"/>
      <c r="AK47" s="69"/>
      <c r="AL47" s="69"/>
    </row>
    <row r="48" ht="15.75" customHeight="1" spans="1:38">
      <c r="A48" s="217"/>
      <c r="B48" s="68"/>
      <c r="C48" s="68"/>
      <c r="D48" s="68"/>
      <c r="E48" s="68"/>
      <c r="F48" s="68"/>
      <c r="G48" s="67"/>
      <c r="H48" s="68"/>
      <c r="I48" s="67"/>
      <c r="J48" s="68"/>
      <c r="K48" s="68"/>
      <c r="L48" s="68"/>
      <c r="M48" s="69"/>
      <c r="N48" s="69"/>
      <c r="O48" s="69"/>
      <c r="P48" s="69"/>
      <c r="Q48" s="69"/>
      <c r="R48" s="69"/>
      <c r="S48" s="69"/>
      <c r="T48" s="69"/>
      <c r="U48" s="69"/>
      <c r="V48" s="69"/>
      <c r="W48" s="69"/>
      <c r="X48" s="69"/>
      <c r="Y48" s="106"/>
      <c r="Z48" s="69"/>
      <c r="AA48" s="69"/>
      <c r="AB48" s="69"/>
      <c r="AC48" s="69"/>
      <c r="AD48" s="69"/>
      <c r="AE48" s="69"/>
      <c r="AF48" s="69"/>
      <c r="AG48" s="69"/>
      <c r="AH48" s="69"/>
      <c r="AI48" s="69"/>
      <c r="AJ48" s="69"/>
      <c r="AK48" s="69"/>
      <c r="AL48" s="69"/>
    </row>
    <row r="49" ht="15.75" customHeight="1" spans="1:38">
      <c r="A49" s="163"/>
      <c r="B49" s="69"/>
      <c r="C49" s="69"/>
      <c r="D49" s="69"/>
      <c r="E49" s="69"/>
      <c r="F49" s="69"/>
      <c r="G49" s="70"/>
      <c r="H49" s="69"/>
      <c r="I49" s="70"/>
      <c r="J49" s="69"/>
      <c r="K49" s="69"/>
      <c r="L49" s="69"/>
      <c r="M49" s="69"/>
      <c r="N49" s="69"/>
      <c r="O49" s="69"/>
      <c r="P49" s="69"/>
      <c r="Q49" s="69"/>
      <c r="R49" s="69"/>
      <c r="S49" s="69"/>
      <c r="T49" s="69"/>
      <c r="U49" s="69"/>
      <c r="V49" s="69"/>
      <c r="W49" s="69"/>
      <c r="X49" s="69"/>
      <c r="Y49" s="106"/>
      <c r="Z49" s="69"/>
      <c r="AA49" s="69"/>
      <c r="AB49" s="69"/>
      <c r="AC49" s="69"/>
      <c r="AD49" s="69"/>
      <c r="AE49" s="69"/>
      <c r="AF49" s="69"/>
      <c r="AG49" s="69"/>
      <c r="AH49" s="69"/>
      <c r="AI49" s="69"/>
      <c r="AJ49" s="69"/>
      <c r="AK49" s="69"/>
      <c r="AL49" s="69"/>
    </row>
    <row r="50" ht="15.75" customHeight="1" spans="1:38">
      <c r="A50" s="163"/>
      <c r="B50" s="69"/>
      <c r="C50" s="69"/>
      <c r="D50" s="69"/>
      <c r="E50" s="69"/>
      <c r="F50" s="69"/>
      <c r="G50" s="70"/>
      <c r="H50" s="69"/>
      <c r="I50" s="70"/>
      <c r="J50" s="69"/>
      <c r="K50" s="69"/>
      <c r="L50" s="69"/>
      <c r="M50" s="69"/>
      <c r="N50" s="69"/>
      <c r="O50" s="69"/>
      <c r="P50" s="69"/>
      <c r="Q50" s="69"/>
      <c r="R50" s="69"/>
      <c r="S50" s="69"/>
      <c r="T50" s="69"/>
      <c r="U50" s="69"/>
      <c r="V50" s="69"/>
      <c r="W50" s="69"/>
      <c r="X50" s="69"/>
      <c r="Y50" s="106"/>
      <c r="Z50" s="69"/>
      <c r="AA50" s="69"/>
      <c r="AB50" s="69"/>
      <c r="AC50" s="69"/>
      <c r="AD50" s="69"/>
      <c r="AE50" s="69"/>
      <c r="AF50" s="69"/>
      <c r="AG50" s="69"/>
      <c r="AH50" s="69"/>
      <c r="AI50" s="69"/>
      <c r="AJ50" s="69"/>
      <c r="AK50" s="69"/>
      <c r="AL50" s="69"/>
    </row>
    <row r="51" ht="15.75" customHeight="1" spans="1:38">
      <c r="A51" s="163"/>
      <c r="B51" s="69"/>
      <c r="C51" s="69"/>
      <c r="D51" s="69"/>
      <c r="E51" s="69"/>
      <c r="F51" s="69"/>
      <c r="G51" s="70"/>
      <c r="H51" s="69"/>
      <c r="I51" s="70"/>
      <c r="J51" s="69"/>
      <c r="K51" s="69"/>
      <c r="L51" s="69"/>
      <c r="M51" s="69"/>
      <c r="N51" s="69"/>
      <c r="O51" s="69"/>
      <c r="P51" s="69"/>
      <c r="Q51" s="69"/>
      <c r="R51" s="69"/>
      <c r="S51" s="69"/>
      <c r="T51" s="69"/>
      <c r="U51" s="69"/>
      <c r="V51" s="69"/>
      <c r="W51" s="69"/>
      <c r="X51" s="69"/>
      <c r="Y51" s="106"/>
      <c r="Z51" s="69"/>
      <c r="AA51" s="69"/>
      <c r="AB51" s="69"/>
      <c r="AC51" s="69"/>
      <c r="AD51" s="69"/>
      <c r="AE51" s="69"/>
      <c r="AF51" s="69"/>
      <c r="AG51" s="69"/>
      <c r="AH51" s="69"/>
      <c r="AI51" s="69"/>
      <c r="AJ51" s="69"/>
      <c r="AK51" s="69"/>
      <c r="AL51" s="69"/>
    </row>
    <row r="52" ht="15.75" customHeight="1" spans="1:38">
      <c r="A52" s="163"/>
      <c r="B52" s="69"/>
      <c r="C52" s="69"/>
      <c r="D52" s="69"/>
      <c r="E52" s="69"/>
      <c r="F52" s="69"/>
      <c r="G52" s="70"/>
      <c r="H52" s="69"/>
      <c r="I52" s="70"/>
      <c r="J52" s="69"/>
      <c r="K52" s="69"/>
      <c r="L52" s="69"/>
      <c r="M52" s="69"/>
      <c r="N52" s="69"/>
      <c r="O52" s="69"/>
      <c r="P52" s="69"/>
      <c r="Q52" s="69"/>
      <c r="R52" s="69"/>
      <c r="S52" s="69"/>
      <c r="T52" s="69"/>
      <c r="U52" s="69"/>
      <c r="V52" s="69"/>
      <c r="W52" s="69"/>
      <c r="X52" s="69"/>
      <c r="Y52" s="106"/>
      <c r="Z52" s="69"/>
      <c r="AA52" s="69"/>
      <c r="AB52" s="69"/>
      <c r="AC52" s="69"/>
      <c r="AD52" s="69"/>
      <c r="AE52" s="69"/>
      <c r="AF52" s="69"/>
      <c r="AG52" s="69"/>
      <c r="AH52" s="69"/>
      <c r="AI52" s="69"/>
      <c r="AJ52" s="69"/>
      <c r="AK52" s="69"/>
      <c r="AL52" s="69"/>
    </row>
    <row r="53" ht="15.75" customHeight="1" spans="1:38">
      <c r="A53" s="163"/>
      <c r="B53" s="69"/>
      <c r="C53" s="69"/>
      <c r="D53" s="69"/>
      <c r="E53" s="69"/>
      <c r="F53" s="69"/>
      <c r="G53" s="70"/>
      <c r="H53" s="69"/>
      <c r="I53" s="70"/>
      <c r="J53" s="69"/>
      <c r="K53" s="69"/>
      <c r="L53" s="69"/>
      <c r="M53" s="69"/>
      <c r="N53" s="69"/>
      <c r="O53" s="69"/>
      <c r="P53" s="69"/>
      <c r="Q53" s="69"/>
      <c r="R53" s="69"/>
      <c r="S53" s="69"/>
      <c r="T53" s="69"/>
      <c r="U53" s="69"/>
      <c r="V53" s="69"/>
      <c r="W53" s="69"/>
      <c r="X53" s="69"/>
      <c r="Y53" s="106"/>
      <c r="Z53" s="69"/>
      <c r="AA53" s="69"/>
      <c r="AB53" s="69"/>
      <c r="AC53" s="69"/>
      <c r="AD53" s="69"/>
      <c r="AE53" s="69"/>
      <c r="AF53" s="69"/>
      <c r="AG53" s="69"/>
      <c r="AH53" s="69"/>
      <c r="AI53" s="69"/>
      <c r="AJ53" s="69"/>
      <c r="AK53" s="69"/>
      <c r="AL53" s="69"/>
    </row>
    <row r="54" ht="15.75" customHeight="1" spans="1:38">
      <c r="A54" s="163"/>
      <c r="B54" s="69"/>
      <c r="C54" s="69"/>
      <c r="D54" s="69"/>
      <c r="E54" s="69"/>
      <c r="F54" s="69"/>
      <c r="G54" s="70"/>
      <c r="H54" s="69"/>
      <c r="I54" s="70"/>
      <c r="J54" s="69"/>
      <c r="K54" s="69"/>
      <c r="L54" s="69"/>
      <c r="M54" s="69"/>
      <c r="N54" s="69"/>
      <c r="O54" s="69"/>
      <c r="P54" s="69"/>
      <c r="Q54" s="69"/>
      <c r="R54" s="69"/>
      <c r="S54" s="69"/>
      <c r="T54" s="69"/>
      <c r="U54" s="69"/>
      <c r="V54" s="69"/>
      <c r="W54" s="69"/>
      <c r="X54" s="69"/>
      <c r="Y54" s="106"/>
      <c r="Z54" s="69"/>
      <c r="AA54" s="69"/>
      <c r="AB54" s="69"/>
      <c r="AC54" s="69"/>
      <c r="AD54" s="69"/>
      <c r="AE54" s="69"/>
      <c r="AF54" s="69"/>
      <c r="AG54" s="69"/>
      <c r="AH54" s="69"/>
      <c r="AI54" s="69"/>
      <c r="AJ54" s="69"/>
      <c r="AK54" s="69"/>
      <c r="AL54" s="69"/>
    </row>
    <row r="55" ht="15.75" customHeight="1" spans="1:38">
      <c r="A55" s="163"/>
      <c r="B55" s="69"/>
      <c r="C55" s="69"/>
      <c r="D55" s="69"/>
      <c r="E55" s="69"/>
      <c r="F55" s="69"/>
      <c r="G55" s="70"/>
      <c r="H55" s="69"/>
      <c r="I55" s="70"/>
      <c r="J55" s="69"/>
      <c r="K55" s="69"/>
      <c r="L55" s="69"/>
      <c r="M55" s="69"/>
      <c r="N55" s="69"/>
      <c r="O55" s="69"/>
      <c r="P55" s="69"/>
      <c r="Q55" s="69"/>
      <c r="R55" s="69"/>
      <c r="S55" s="69"/>
      <c r="T55" s="69"/>
      <c r="U55" s="69"/>
      <c r="V55" s="69"/>
      <c r="W55" s="69"/>
      <c r="X55" s="69"/>
      <c r="Y55" s="106"/>
      <c r="Z55" s="69"/>
      <c r="AA55" s="69"/>
      <c r="AB55" s="69"/>
      <c r="AC55" s="69"/>
      <c r="AD55" s="69"/>
      <c r="AE55" s="69"/>
      <c r="AF55" s="69"/>
      <c r="AG55" s="69"/>
      <c r="AH55" s="69"/>
      <c r="AI55" s="69"/>
      <c r="AJ55" s="69"/>
      <c r="AK55" s="69"/>
      <c r="AL55" s="69"/>
    </row>
    <row r="56" ht="15.75" customHeight="1" spans="1:38">
      <c r="A56" s="163"/>
      <c r="B56" s="69"/>
      <c r="C56" s="69"/>
      <c r="D56" s="69"/>
      <c r="E56" s="69"/>
      <c r="F56" s="69"/>
      <c r="G56" s="70"/>
      <c r="H56" s="69"/>
      <c r="I56" s="70"/>
      <c r="J56" s="69"/>
      <c r="K56" s="69"/>
      <c r="L56" s="69"/>
      <c r="M56" s="69"/>
      <c r="N56" s="69"/>
      <c r="O56" s="69"/>
      <c r="P56" s="69"/>
      <c r="Q56" s="69"/>
      <c r="R56" s="69"/>
      <c r="S56" s="69"/>
      <c r="T56" s="69"/>
      <c r="U56" s="69"/>
      <c r="V56" s="69"/>
      <c r="W56" s="69"/>
      <c r="X56" s="69"/>
      <c r="Y56" s="106"/>
      <c r="Z56" s="69"/>
      <c r="AA56" s="69"/>
      <c r="AB56" s="69"/>
      <c r="AC56" s="69"/>
      <c r="AD56" s="69"/>
      <c r="AE56" s="69"/>
      <c r="AF56" s="69"/>
      <c r="AG56" s="69"/>
      <c r="AH56" s="69"/>
      <c r="AI56" s="69"/>
      <c r="AJ56" s="69"/>
      <c r="AK56" s="69"/>
      <c r="AL56" s="69"/>
    </row>
    <row r="57" ht="15.75" customHeight="1" spans="1:38">
      <c r="A57" s="163"/>
      <c r="B57" s="69"/>
      <c r="C57" s="69"/>
      <c r="D57" s="69"/>
      <c r="E57" s="69"/>
      <c r="F57" s="69"/>
      <c r="G57" s="70"/>
      <c r="H57" s="69"/>
      <c r="I57" s="70"/>
      <c r="J57" s="69"/>
      <c r="K57" s="69"/>
      <c r="L57" s="69"/>
      <c r="M57" s="69"/>
      <c r="N57" s="69"/>
      <c r="O57" s="69"/>
      <c r="P57" s="69"/>
      <c r="Q57" s="69"/>
      <c r="R57" s="69"/>
      <c r="S57" s="69"/>
      <c r="T57" s="69"/>
      <c r="U57" s="69"/>
      <c r="V57" s="69"/>
      <c r="W57" s="69"/>
      <c r="X57" s="69"/>
      <c r="Y57" s="106"/>
      <c r="Z57" s="69"/>
      <c r="AA57" s="69"/>
      <c r="AB57" s="69"/>
      <c r="AC57" s="69"/>
      <c r="AD57" s="69"/>
      <c r="AE57" s="69"/>
      <c r="AF57" s="69"/>
      <c r="AG57" s="69"/>
      <c r="AH57" s="69"/>
      <c r="AI57" s="69"/>
      <c r="AJ57" s="69"/>
      <c r="AK57" s="69"/>
      <c r="AL57" s="69"/>
    </row>
    <row r="58" ht="15.75" customHeight="1" spans="1:38">
      <c r="A58" s="163"/>
      <c r="B58" s="69"/>
      <c r="C58" s="69"/>
      <c r="D58" s="69"/>
      <c r="E58" s="69"/>
      <c r="F58" s="69"/>
      <c r="G58" s="70"/>
      <c r="H58" s="69"/>
      <c r="I58" s="70"/>
      <c r="J58" s="69"/>
      <c r="K58" s="69"/>
      <c r="L58" s="69"/>
      <c r="M58" s="69"/>
      <c r="N58" s="69"/>
      <c r="O58" s="69"/>
      <c r="P58" s="69"/>
      <c r="Q58" s="69"/>
      <c r="R58" s="69"/>
      <c r="S58" s="69"/>
      <c r="T58" s="69"/>
      <c r="U58" s="69"/>
      <c r="V58" s="69"/>
      <c r="W58" s="69"/>
      <c r="X58" s="69"/>
      <c r="Y58" s="106"/>
      <c r="Z58" s="69"/>
      <c r="AA58" s="69"/>
      <c r="AB58" s="69"/>
      <c r="AC58" s="69"/>
      <c r="AD58" s="69"/>
      <c r="AE58" s="69"/>
      <c r="AF58" s="69"/>
      <c r="AG58" s="69"/>
      <c r="AH58" s="69"/>
      <c r="AI58" s="69"/>
      <c r="AJ58" s="69"/>
      <c r="AK58" s="69"/>
      <c r="AL58" s="69"/>
    </row>
    <row r="59" ht="15.75" customHeight="1" spans="1:38">
      <c r="A59" s="163"/>
      <c r="B59" s="69"/>
      <c r="C59" s="69"/>
      <c r="D59" s="69"/>
      <c r="E59" s="69"/>
      <c r="F59" s="69"/>
      <c r="G59" s="70"/>
      <c r="H59" s="69"/>
      <c r="I59" s="70"/>
      <c r="J59" s="69"/>
      <c r="K59" s="69"/>
      <c r="L59" s="69"/>
      <c r="M59" s="69"/>
      <c r="N59" s="69"/>
      <c r="O59" s="69"/>
      <c r="P59" s="69"/>
      <c r="Q59" s="69"/>
      <c r="R59" s="69"/>
      <c r="S59" s="69"/>
      <c r="T59" s="69"/>
      <c r="U59" s="69"/>
      <c r="V59" s="69"/>
      <c r="W59" s="69"/>
      <c r="X59" s="69"/>
      <c r="Y59" s="106"/>
      <c r="Z59" s="69"/>
      <c r="AA59" s="69"/>
      <c r="AB59" s="69"/>
      <c r="AC59" s="69"/>
      <c r="AD59" s="69"/>
      <c r="AE59" s="69"/>
      <c r="AF59" s="69"/>
      <c r="AG59" s="69"/>
      <c r="AH59" s="69"/>
      <c r="AI59" s="69"/>
      <c r="AJ59" s="69"/>
      <c r="AK59" s="69"/>
      <c r="AL59" s="69"/>
    </row>
    <row r="60" ht="15.75" customHeight="1" spans="1:38">
      <c r="A60" s="163"/>
      <c r="B60" s="69"/>
      <c r="C60" s="69"/>
      <c r="D60" s="69"/>
      <c r="E60" s="69"/>
      <c r="F60" s="69"/>
      <c r="G60" s="70"/>
      <c r="H60" s="69"/>
      <c r="I60" s="70"/>
      <c r="J60" s="69"/>
      <c r="K60" s="69"/>
      <c r="L60" s="69"/>
      <c r="M60" s="69"/>
      <c r="N60" s="69"/>
      <c r="O60" s="69"/>
      <c r="P60" s="69"/>
      <c r="Q60" s="69"/>
      <c r="R60" s="69"/>
      <c r="S60" s="69"/>
      <c r="T60" s="69"/>
      <c r="U60" s="69"/>
      <c r="V60" s="69"/>
      <c r="W60" s="69"/>
      <c r="X60" s="69"/>
      <c r="Y60" s="106"/>
      <c r="Z60" s="69"/>
      <c r="AA60" s="69"/>
      <c r="AB60" s="69"/>
      <c r="AC60" s="69"/>
      <c r="AD60" s="69"/>
      <c r="AE60" s="69"/>
      <c r="AF60" s="69"/>
      <c r="AG60" s="69"/>
      <c r="AH60" s="69"/>
      <c r="AI60" s="69"/>
      <c r="AJ60" s="69"/>
      <c r="AK60" s="69"/>
      <c r="AL60" s="69"/>
    </row>
    <row r="61" ht="15.75" customHeight="1" spans="1:38">
      <c r="A61" s="163"/>
      <c r="B61" s="69"/>
      <c r="C61" s="69"/>
      <c r="D61" s="69"/>
      <c r="E61" s="69"/>
      <c r="F61" s="69"/>
      <c r="G61" s="70"/>
      <c r="H61" s="69"/>
      <c r="I61" s="70"/>
      <c r="J61" s="69"/>
      <c r="K61" s="69"/>
      <c r="L61" s="69"/>
      <c r="M61" s="69"/>
      <c r="N61" s="69"/>
      <c r="O61" s="69"/>
      <c r="P61" s="69"/>
      <c r="Q61" s="69"/>
      <c r="R61" s="69"/>
      <c r="S61" s="69"/>
      <c r="T61" s="69"/>
      <c r="U61" s="69"/>
      <c r="V61" s="69"/>
      <c r="W61" s="69"/>
      <c r="X61" s="69"/>
      <c r="Y61" s="106"/>
      <c r="Z61" s="69"/>
      <c r="AA61" s="69"/>
      <c r="AB61" s="69"/>
      <c r="AC61" s="69"/>
      <c r="AD61" s="69"/>
      <c r="AE61" s="69"/>
      <c r="AF61" s="69"/>
      <c r="AG61" s="69"/>
      <c r="AH61" s="69"/>
      <c r="AI61" s="69"/>
      <c r="AJ61" s="69"/>
      <c r="AK61" s="69"/>
      <c r="AL61" s="69"/>
    </row>
    <row r="62" ht="15.75" customHeight="1" spans="1:38">
      <c r="A62" s="163"/>
      <c r="B62" s="69"/>
      <c r="C62" s="69"/>
      <c r="D62" s="69"/>
      <c r="E62" s="69"/>
      <c r="F62" s="69"/>
      <c r="G62" s="70"/>
      <c r="H62" s="69"/>
      <c r="I62" s="70"/>
      <c r="J62" s="69"/>
      <c r="K62" s="69"/>
      <c r="L62" s="69"/>
      <c r="M62" s="69"/>
      <c r="N62" s="69"/>
      <c r="O62" s="69"/>
      <c r="P62" s="69"/>
      <c r="Q62" s="69"/>
      <c r="R62" s="69"/>
      <c r="S62" s="69"/>
      <c r="T62" s="69"/>
      <c r="U62" s="69"/>
      <c r="V62" s="69"/>
      <c r="W62" s="69"/>
      <c r="X62" s="69"/>
      <c r="Y62" s="106"/>
      <c r="Z62" s="69"/>
      <c r="AA62" s="69"/>
      <c r="AB62" s="69"/>
      <c r="AC62" s="69"/>
      <c r="AD62" s="69"/>
      <c r="AE62" s="69"/>
      <c r="AF62" s="69"/>
      <c r="AG62" s="69"/>
      <c r="AH62" s="69"/>
      <c r="AI62" s="69"/>
      <c r="AJ62" s="69"/>
      <c r="AK62" s="69"/>
      <c r="AL62" s="69"/>
    </row>
    <row r="63" ht="15.75" customHeight="1" spans="1:38">
      <c r="A63" s="163"/>
      <c r="B63" s="69"/>
      <c r="C63" s="69"/>
      <c r="D63" s="69"/>
      <c r="E63" s="69"/>
      <c r="F63" s="69"/>
      <c r="G63" s="70"/>
      <c r="H63" s="69"/>
      <c r="I63" s="70"/>
      <c r="J63" s="69"/>
      <c r="K63" s="69"/>
      <c r="L63" s="69"/>
      <c r="M63" s="69"/>
      <c r="N63" s="69"/>
      <c r="O63" s="69"/>
      <c r="P63" s="69"/>
      <c r="Q63" s="69"/>
      <c r="R63" s="69"/>
      <c r="S63" s="69"/>
      <c r="T63" s="69"/>
      <c r="U63" s="69"/>
      <c r="V63" s="69"/>
      <c r="W63" s="69"/>
      <c r="X63" s="69"/>
      <c r="Y63" s="106"/>
      <c r="Z63" s="69"/>
      <c r="AA63" s="69"/>
      <c r="AB63" s="69"/>
      <c r="AC63" s="69"/>
      <c r="AD63" s="69"/>
      <c r="AE63" s="69"/>
      <c r="AF63" s="69"/>
      <c r="AG63" s="69"/>
      <c r="AH63" s="69"/>
      <c r="AI63" s="69"/>
      <c r="AJ63" s="69"/>
      <c r="AK63" s="69"/>
      <c r="AL63" s="69"/>
    </row>
    <row r="64" ht="15.75" customHeight="1" spans="1:38">
      <c r="A64" s="163"/>
      <c r="B64" s="69"/>
      <c r="C64" s="69"/>
      <c r="D64" s="69"/>
      <c r="E64" s="69"/>
      <c r="F64" s="69"/>
      <c r="G64" s="70"/>
      <c r="H64" s="69"/>
      <c r="I64" s="70"/>
      <c r="J64" s="69"/>
      <c r="K64" s="69"/>
      <c r="L64" s="69"/>
      <c r="M64" s="69"/>
      <c r="N64" s="69"/>
      <c r="O64" s="69"/>
      <c r="P64" s="69"/>
      <c r="Q64" s="69"/>
      <c r="R64" s="69"/>
      <c r="S64" s="69"/>
      <c r="T64" s="69"/>
      <c r="U64" s="69"/>
      <c r="V64" s="69"/>
      <c r="W64" s="69"/>
      <c r="X64" s="69"/>
      <c r="Y64" s="106"/>
      <c r="Z64" s="69"/>
      <c r="AA64" s="69"/>
      <c r="AB64" s="69"/>
      <c r="AC64" s="69"/>
      <c r="AD64" s="69"/>
      <c r="AE64" s="69"/>
      <c r="AF64" s="69"/>
      <c r="AG64" s="69"/>
      <c r="AH64" s="69"/>
      <c r="AI64" s="69"/>
      <c r="AJ64" s="69"/>
      <c r="AK64" s="69"/>
      <c r="AL64" s="69"/>
    </row>
    <row r="65" ht="15.75" customHeight="1" spans="1:38">
      <c r="A65" s="163"/>
      <c r="B65" s="69"/>
      <c r="C65" s="69"/>
      <c r="D65" s="69"/>
      <c r="E65" s="69"/>
      <c r="F65" s="69"/>
      <c r="G65" s="70"/>
      <c r="H65" s="69"/>
      <c r="I65" s="70"/>
      <c r="J65" s="69"/>
      <c r="K65" s="69"/>
      <c r="L65" s="69"/>
      <c r="M65" s="69"/>
      <c r="N65" s="69"/>
      <c r="O65" s="69"/>
      <c r="P65" s="69"/>
      <c r="Q65" s="69"/>
      <c r="R65" s="69"/>
      <c r="S65" s="69"/>
      <c r="T65" s="69"/>
      <c r="U65" s="69"/>
      <c r="V65" s="69"/>
      <c r="W65" s="69"/>
      <c r="X65" s="69"/>
      <c r="Y65" s="106"/>
      <c r="Z65" s="69"/>
      <c r="AA65" s="69"/>
      <c r="AB65" s="69"/>
      <c r="AC65" s="69"/>
      <c r="AD65" s="69"/>
      <c r="AE65" s="69"/>
      <c r="AF65" s="69"/>
      <c r="AG65" s="69"/>
      <c r="AH65" s="69"/>
      <c r="AI65" s="69"/>
      <c r="AJ65" s="69"/>
      <c r="AK65" s="69"/>
      <c r="AL65" s="69"/>
    </row>
    <row r="66" ht="15.75" customHeight="1" spans="1:38">
      <c r="A66" s="163"/>
      <c r="B66" s="69"/>
      <c r="C66" s="69"/>
      <c r="D66" s="69"/>
      <c r="E66" s="69"/>
      <c r="F66" s="69"/>
      <c r="G66" s="70"/>
      <c r="H66" s="69"/>
      <c r="I66" s="70"/>
      <c r="J66" s="69"/>
      <c r="K66" s="69"/>
      <c r="L66" s="69"/>
      <c r="M66" s="69"/>
      <c r="N66" s="69"/>
      <c r="O66" s="69"/>
      <c r="P66" s="69"/>
      <c r="Q66" s="69"/>
      <c r="R66" s="69"/>
      <c r="S66" s="69"/>
      <c r="T66" s="69"/>
      <c r="U66" s="69"/>
      <c r="V66" s="69"/>
      <c r="W66" s="69"/>
      <c r="X66" s="69"/>
      <c r="Y66" s="106"/>
      <c r="Z66" s="69"/>
      <c r="AA66" s="69"/>
      <c r="AB66" s="69"/>
      <c r="AC66" s="69"/>
      <c r="AD66" s="69"/>
      <c r="AE66" s="69"/>
      <c r="AF66" s="69"/>
      <c r="AG66" s="69"/>
      <c r="AH66" s="69"/>
      <c r="AI66" s="69"/>
      <c r="AJ66" s="69"/>
      <c r="AK66" s="69"/>
      <c r="AL66" s="69"/>
    </row>
    <row r="67" ht="15.75" customHeight="1" spans="1:38">
      <c r="A67" s="163"/>
      <c r="B67" s="69"/>
      <c r="C67" s="69"/>
      <c r="D67" s="69"/>
      <c r="E67" s="69"/>
      <c r="F67" s="69"/>
      <c r="G67" s="70"/>
      <c r="H67" s="69"/>
      <c r="I67" s="70"/>
      <c r="J67" s="69"/>
      <c r="K67" s="69"/>
      <c r="L67" s="69"/>
      <c r="M67" s="69"/>
      <c r="N67" s="69"/>
      <c r="O67" s="69"/>
      <c r="P67" s="69"/>
      <c r="Q67" s="69"/>
      <c r="R67" s="69"/>
      <c r="S67" s="69"/>
      <c r="T67" s="69"/>
      <c r="U67" s="69"/>
      <c r="V67" s="69"/>
      <c r="W67" s="69"/>
      <c r="X67" s="69"/>
      <c r="Y67" s="106"/>
      <c r="Z67" s="69"/>
      <c r="AA67" s="69"/>
      <c r="AB67" s="69"/>
      <c r="AC67" s="69"/>
      <c r="AD67" s="69"/>
      <c r="AE67" s="69"/>
      <c r="AF67" s="69"/>
      <c r="AG67" s="69"/>
      <c r="AH67" s="69"/>
      <c r="AI67" s="69"/>
      <c r="AJ67" s="69"/>
      <c r="AK67" s="69"/>
      <c r="AL67" s="69"/>
    </row>
    <row r="68" ht="15.75" customHeight="1" spans="1:38">
      <c r="A68" s="163"/>
      <c r="B68" s="69"/>
      <c r="C68" s="69"/>
      <c r="D68" s="69"/>
      <c r="E68" s="69"/>
      <c r="F68" s="69"/>
      <c r="G68" s="70"/>
      <c r="H68" s="69"/>
      <c r="I68" s="70"/>
      <c r="J68" s="69"/>
      <c r="K68" s="69"/>
      <c r="L68" s="69"/>
      <c r="M68" s="69"/>
      <c r="N68" s="69"/>
      <c r="O68" s="69"/>
      <c r="P68" s="69"/>
      <c r="Q68" s="69"/>
      <c r="R68" s="69"/>
      <c r="S68" s="69"/>
      <c r="T68" s="69"/>
      <c r="U68" s="69"/>
      <c r="V68" s="69"/>
      <c r="W68" s="69"/>
      <c r="X68" s="69"/>
      <c r="Y68" s="106"/>
      <c r="Z68" s="69"/>
      <c r="AA68" s="69"/>
      <c r="AB68" s="69"/>
      <c r="AC68" s="69"/>
      <c r="AD68" s="69"/>
      <c r="AE68" s="69"/>
      <c r="AF68" s="69"/>
      <c r="AG68" s="69"/>
      <c r="AH68" s="69"/>
      <c r="AI68" s="69"/>
      <c r="AJ68" s="69"/>
      <c r="AK68" s="69"/>
      <c r="AL68" s="69"/>
    </row>
    <row r="69" ht="15.75" customHeight="1" spans="1:38">
      <c r="A69" s="163"/>
      <c r="B69" s="69"/>
      <c r="C69" s="69"/>
      <c r="D69" s="69"/>
      <c r="E69" s="69"/>
      <c r="F69" s="69"/>
      <c r="G69" s="70"/>
      <c r="H69" s="69"/>
      <c r="I69" s="70"/>
      <c r="J69" s="69"/>
      <c r="K69" s="69"/>
      <c r="L69" s="69"/>
      <c r="M69" s="69"/>
      <c r="N69" s="69"/>
      <c r="O69" s="69"/>
      <c r="P69" s="69"/>
      <c r="Q69" s="69"/>
      <c r="R69" s="69"/>
      <c r="S69" s="69"/>
      <c r="T69" s="69"/>
      <c r="U69" s="69"/>
      <c r="V69" s="69"/>
      <c r="W69" s="69"/>
      <c r="X69" s="69"/>
      <c r="Y69" s="106"/>
      <c r="Z69" s="69"/>
      <c r="AA69" s="69"/>
      <c r="AB69" s="69"/>
      <c r="AC69" s="69"/>
      <c r="AD69" s="69"/>
      <c r="AE69" s="69"/>
      <c r="AF69" s="69"/>
      <c r="AG69" s="69"/>
      <c r="AH69" s="69"/>
      <c r="AI69" s="69"/>
      <c r="AJ69" s="69"/>
      <c r="AK69" s="69"/>
      <c r="AL69" s="69"/>
    </row>
    <row r="70" ht="15.75" customHeight="1" spans="1:38">
      <c r="A70" s="163"/>
      <c r="B70" s="69"/>
      <c r="C70" s="69"/>
      <c r="D70" s="69"/>
      <c r="E70" s="69"/>
      <c r="F70" s="69"/>
      <c r="G70" s="70"/>
      <c r="H70" s="69"/>
      <c r="I70" s="70"/>
      <c r="J70" s="69"/>
      <c r="K70" s="69"/>
      <c r="L70" s="69"/>
      <c r="M70" s="69"/>
      <c r="N70" s="69"/>
      <c r="O70" s="69"/>
      <c r="P70" s="69"/>
      <c r="Q70" s="69"/>
      <c r="R70" s="69"/>
      <c r="S70" s="69"/>
      <c r="T70" s="69"/>
      <c r="U70" s="69"/>
      <c r="V70" s="69"/>
      <c r="W70" s="69"/>
      <c r="X70" s="69"/>
      <c r="Y70" s="106"/>
      <c r="Z70" s="69"/>
      <c r="AA70" s="69"/>
      <c r="AB70" s="69"/>
      <c r="AC70" s="69"/>
      <c r="AD70" s="69"/>
      <c r="AE70" s="69"/>
      <c r="AF70" s="69"/>
      <c r="AG70" s="69"/>
      <c r="AH70" s="69"/>
      <c r="AI70" s="69"/>
      <c r="AJ70" s="69"/>
      <c r="AK70" s="69"/>
      <c r="AL70" s="69"/>
    </row>
    <row r="71" ht="15.75" customHeight="1" spans="1:38">
      <c r="A71" s="163"/>
      <c r="B71" s="69"/>
      <c r="C71" s="69"/>
      <c r="D71" s="69"/>
      <c r="E71" s="69"/>
      <c r="F71" s="69"/>
      <c r="G71" s="70"/>
      <c r="H71" s="69"/>
      <c r="I71" s="70"/>
      <c r="J71" s="69"/>
      <c r="K71" s="69"/>
      <c r="L71" s="69"/>
      <c r="M71" s="69"/>
      <c r="N71" s="69"/>
      <c r="O71" s="69"/>
      <c r="P71" s="69"/>
      <c r="Q71" s="69"/>
      <c r="R71" s="69"/>
      <c r="S71" s="69"/>
      <c r="T71" s="69"/>
      <c r="U71" s="69"/>
      <c r="V71" s="69"/>
      <c r="W71" s="69"/>
      <c r="X71" s="69"/>
      <c r="Y71" s="106"/>
      <c r="Z71" s="69"/>
      <c r="AA71" s="69"/>
      <c r="AB71" s="69"/>
      <c r="AC71" s="69"/>
      <c r="AD71" s="69"/>
      <c r="AE71" s="69"/>
      <c r="AF71" s="69"/>
      <c r="AG71" s="69"/>
      <c r="AH71" s="69"/>
      <c r="AI71" s="69"/>
      <c r="AJ71" s="69"/>
      <c r="AK71" s="69"/>
      <c r="AL71" s="69"/>
    </row>
    <row r="72" ht="15.75" customHeight="1" spans="1:38">
      <c r="A72" s="163"/>
      <c r="B72" s="69"/>
      <c r="C72" s="69"/>
      <c r="D72" s="69"/>
      <c r="E72" s="69"/>
      <c r="F72" s="69"/>
      <c r="G72" s="70"/>
      <c r="H72" s="69"/>
      <c r="I72" s="70"/>
      <c r="J72" s="69"/>
      <c r="K72" s="69"/>
      <c r="L72" s="69"/>
      <c r="M72" s="69"/>
      <c r="N72" s="69"/>
      <c r="O72" s="69"/>
      <c r="P72" s="69"/>
      <c r="Q72" s="69"/>
      <c r="R72" s="69"/>
      <c r="S72" s="69"/>
      <c r="T72" s="69"/>
      <c r="U72" s="69"/>
      <c r="V72" s="69"/>
      <c r="W72" s="69"/>
      <c r="X72" s="69"/>
      <c r="Y72" s="106"/>
      <c r="Z72" s="69"/>
      <c r="AA72" s="69"/>
      <c r="AB72" s="69"/>
      <c r="AC72" s="69"/>
      <c r="AD72" s="69"/>
      <c r="AE72" s="69"/>
      <c r="AF72" s="69"/>
      <c r="AG72" s="69"/>
      <c r="AH72" s="69"/>
      <c r="AI72" s="69"/>
      <c r="AJ72" s="69"/>
      <c r="AK72" s="69"/>
      <c r="AL72" s="69"/>
    </row>
    <row r="73" ht="15.75" customHeight="1" spans="1:38">
      <c r="A73" s="163"/>
      <c r="B73" s="69"/>
      <c r="C73" s="69"/>
      <c r="D73" s="69"/>
      <c r="E73" s="69"/>
      <c r="F73" s="69"/>
      <c r="G73" s="70"/>
      <c r="H73" s="69"/>
      <c r="I73" s="70"/>
      <c r="J73" s="69"/>
      <c r="K73" s="69"/>
      <c r="L73" s="69"/>
      <c r="M73" s="69"/>
      <c r="N73" s="69"/>
      <c r="O73" s="69"/>
      <c r="P73" s="69"/>
      <c r="Q73" s="69"/>
      <c r="R73" s="69"/>
      <c r="S73" s="69"/>
      <c r="T73" s="69"/>
      <c r="U73" s="69"/>
      <c r="V73" s="69"/>
      <c r="W73" s="69"/>
      <c r="X73" s="69"/>
      <c r="Y73" s="106"/>
      <c r="Z73" s="69"/>
      <c r="AA73" s="69"/>
      <c r="AB73" s="69"/>
      <c r="AC73" s="69"/>
      <c r="AD73" s="69"/>
      <c r="AE73" s="69"/>
      <c r="AF73" s="69"/>
      <c r="AG73" s="69"/>
      <c r="AH73" s="69"/>
      <c r="AI73" s="69"/>
      <c r="AJ73" s="69"/>
      <c r="AK73" s="69"/>
      <c r="AL73" s="69"/>
    </row>
    <row r="74" ht="15.75" customHeight="1" spans="1:38">
      <c r="A74" s="163"/>
      <c r="B74" s="69"/>
      <c r="C74" s="69"/>
      <c r="D74" s="69"/>
      <c r="E74" s="69"/>
      <c r="F74" s="69"/>
      <c r="G74" s="70"/>
      <c r="H74" s="69"/>
      <c r="I74" s="70"/>
      <c r="J74" s="69"/>
      <c r="K74" s="69"/>
      <c r="L74" s="69"/>
      <c r="M74" s="69"/>
      <c r="N74" s="69"/>
      <c r="O74" s="69"/>
      <c r="P74" s="69"/>
      <c r="Q74" s="69"/>
      <c r="R74" s="69"/>
      <c r="S74" s="69"/>
      <c r="T74" s="69"/>
      <c r="U74" s="69"/>
      <c r="V74" s="69"/>
      <c r="W74" s="69"/>
      <c r="X74" s="69"/>
      <c r="Y74" s="106"/>
      <c r="Z74" s="69"/>
      <c r="AA74" s="69"/>
      <c r="AB74" s="69"/>
      <c r="AC74" s="69"/>
      <c r="AD74" s="69"/>
      <c r="AE74" s="69"/>
      <c r="AF74" s="69"/>
      <c r="AG74" s="69"/>
      <c r="AH74" s="69"/>
      <c r="AI74" s="69"/>
      <c r="AJ74" s="69"/>
      <c r="AK74" s="69"/>
      <c r="AL74" s="69"/>
    </row>
    <row r="75" ht="15.75" customHeight="1" spans="1:38">
      <c r="A75" s="163"/>
      <c r="B75" s="69"/>
      <c r="C75" s="69"/>
      <c r="D75" s="69"/>
      <c r="E75" s="69"/>
      <c r="F75" s="69"/>
      <c r="G75" s="70"/>
      <c r="H75" s="69"/>
      <c r="I75" s="70"/>
      <c r="J75" s="69"/>
      <c r="K75" s="69"/>
      <c r="L75" s="69"/>
      <c r="M75" s="69"/>
      <c r="N75" s="69"/>
      <c r="O75" s="69"/>
      <c r="P75" s="69"/>
      <c r="Q75" s="69"/>
      <c r="R75" s="69"/>
      <c r="S75" s="69"/>
      <c r="T75" s="69"/>
      <c r="U75" s="69"/>
      <c r="V75" s="69"/>
      <c r="W75" s="69"/>
      <c r="X75" s="69"/>
      <c r="Y75" s="106"/>
      <c r="Z75" s="69"/>
      <c r="AA75" s="69"/>
      <c r="AB75" s="69"/>
      <c r="AC75" s="69"/>
      <c r="AD75" s="69"/>
      <c r="AE75" s="69"/>
      <c r="AF75" s="69"/>
      <c r="AG75" s="69"/>
      <c r="AH75" s="69"/>
      <c r="AI75" s="69"/>
      <c r="AJ75" s="69"/>
      <c r="AK75" s="69"/>
      <c r="AL75" s="69"/>
    </row>
    <row r="76" ht="15.75" customHeight="1" spans="1:38">
      <c r="A76" s="163"/>
      <c r="B76" s="69"/>
      <c r="C76" s="69"/>
      <c r="D76" s="69"/>
      <c r="E76" s="69"/>
      <c r="F76" s="69"/>
      <c r="G76" s="70"/>
      <c r="H76" s="69"/>
      <c r="I76" s="70"/>
      <c r="J76" s="69"/>
      <c r="K76" s="69"/>
      <c r="L76" s="69"/>
      <c r="M76" s="69"/>
      <c r="N76" s="69"/>
      <c r="O76" s="69"/>
      <c r="P76" s="69"/>
      <c r="Q76" s="69"/>
      <c r="R76" s="69"/>
      <c r="S76" s="69"/>
      <c r="T76" s="69"/>
      <c r="U76" s="69"/>
      <c r="V76" s="69"/>
      <c r="W76" s="69"/>
      <c r="X76" s="69"/>
      <c r="Y76" s="106"/>
      <c r="Z76" s="69"/>
      <c r="AA76" s="69"/>
      <c r="AB76" s="69"/>
      <c r="AC76" s="69"/>
      <c r="AD76" s="69"/>
      <c r="AE76" s="69"/>
      <c r="AF76" s="69"/>
      <c r="AG76" s="69"/>
      <c r="AH76" s="69"/>
      <c r="AI76" s="69"/>
      <c r="AJ76" s="69"/>
      <c r="AK76" s="69"/>
      <c r="AL76" s="69"/>
    </row>
    <row r="77" ht="15.75" customHeight="1" spans="1:38">
      <c r="A77" s="163"/>
      <c r="B77" s="69"/>
      <c r="C77" s="69"/>
      <c r="D77" s="69"/>
      <c r="E77" s="69"/>
      <c r="F77" s="69"/>
      <c r="G77" s="70"/>
      <c r="H77" s="69"/>
      <c r="I77" s="70"/>
      <c r="J77" s="69"/>
      <c r="K77" s="69"/>
      <c r="L77" s="69"/>
      <c r="M77" s="69"/>
      <c r="N77" s="69"/>
      <c r="O77" s="69"/>
      <c r="P77" s="69"/>
      <c r="Q77" s="69"/>
      <c r="R77" s="69"/>
      <c r="S77" s="69"/>
      <c r="T77" s="69"/>
      <c r="U77" s="69"/>
      <c r="V77" s="69"/>
      <c r="W77" s="69"/>
      <c r="X77" s="69"/>
      <c r="Y77" s="106"/>
      <c r="Z77" s="69"/>
      <c r="AA77" s="69"/>
      <c r="AB77" s="69"/>
      <c r="AC77" s="69"/>
      <c r="AD77" s="69"/>
      <c r="AE77" s="69"/>
      <c r="AF77" s="69"/>
      <c r="AG77" s="69"/>
      <c r="AH77" s="69"/>
      <c r="AI77" s="69"/>
      <c r="AJ77" s="69"/>
      <c r="AK77" s="69"/>
      <c r="AL77" s="69"/>
    </row>
    <row r="78" ht="15.75" customHeight="1" spans="1:38">
      <c r="A78" s="163"/>
      <c r="B78" s="69"/>
      <c r="C78" s="69"/>
      <c r="D78" s="69"/>
      <c r="E78" s="69"/>
      <c r="F78" s="69"/>
      <c r="G78" s="70"/>
      <c r="H78" s="69"/>
      <c r="I78" s="70"/>
      <c r="J78" s="69"/>
      <c r="K78" s="69"/>
      <c r="L78" s="69"/>
      <c r="M78" s="69"/>
      <c r="N78" s="69"/>
      <c r="O78" s="69"/>
      <c r="P78" s="69"/>
      <c r="Q78" s="69"/>
      <c r="R78" s="69"/>
      <c r="S78" s="69"/>
      <c r="T78" s="69"/>
      <c r="U78" s="69"/>
      <c r="V78" s="69"/>
      <c r="W78" s="69"/>
      <c r="X78" s="69"/>
      <c r="Y78" s="106"/>
      <c r="Z78" s="69"/>
      <c r="AA78" s="69"/>
      <c r="AB78" s="69"/>
      <c r="AC78" s="69"/>
      <c r="AD78" s="69"/>
      <c r="AE78" s="69"/>
      <c r="AF78" s="69"/>
      <c r="AG78" s="69"/>
      <c r="AH78" s="69"/>
      <c r="AI78" s="69"/>
      <c r="AJ78" s="69"/>
      <c r="AK78" s="69"/>
      <c r="AL78" s="69"/>
    </row>
    <row r="79" ht="15.75" customHeight="1" spans="1:38">
      <c r="A79" s="163"/>
      <c r="B79" s="69"/>
      <c r="C79" s="69"/>
      <c r="D79" s="69"/>
      <c r="E79" s="69"/>
      <c r="F79" s="69"/>
      <c r="G79" s="70"/>
      <c r="H79" s="69"/>
      <c r="I79" s="70"/>
      <c r="J79" s="69"/>
      <c r="K79" s="69"/>
      <c r="L79" s="69"/>
      <c r="M79" s="69"/>
      <c r="N79" s="69"/>
      <c r="O79" s="69"/>
      <c r="P79" s="69"/>
      <c r="Q79" s="69"/>
      <c r="R79" s="69"/>
      <c r="S79" s="69"/>
      <c r="T79" s="69"/>
      <c r="U79" s="69"/>
      <c r="V79" s="69"/>
      <c r="W79" s="69"/>
      <c r="X79" s="69"/>
      <c r="Y79" s="106"/>
      <c r="Z79" s="69"/>
      <c r="AA79" s="69"/>
      <c r="AB79" s="69"/>
      <c r="AC79" s="69"/>
      <c r="AD79" s="69"/>
      <c r="AE79" s="69"/>
      <c r="AF79" s="69"/>
      <c r="AG79" s="69"/>
      <c r="AH79" s="69"/>
      <c r="AI79" s="69"/>
      <c r="AJ79" s="69"/>
      <c r="AK79" s="69"/>
      <c r="AL79" s="69"/>
    </row>
    <row r="80" ht="15.75" customHeight="1" spans="1:38">
      <c r="A80" s="163"/>
      <c r="B80" s="69"/>
      <c r="C80" s="69"/>
      <c r="D80" s="69"/>
      <c r="E80" s="69"/>
      <c r="F80" s="69"/>
      <c r="G80" s="70"/>
      <c r="H80" s="69"/>
      <c r="I80" s="70"/>
      <c r="J80" s="69"/>
      <c r="K80" s="69"/>
      <c r="L80" s="69"/>
      <c r="M80" s="69"/>
      <c r="N80" s="69"/>
      <c r="O80" s="69"/>
      <c r="P80" s="69"/>
      <c r="Q80" s="69"/>
      <c r="R80" s="69"/>
      <c r="S80" s="69"/>
      <c r="T80" s="69"/>
      <c r="U80" s="69"/>
      <c r="V80" s="69"/>
      <c r="W80" s="69"/>
      <c r="X80" s="69"/>
      <c r="Y80" s="106"/>
      <c r="Z80" s="69"/>
      <c r="AA80" s="69"/>
      <c r="AB80" s="69"/>
      <c r="AC80" s="69"/>
      <c r="AD80" s="69"/>
      <c r="AE80" s="69"/>
      <c r="AF80" s="69"/>
      <c r="AG80" s="69"/>
      <c r="AH80" s="69"/>
      <c r="AI80" s="69"/>
      <c r="AJ80" s="69"/>
      <c r="AK80" s="69"/>
      <c r="AL80" s="69"/>
    </row>
    <row r="81" ht="15.75" customHeight="1" spans="1:38">
      <c r="A81" s="163"/>
      <c r="B81" s="69"/>
      <c r="C81" s="69"/>
      <c r="D81" s="69"/>
      <c r="E81" s="69"/>
      <c r="F81" s="69"/>
      <c r="G81" s="70"/>
      <c r="H81" s="69"/>
      <c r="I81" s="70"/>
      <c r="J81" s="69"/>
      <c r="K81" s="69"/>
      <c r="L81" s="69"/>
      <c r="M81" s="69"/>
      <c r="N81" s="69"/>
      <c r="O81" s="69"/>
      <c r="P81" s="69"/>
      <c r="Q81" s="69"/>
      <c r="R81" s="69"/>
      <c r="S81" s="69"/>
      <c r="T81" s="69"/>
      <c r="U81" s="69"/>
      <c r="V81" s="69"/>
      <c r="W81" s="69"/>
      <c r="X81" s="69"/>
      <c r="Y81" s="106"/>
      <c r="Z81" s="69"/>
      <c r="AA81" s="69"/>
      <c r="AB81" s="69"/>
      <c r="AC81" s="69"/>
      <c r="AD81" s="69"/>
      <c r="AE81" s="69"/>
      <c r="AF81" s="69"/>
      <c r="AG81" s="69"/>
      <c r="AH81" s="69"/>
      <c r="AI81" s="69"/>
      <c r="AJ81" s="69"/>
      <c r="AK81" s="69"/>
      <c r="AL81" s="69"/>
    </row>
    <row r="82" ht="15.75" customHeight="1" spans="1:38">
      <c r="A82" s="163"/>
      <c r="B82" s="69"/>
      <c r="C82" s="69"/>
      <c r="D82" s="69"/>
      <c r="E82" s="69"/>
      <c r="F82" s="69"/>
      <c r="G82" s="70"/>
      <c r="H82" s="69"/>
      <c r="I82" s="70"/>
      <c r="J82" s="69"/>
      <c r="K82" s="69"/>
      <c r="L82" s="69"/>
      <c r="M82" s="69"/>
      <c r="N82" s="69"/>
      <c r="O82" s="69"/>
      <c r="P82" s="69"/>
      <c r="Q82" s="69"/>
      <c r="R82" s="69"/>
      <c r="S82" s="69"/>
      <c r="T82" s="69"/>
      <c r="U82" s="69"/>
      <c r="V82" s="69"/>
      <c r="W82" s="69"/>
      <c r="X82" s="69"/>
      <c r="Y82" s="106"/>
      <c r="Z82" s="69"/>
      <c r="AA82" s="69"/>
      <c r="AB82" s="69"/>
      <c r="AC82" s="69"/>
      <c r="AD82" s="69"/>
      <c r="AE82" s="69"/>
      <c r="AF82" s="69"/>
      <c r="AG82" s="69"/>
      <c r="AH82" s="69"/>
      <c r="AI82" s="69"/>
      <c r="AJ82" s="69"/>
      <c r="AK82" s="69"/>
      <c r="AL82" s="69"/>
    </row>
    <row r="83" ht="15.75" customHeight="1" spans="1:38">
      <c r="A83" s="163"/>
      <c r="B83" s="69"/>
      <c r="C83" s="69"/>
      <c r="D83" s="69"/>
      <c r="E83" s="69"/>
      <c r="F83" s="69"/>
      <c r="G83" s="70"/>
      <c r="H83" s="69"/>
      <c r="I83" s="70"/>
      <c r="J83" s="69"/>
      <c r="K83" s="69"/>
      <c r="L83" s="69"/>
      <c r="M83" s="69"/>
      <c r="N83" s="69"/>
      <c r="O83" s="69"/>
      <c r="P83" s="69"/>
      <c r="Q83" s="69"/>
      <c r="R83" s="69"/>
      <c r="S83" s="69"/>
      <c r="T83" s="69"/>
      <c r="U83" s="69"/>
      <c r="V83" s="69"/>
      <c r="W83" s="69"/>
      <c r="X83" s="69"/>
      <c r="Y83" s="106"/>
      <c r="Z83" s="69"/>
      <c r="AA83" s="69"/>
      <c r="AB83" s="69"/>
      <c r="AC83" s="69"/>
      <c r="AD83" s="69"/>
      <c r="AE83" s="69"/>
      <c r="AF83" s="69"/>
      <c r="AG83" s="69"/>
      <c r="AH83" s="69"/>
      <c r="AI83" s="69"/>
      <c r="AJ83" s="69"/>
      <c r="AK83" s="69"/>
      <c r="AL83" s="69"/>
    </row>
    <row r="84" ht="15.75" customHeight="1" spans="1:38">
      <c r="A84" s="163"/>
      <c r="B84" s="69"/>
      <c r="C84" s="69"/>
      <c r="D84" s="69"/>
      <c r="E84" s="69"/>
      <c r="F84" s="69"/>
      <c r="G84" s="70"/>
      <c r="H84" s="69"/>
      <c r="I84" s="70"/>
      <c r="J84" s="69"/>
      <c r="K84" s="69"/>
      <c r="L84" s="69"/>
      <c r="M84" s="69"/>
      <c r="N84" s="69"/>
      <c r="O84" s="69"/>
      <c r="P84" s="69"/>
      <c r="Q84" s="69"/>
      <c r="R84" s="69"/>
      <c r="S84" s="69"/>
      <c r="T84" s="69"/>
      <c r="U84" s="69"/>
      <c r="V84" s="69"/>
      <c r="W84" s="69"/>
      <c r="X84" s="69"/>
      <c r="Y84" s="106"/>
      <c r="Z84" s="69"/>
      <c r="AA84" s="69"/>
      <c r="AB84" s="69"/>
      <c r="AC84" s="69"/>
      <c r="AD84" s="69"/>
      <c r="AE84" s="69"/>
      <c r="AF84" s="69"/>
      <c r="AG84" s="69"/>
      <c r="AH84" s="69"/>
      <c r="AI84" s="69"/>
      <c r="AJ84" s="69"/>
      <c r="AK84" s="69"/>
      <c r="AL84" s="69"/>
    </row>
    <row r="85" ht="15.75" customHeight="1" spans="1:38">
      <c r="A85" s="163"/>
      <c r="B85" s="69"/>
      <c r="C85" s="69"/>
      <c r="D85" s="69"/>
      <c r="E85" s="69"/>
      <c r="F85" s="69"/>
      <c r="G85" s="70"/>
      <c r="H85" s="69"/>
      <c r="I85" s="70"/>
      <c r="J85" s="69"/>
      <c r="K85" s="69"/>
      <c r="L85" s="69"/>
      <c r="M85" s="69"/>
      <c r="N85" s="69"/>
      <c r="O85" s="69"/>
      <c r="P85" s="69"/>
      <c r="Q85" s="69"/>
      <c r="R85" s="69"/>
      <c r="S85" s="69"/>
      <c r="T85" s="69"/>
      <c r="U85" s="69"/>
      <c r="V85" s="69"/>
      <c r="W85" s="69"/>
      <c r="X85" s="69"/>
      <c r="Y85" s="106"/>
      <c r="Z85" s="69"/>
      <c r="AA85" s="69"/>
      <c r="AB85" s="69"/>
      <c r="AC85" s="69"/>
      <c r="AD85" s="69"/>
      <c r="AE85" s="69"/>
      <c r="AF85" s="69"/>
      <c r="AG85" s="69"/>
      <c r="AH85" s="69"/>
      <c r="AI85" s="69"/>
      <c r="AJ85" s="69"/>
      <c r="AK85" s="69"/>
      <c r="AL85" s="69"/>
    </row>
    <row r="86" ht="15.75" customHeight="1" spans="1:38">
      <c r="A86" s="163"/>
      <c r="B86" s="69"/>
      <c r="C86" s="69"/>
      <c r="D86" s="69"/>
      <c r="E86" s="69"/>
      <c r="F86" s="69"/>
      <c r="G86" s="70"/>
      <c r="H86" s="69"/>
      <c r="I86" s="70"/>
      <c r="J86" s="69"/>
      <c r="K86" s="69"/>
      <c r="L86" s="69"/>
      <c r="M86" s="69"/>
      <c r="N86" s="69"/>
      <c r="O86" s="69"/>
      <c r="P86" s="69"/>
      <c r="Q86" s="69"/>
      <c r="R86" s="69"/>
      <c r="S86" s="69"/>
      <c r="T86" s="69"/>
      <c r="U86" s="69"/>
      <c r="V86" s="69"/>
      <c r="W86" s="69"/>
      <c r="X86" s="69"/>
      <c r="Y86" s="106"/>
      <c r="Z86" s="69"/>
      <c r="AA86" s="69"/>
      <c r="AB86" s="69"/>
      <c r="AC86" s="69"/>
      <c r="AD86" s="69"/>
      <c r="AE86" s="69"/>
      <c r="AF86" s="69"/>
      <c r="AG86" s="69"/>
      <c r="AH86" s="69"/>
      <c r="AI86" s="69"/>
      <c r="AJ86" s="69"/>
      <c r="AK86" s="69"/>
      <c r="AL86" s="69"/>
    </row>
    <row r="87" ht="15.75" customHeight="1" spans="1:38">
      <c r="A87" s="163"/>
      <c r="B87" s="69"/>
      <c r="C87" s="69"/>
      <c r="D87" s="69"/>
      <c r="E87" s="69"/>
      <c r="F87" s="69"/>
      <c r="G87" s="70"/>
      <c r="H87" s="69"/>
      <c r="I87" s="70"/>
      <c r="J87" s="69"/>
      <c r="K87" s="69"/>
      <c r="L87" s="69"/>
      <c r="M87" s="69"/>
      <c r="N87" s="69"/>
      <c r="O87" s="69"/>
      <c r="P87" s="69"/>
      <c r="Q87" s="69"/>
      <c r="R87" s="69"/>
      <c r="S87" s="69"/>
      <c r="T87" s="69"/>
      <c r="U87" s="69"/>
      <c r="V87" s="69"/>
      <c r="W87" s="69"/>
      <c r="X87" s="69"/>
      <c r="Y87" s="106"/>
      <c r="Z87" s="69"/>
      <c r="AA87" s="69"/>
      <c r="AB87" s="69"/>
      <c r="AC87" s="69"/>
      <c r="AD87" s="69"/>
      <c r="AE87" s="69"/>
      <c r="AF87" s="69"/>
      <c r="AG87" s="69"/>
      <c r="AH87" s="69"/>
      <c r="AI87" s="69"/>
      <c r="AJ87" s="69"/>
      <c r="AK87" s="69"/>
      <c r="AL87" s="69"/>
    </row>
    <row r="88" ht="15.75" customHeight="1" spans="1:38">
      <c r="A88" s="163"/>
      <c r="B88" s="69"/>
      <c r="C88" s="69"/>
      <c r="D88" s="69"/>
      <c r="E88" s="69"/>
      <c r="F88" s="69"/>
      <c r="G88" s="70"/>
      <c r="H88" s="69"/>
      <c r="I88" s="70"/>
      <c r="J88" s="69"/>
      <c r="K88" s="69"/>
      <c r="L88" s="69"/>
      <c r="M88" s="69"/>
      <c r="N88" s="69"/>
      <c r="O88" s="69"/>
      <c r="P88" s="69"/>
      <c r="Q88" s="69"/>
      <c r="R88" s="69"/>
      <c r="S88" s="69"/>
      <c r="T88" s="69"/>
      <c r="U88" s="69"/>
      <c r="V88" s="69"/>
      <c r="W88" s="69"/>
      <c r="X88" s="69"/>
      <c r="Y88" s="106"/>
      <c r="Z88" s="69"/>
      <c r="AA88" s="69"/>
      <c r="AB88" s="69"/>
      <c r="AC88" s="69"/>
      <c r="AD88" s="69"/>
      <c r="AE88" s="69"/>
      <c r="AF88" s="69"/>
      <c r="AG88" s="69"/>
      <c r="AH88" s="69"/>
      <c r="AI88" s="69"/>
      <c r="AJ88" s="69"/>
      <c r="AK88" s="69"/>
      <c r="AL88" s="69"/>
    </row>
    <row r="89" ht="15.75" customHeight="1" spans="1:38">
      <c r="A89" s="163"/>
      <c r="B89" s="69"/>
      <c r="C89" s="69"/>
      <c r="D89" s="69"/>
      <c r="E89" s="69"/>
      <c r="F89" s="69"/>
      <c r="G89" s="70"/>
      <c r="H89" s="69"/>
      <c r="I89" s="70"/>
      <c r="J89" s="69"/>
      <c r="K89" s="69"/>
      <c r="L89" s="69"/>
      <c r="M89" s="69"/>
      <c r="N89" s="69"/>
      <c r="O89" s="69"/>
      <c r="P89" s="69"/>
      <c r="Q89" s="69"/>
      <c r="R89" s="69"/>
      <c r="S89" s="69"/>
      <c r="T89" s="69"/>
      <c r="U89" s="69"/>
      <c r="V89" s="69"/>
      <c r="W89" s="69"/>
      <c r="X89" s="69"/>
      <c r="Y89" s="106"/>
      <c r="Z89" s="69"/>
      <c r="AA89" s="69"/>
      <c r="AB89" s="69"/>
      <c r="AC89" s="69"/>
      <c r="AD89" s="69"/>
      <c r="AE89" s="69"/>
      <c r="AF89" s="69"/>
      <c r="AG89" s="69"/>
      <c r="AH89" s="69"/>
      <c r="AI89" s="69"/>
      <c r="AJ89" s="69"/>
      <c r="AK89" s="69"/>
      <c r="AL89" s="69"/>
    </row>
    <row r="90" ht="15.75" customHeight="1" spans="1:38">
      <c r="A90" s="163"/>
      <c r="B90" s="69"/>
      <c r="C90" s="69"/>
      <c r="D90" s="69"/>
      <c r="E90" s="69"/>
      <c r="F90" s="69"/>
      <c r="G90" s="70"/>
      <c r="H90" s="69"/>
      <c r="I90" s="70"/>
      <c r="J90" s="69"/>
      <c r="K90" s="69"/>
      <c r="L90" s="69"/>
      <c r="M90" s="69"/>
      <c r="N90" s="69"/>
      <c r="O90" s="69"/>
      <c r="P90" s="69"/>
      <c r="Q90" s="69"/>
      <c r="R90" s="69"/>
      <c r="S90" s="69"/>
      <c r="T90" s="69"/>
      <c r="U90" s="69"/>
      <c r="V90" s="69"/>
      <c r="W90" s="69"/>
      <c r="X90" s="69"/>
      <c r="Y90" s="106"/>
      <c r="Z90" s="69"/>
      <c r="AA90" s="69"/>
      <c r="AB90" s="69"/>
      <c r="AC90" s="69"/>
      <c r="AD90" s="69"/>
      <c r="AE90" s="69"/>
      <c r="AF90" s="69"/>
      <c r="AG90" s="69"/>
      <c r="AH90" s="69"/>
      <c r="AI90" s="69"/>
      <c r="AJ90" s="69"/>
      <c r="AK90" s="69"/>
      <c r="AL90" s="69"/>
    </row>
    <row r="91" ht="15.75" customHeight="1" spans="1:38">
      <c r="A91" s="163"/>
      <c r="B91" s="69"/>
      <c r="C91" s="69"/>
      <c r="D91" s="69"/>
      <c r="E91" s="69"/>
      <c r="F91" s="69"/>
      <c r="G91" s="70"/>
      <c r="H91" s="69"/>
      <c r="I91" s="70"/>
      <c r="J91" s="69"/>
      <c r="K91" s="69"/>
      <c r="L91" s="69"/>
      <c r="M91" s="69"/>
      <c r="N91" s="69"/>
      <c r="O91" s="69"/>
      <c r="P91" s="69"/>
      <c r="Q91" s="69"/>
      <c r="R91" s="69"/>
      <c r="S91" s="69"/>
      <c r="T91" s="69"/>
      <c r="U91" s="69"/>
      <c r="V91" s="69"/>
      <c r="W91" s="69"/>
      <c r="X91" s="69"/>
      <c r="Y91" s="106"/>
      <c r="Z91" s="69"/>
      <c r="AA91" s="69"/>
      <c r="AB91" s="69"/>
      <c r="AC91" s="69"/>
      <c r="AD91" s="69"/>
      <c r="AE91" s="69"/>
      <c r="AF91" s="69"/>
      <c r="AG91" s="69"/>
      <c r="AH91" s="69"/>
      <c r="AI91" s="69"/>
      <c r="AJ91" s="69"/>
      <c r="AK91" s="69"/>
      <c r="AL91" s="69"/>
    </row>
    <row r="92" ht="15.75" customHeight="1" spans="1:38">
      <c r="A92" s="163"/>
      <c r="B92" s="69"/>
      <c r="C92" s="69"/>
      <c r="D92" s="69"/>
      <c r="E92" s="69"/>
      <c r="F92" s="69"/>
      <c r="G92" s="70"/>
      <c r="H92" s="69"/>
      <c r="I92" s="70"/>
      <c r="J92" s="69"/>
      <c r="K92" s="69"/>
      <c r="L92" s="69"/>
      <c r="M92" s="69"/>
      <c r="N92" s="69"/>
      <c r="O92" s="69"/>
      <c r="P92" s="69"/>
      <c r="Q92" s="69"/>
      <c r="R92" s="69"/>
      <c r="S92" s="69"/>
      <c r="T92" s="69"/>
      <c r="U92" s="69"/>
      <c r="V92" s="69"/>
      <c r="W92" s="69"/>
      <c r="X92" s="69"/>
      <c r="Y92" s="106"/>
      <c r="Z92" s="69"/>
      <c r="AA92" s="69"/>
      <c r="AB92" s="69"/>
      <c r="AC92" s="69"/>
      <c r="AD92" s="69"/>
      <c r="AE92" s="69"/>
      <c r="AF92" s="69"/>
      <c r="AG92" s="69"/>
      <c r="AH92" s="69"/>
      <c r="AI92" s="69"/>
      <c r="AJ92" s="69"/>
      <c r="AK92" s="69"/>
      <c r="AL92" s="69"/>
    </row>
    <row r="93" ht="15.75" customHeight="1" spans="1:38">
      <c r="A93" s="163"/>
      <c r="B93" s="69"/>
      <c r="C93" s="69"/>
      <c r="D93" s="69"/>
      <c r="E93" s="69"/>
      <c r="F93" s="69"/>
      <c r="G93" s="70"/>
      <c r="H93" s="69"/>
      <c r="I93" s="70"/>
      <c r="J93" s="69"/>
      <c r="K93" s="69"/>
      <c r="L93" s="69"/>
      <c r="M93" s="69"/>
      <c r="N93" s="69"/>
      <c r="O93" s="69"/>
      <c r="P93" s="69"/>
      <c r="Q93" s="69"/>
      <c r="R93" s="69"/>
      <c r="S93" s="69"/>
      <c r="T93" s="69"/>
      <c r="U93" s="69"/>
      <c r="V93" s="69"/>
      <c r="W93" s="69"/>
      <c r="X93" s="69"/>
      <c r="Y93" s="106"/>
      <c r="Z93" s="69"/>
      <c r="AA93" s="69"/>
      <c r="AB93" s="69"/>
      <c r="AC93" s="69"/>
      <c r="AD93" s="69"/>
      <c r="AE93" s="69"/>
      <c r="AF93" s="69"/>
      <c r="AG93" s="69"/>
      <c r="AH93" s="69"/>
      <c r="AI93" s="69"/>
      <c r="AJ93" s="69"/>
      <c r="AK93" s="69"/>
      <c r="AL93" s="69"/>
    </row>
    <row r="94" ht="15.75" customHeight="1" spans="1:38">
      <c r="A94" s="163"/>
      <c r="B94" s="69"/>
      <c r="C94" s="69"/>
      <c r="D94" s="69"/>
      <c r="E94" s="69"/>
      <c r="F94" s="69"/>
      <c r="G94" s="70"/>
      <c r="H94" s="69"/>
      <c r="I94" s="70"/>
      <c r="J94" s="69"/>
      <c r="K94" s="69"/>
      <c r="L94" s="69"/>
      <c r="M94" s="69"/>
      <c r="N94" s="69"/>
      <c r="O94" s="69"/>
      <c r="P94" s="69"/>
      <c r="Q94" s="69"/>
      <c r="R94" s="69"/>
      <c r="S94" s="69"/>
      <c r="T94" s="69"/>
      <c r="U94" s="69"/>
      <c r="V94" s="69"/>
      <c r="W94" s="69"/>
      <c r="X94" s="69"/>
      <c r="Y94" s="106"/>
      <c r="Z94" s="69"/>
      <c r="AA94" s="69"/>
      <c r="AB94" s="69"/>
      <c r="AC94" s="69"/>
      <c r="AD94" s="69"/>
      <c r="AE94" s="69"/>
      <c r="AF94" s="69"/>
      <c r="AG94" s="69"/>
      <c r="AH94" s="69"/>
      <c r="AI94" s="69"/>
      <c r="AJ94" s="69"/>
      <c r="AK94" s="69"/>
      <c r="AL94" s="69"/>
    </row>
    <row r="95" ht="15.75" customHeight="1" spans="1:38">
      <c r="A95" s="163"/>
      <c r="B95" s="69"/>
      <c r="C95" s="69"/>
      <c r="D95" s="69"/>
      <c r="E95" s="69"/>
      <c r="F95" s="69"/>
      <c r="G95" s="70"/>
      <c r="H95" s="69"/>
      <c r="I95" s="70"/>
      <c r="J95" s="69"/>
      <c r="K95" s="69"/>
      <c r="L95" s="69"/>
      <c r="M95" s="69"/>
      <c r="N95" s="69"/>
      <c r="O95" s="69"/>
      <c r="P95" s="69"/>
      <c r="Q95" s="69"/>
      <c r="R95" s="69"/>
      <c r="S95" s="69"/>
      <c r="T95" s="69"/>
      <c r="U95" s="69"/>
      <c r="V95" s="69"/>
      <c r="W95" s="69"/>
      <c r="X95" s="69"/>
      <c r="Y95" s="106"/>
      <c r="Z95" s="69"/>
      <c r="AA95" s="69"/>
      <c r="AB95" s="69"/>
      <c r="AC95" s="69"/>
      <c r="AD95" s="69"/>
      <c r="AE95" s="69"/>
      <c r="AF95" s="69"/>
      <c r="AG95" s="69"/>
      <c r="AH95" s="69"/>
      <c r="AI95" s="69"/>
      <c r="AJ95" s="69"/>
      <c r="AK95" s="69"/>
      <c r="AL95" s="69"/>
    </row>
    <row r="96" ht="15.75" customHeight="1" spans="1:38">
      <c r="A96" s="163"/>
      <c r="B96" s="69"/>
      <c r="C96" s="69"/>
      <c r="D96" s="69"/>
      <c r="E96" s="69"/>
      <c r="F96" s="69"/>
      <c r="G96" s="70"/>
      <c r="H96" s="69"/>
      <c r="I96" s="70"/>
      <c r="J96" s="69"/>
      <c r="K96" s="69"/>
      <c r="L96" s="69"/>
      <c r="M96" s="69"/>
      <c r="N96" s="69"/>
      <c r="O96" s="69"/>
      <c r="P96" s="69"/>
      <c r="Q96" s="69"/>
      <c r="R96" s="69"/>
      <c r="S96" s="69"/>
      <c r="T96" s="69"/>
      <c r="U96" s="69"/>
      <c r="V96" s="69"/>
      <c r="W96" s="69"/>
      <c r="X96" s="69"/>
      <c r="Y96" s="106"/>
      <c r="Z96" s="69"/>
      <c r="AA96" s="69"/>
      <c r="AB96" s="69"/>
      <c r="AC96" s="69"/>
      <c r="AD96" s="69"/>
      <c r="AE96" s="69"/>
      <c r="AF96" s="69"/>
      <c r="AG96" s="69"/>
      <c r="AH96" s="69"/>
      <c r="AI96" s="69"/>
      <c r="AJ96" s="69"/>
      <c r="AK96" s="69"/>
      <c r="AL96" s="69"/>
    </row>
    <row r="97" ht="15.75" customHeight="1" spans="1:38">
      <c r="A97" s="163"/>
      <c r="B97" s="69"/>
      <c r="C97" s="69"/>
      <c r="D97" s="69"/>
      <c r="E97" s="69"/>
      <c r="F97" s="69"/>
      <c r="G97" s="70"/>
      <c r="H97" s="69"/>
      <c r="I97" s="70"/>
      <c r="J97" s="69"/>
      <c r="K97" s="69"/>
      <c r="L97" s="69"/>
      <c r="M97" s="69"/>
      <c r="N97" s="69"/>
      <c r="O97" s="69"/>
      <c r="P97" s="69"/>
      <c r="Q97" s="69"/>
      <c r="R97" s="69"/>
      <c r="S97" s="69"/>
      <c r="T97" s="69"/>
      <c r="U97" s="69"/>
      <c r="V97" s="69"/>
      <c r="W97" s="69"/>
      <c r="X97" s="69"/>
      <c r="Y97" s="106"/>
      <c r="Z97" s="69"/>
      <c r="AA97" s="69"/>
      <c r="AB97" s="69"/>
      <c r="AC97" s="69"/>
      <c r="AD97" s="69"/>
      <c r="AE97" s="69"/>
      <c r="AF97" s="69"/>
      <c r="AG97" s="69"/>
      <c r="AH97" s="69"/>
      <c r="AI97" s="69"/>
      <c r="AJ97" s="69"/>
      <c r="AK97" s="69"/>
      <c r="AL97" s="69"/>
    </row>
    <row r="98" ht="15.75" customHeight="1" spans="1:38">
      <c r="A98" s="163"/>
      <c r="B98" s="69"/>
      <c r="C98" s="69"/>
      <c r="D98" s="69"/>
      <c r="E98" s="69"/>
      <c r="F98" s="69"/>
      <c r="G98" s="70"/>
      <c r="H98" s="69"/>
      <c r="I98" s="70"/>
      <c r="J98" s="69"/>
      <c r="K98" s="69"/>
      <c r="L98" s="69"/>
      <c r="M98" s="69"/>
      <c r="N98" s="69"/>
      <c r="O98" s="69"/>
      <c r="P98" s="69"/>
      <c r="Q98" s="69"/>
      <c r="R98" s="69"/>
      <c r="S98" s="69"/>
      <c r="T98" s="69"/>
      <c r="U98" s="69"/>
      <c r="V98" s="69"/>
      <c r="W98" s="69"/>
      <c r="X98" s="69"/>
      <c r="Y98" s="106"/>
      <c r="Z98" s="69"/>
      <c r="AA98" s="69"/>
      <c r="AB98" s="69"/>
      <c r="AC98" s="69"/>
      <c r="AD98" s="69"/>
      <c r="AE98" s="69"/>
      <c r="AF98" s="69"/>
      <c r="AG98" s="69"/>
      <c r="AH98" s="69"/>
      <c r="AI98" s="69"/>
      <c r="AJ98" s="69"/>
      <c r="AK98" s="69"/>
      <c r="AL98" s="69"/>
    </row>
    <row r="99" ht="15.75" customHeight="1" spans="1:38">
      <c r="A99" s="163"/>
      <c r="B99" s="69"/>
      <c r="C99" s="69"/>
      <c r="D99" s="69"/>
      <c r="E99" s="69"/>
      <c r="F99" s="69"/>
      <c r="G99" s="70"/>
      <c r="H99" s="69"/>
      <c r="I99" s="70"/>
      <c r="J99" s="69"/>
      <c r="K99" s="69"/>
      <c r="L99" s="69"/>
      <c r="M99" s="69"/>
      <c r="N99" s="69"/>
      <c r="O99" s="69"/>
      <c r="P99" s="69"/>
      <c r="Q99" s="69"/>
      <c r="R99" s="69"/>
      <c r="S99" s="69"/>
      <c r="T99" s="69"/>
      <c r="U99" s="69"/>
      <c r="V99" s="69"/>
      <c r="W99" s="69"/>
      <c r="X99" s="69"/>
      <c r="Y99" s="106"/>
      <c r="Z99" s="69"/>
      <c r="AA99" s="69"/>
      <c r="AB99" s="69"/>
      <c r="AC99" s="69"/>
      <c r="AD99" s="69"/>
      <c r="AE99" s="69"/>
      <c r="AF99" s="69"/>
      <c r="AG99" s="69"/>
      <c r="AH99" s="69"/>
      <c r="AI99" s="69"/>
      <c r="AJ99" s="69"/>
      <c r="AK99" s="69"/>
      <c r="AL99" s="69"/>
    </row>
    <row r="100" ht="15.75" customHeight="1" spans="1:38">
      <c r="A100" s="163"/>
      <c r="B100" s="69"/>
      <c r="C100" s="69"/>
      <c r="D100" s="69"/>
      <c r="E100" s="69"/>
      <c r="F100" s="69"/>
      <c r="G100" s="70"/>
      <c r="H100" s="69"/>
      <c r="I100" s="70"/>
      <c r="J100" s="69"/>
      <c r="K100" s="69"/>
      <c r="L100" s="69"/>
      <c r="M100" s="69"/>
      <c r="N100" s="69"/>
      <c r="O100" s="69"/>
      <c r="P100" s="69"/>
      <c r="Q100" s="69"/>
      <c r="R100" s="69"/>
      <c r="S100" s="69"/>
      <c r="T100" s="69"/>
      <c r="U100" s="69"/>
      <c r="V100" s="69"/>
      <c r="W100" s="69"/>
      <c r="X100" s="69"/>
      <c r="Y100" s="106"/>
      <c r="Z100" s="69"/>
      <c r="AA100" s="69"/>
      <c r="AB100" s="69"/>
      <c r="AC100" s="69"/>
      <c r="AD100" s="69"/>
      <c r="AE100" s="69"/>
      <c r="AF100" s="69"/>
      <c r="AG100" s="69"/>
      <c r="AH100" s="69"/>
      <c r="AI100" s="69"/>
      <c r="AJ100" s="69"/>
      <c r="AK100" s="69"/>
      <c r="AL100" s="69"/>
    </row>
    <row r="101" ht="15.75" customHeight="1" spans="1:38">
      <c r="A101" s="163"/>
      <c r="B101" s="69"/>
      <c r="C101" s="69"/>
      <c r="D101" s="69"/>
      <c r="E101" s="69"/>
      <c r="F101" s="69"/>
      <c r="G101" s="70"/>
      <c r="H101" s="69"/>
      <c r="I101" s="70"/>
      <c r="J101" s="69"/>
      <c r="K101" s="69"/>
      <c r="L101" s="69"/>
      <c r="M101" s="69"/>
      <c r="N101" s="69"/>
      <c r="O101" s="69"/>
      <c r="P101" s="69"/>
      <c r="Q101" s="69"/>
      <c r="R101" s="69"/>
      <c r="S101" s="69"/>
      <c r="T101" s="69"/>
      <c r="U101" s="69"/>
      <c r="V101" s="69"/>
      <c r="W101" s="69"/>
      <c r="X101" s="69"/>
      <c r="Y101" s="106"/>
      <c r="Z101" s="69"/>
      <c r="AA101" s="69"/>
      <c r="AB101" s="69"/>
      <c r="AC101" s="69"/>
      <c r="AD101" s="69"/>
      <c r="AE101" s="69"/>
      <c r="AF101" s="69"/>
      <c r="AG101" s="69"/>
      <c r="AH101" s="69"/>
      <c r="AI101" s="69"/>
      <c r="AJ101" s="69"/>
      <c r="AK101" s="69"/>
      <c r="AL101" s="69"/>
    </row>
    <row r="102" ht="15.75" customHeight="1" spans="1:38">
      <c r="A102" s="163"/>
      <c r="B102" s="69"/>
      <c r="C102" s="69"/>
      <c r="D102" s="69"/>
      <c r="E102" s="69"/>
      <c r="F102" s="69"/>
      <c r="G102" s="70"/>
      <c r="H102" s="69"/>
      <c r="I102" s="70"/>
      <c r="J102" s="69"/>
      <c r="K102" s="69"/>
      <c r="L102" s="69"/>
      <c r="M102" s="69"/>
      <c r="N102" s="69"/>
      <c r="O102" s="69"/>
      <c r="P102" s="69"/>
      <c r="Q102" s="69"/>
      <c r="R102" s="69"/>
      <c r="S102" s="69"/>
      <c r="T102" s="69"/>
      <c r="U102" s="69"/>
      <c r="V102" s="69"/>
      <c r="W102" s="69"/>
      <c r="X102" s="69"/>
      <c r="Y102" s="106"/>
      <c r="Z102" s="69"/>
      <c r="AA102" s="69"/>
      <c r="AB102" s="69"/>
      <c r="AC102" s="69"/>
      <c r="AD102" s="69"/>
      <c r="AE102" s="69"/>
      <c r="AF102" s="69"/>
      <c r="AG102" s="69"/>
      <c r="AH102" s="69"/>
      <c r="AI102" s="69"/>
      <c r="AJ102" s="69"/>
      <c r="AK102" s="69"/>
      <c r="AL102" s="69"/>
    </row>
    <row r="103" ht="15.75" customHeight="1" spans="1:38">
      <c r="A103" s="163"/>
      <c r="B103" s="69"/>
      <c r="C103" s="69"/>
      <c r="D103" s="69"/>
      <c r="E103" s="69"/>
      <c r="F103" s="69"/>
      <c r="G103" s="70"/>
      <c r="H103" s="69"/>
      <c r="I103" s="70"/>
      <c r="J103" s="69"/>
      <c r="K103" s="69"/>
      <c r="L103" s="69"/>
      <c r="M103" s="69"/>
      <c r="N103" s="69"/>
      <c r="O103" s="69"/>
      <c r="P103" s="69"/>
      <c r="Q103" s="69"/>
      <c r="R103" s="69"/>
      <c r="S103" s="69"/>
      <c r="T103" s="69"/>
      <c r="U103" s="69"/>
      <c r="V103" s="69"/>
      <c r="W103" s="69"/>
      <c r="X103" s="69"/>
      <c r="Y103" s="106"/>
      <c r="Z103" s="69"/>
      <c r="AA103" s="69"/>
      <c r="AB103" s="69"/>
      <c r="AC103" s="69"/>
      <c r="AD103" s="69"/>
      <c r="AE103" s="69"/>
      <c r="AF103" s="69"/>
      <c r="AG103" s="69"/>
      <c r="AH103" s="69"/>
      <c r="AI103" s="69"/>
      <c r="AJ103" s="69"/>
      <c r="AK103" s="69"/>
      <c r="AL103" s="69"/>
    </row>
    <row r="104" ht="15.75" customHeight="1" spans="1:38">
      <c r="A104" s="163"/>
      <c r="B104" s="69"/>
      <c r="C104" s="69"/>
      <c r="D104" s="69"/>
      <c r="E104" s="69"/>
      <c r="F104" s="69"/>
      <c r="G104" s="70"/>
      <c r="H104" s="69"/>
      <c r="I104" s="70"/>
      <c r="J104" s="69"/>
      <c r="K104" s="69"/>
      <c r="L104" s="69"/>
      <c r="M104" s="69"/>
      <c r="N104" s="69"/>
      <c r="O104" s="69"/>
      <c r="P104" s="69"/>
      <c r="Q104" s="69"/>
      <c r="R104" s="69"/>
      <c r="S104" s="69"/>
      <c r="T104" s="69"/>
      <c r="U104" s="69"/>
      <c r="V104" s="69"/>
      <c r="W104" s="69"/>
      <c r="X104" s="69"/>
      <c r="Y104" s="106"/>
      <c r="Z104" s="69"/>
      <c r="AA104" s="69"/>
      <c r="AB104" s="69"/>
      <c r="AC104" s="69"/>
      <c r="AD104" s="69"/>
      <c r="AE104" s="69"/>
      <c r="AF104" s="69"/>
      <c r="AG104" s="69"/>
      <c r="AH104" s="69"/>
      <c r="AI104" s="69"/>
      <c r="AJ104" s="69"/>
      <c r="AK104" s="69"/>
      <c r="AL104" s="69"/>
    </row>
    <row r="105" ht="15.75" customHeight="1" spans="1:38">
      <c r="A105" s="163"/>
      <c r="B105" s="69"/>
      <c r="C105" s="69"/>
      <c r="D105" s="69"/>
      <c r="E105" s="69"/>
      <c r="F105" s="69"/>
      <c r="G105" s="70"/>
      <c r="H105" s="69"/>
      <c r="I105" s="70"/>
      <c r="J105" s="69"/>
      <c r="K105" s="69"/>
      <c r="L105" s="69"/>
      <c r="M105" s="69"/>
      <c r="N105" s="69"/>
      <c r="O105" s="69"/>
      <c r="P105" s="69"/>
      <c r="Q105" s="69"/>
      <c r="R105" s="69"/>
      <c r="S105" s="69"/>
      <c r="T105" s="69"/>
      <c r="U105" s="69"/>
      <c r="V105" s="69"/>
      <c r="W105" s="69"/>
      <c r="X105" s="69"/>
      <c r="Y105" s="106"/>
      <c r="Z105" s="69"/>
      <c r="AA105" s="69"/>
      <c r="AB105" s="69"/>
      <c r="AC105" s="69"/>
      <c r="AD105" s="69"/>
      <c r="AE105" s="69"/>
      <c r="AF105" s="69"/>
      <c r="AG105" s="69"/>
      <c r="AH105" s="69"/>
      <c r="AI105" s="69"/>
      <c r="AJ105" s="69"/>
      <c r="AK105" s="69"/>
      <c r="AL105" s="69"/>
    </row>
    <row r="106" ht="15.75" customHeight="1" spans="1:38">
      <c r="A106" s="163"/>
      <c r="B106" s="69"/>
      <c r="C106" s="69"/>
      <c r="D106" s="69"/>
      <c r="E106" s="69"/>
      <c r="F106" s="69"/>
      <c r="G106" s="70"/>
      <c r="H106" s="69"/>
      <c r="I106" s="70"/>
      <c r="J106" s="69"/>
      <c r="K106" s="69"/>
      <c r="L106" s="69"/>
      <c r="M106" s="69"/>
      <c r="N106" s="69"/>
      <c r="O106" s="69"/>
      <c r="P106" s="69"/>
      <c r="Q106" s="69"/>
      <c r="R106" s="69"/>
      <c r="S106" s="69"/>
      <c r="T106" s="69"/>
      <c r="U106" s="69"/>
      <c r="V106" s="69"/>
      <c r="W106" s="69"/>
      <c r="X106" s="69"/>
      <c r="Y106" s="106"/>
      <c r="Z106" s="69"/>
      <c r="AA106" s="69"/>
      <c r="AB106" s="69"/>
      <c r="AC106" s="69"/>
      <c r="AD106" s="69"/>
      <c r="AE106" s="69"/>
      <c r="AF106" s="69"/>
      <c r="AG106" s="69"/>
      <c r="AH106" s="69"/>
      <c r="AI106" s="69"/>
      <c r="AJ106" s="69"/>
      <c r="AK106" s="69"/>
      <c r="AL106" s="69"/>
    </row>
    <row r="107" ht="15.75" customHeight="1" spans="1:38">
      <c r="A107" s="163"/>
      <c r="B107" s="69"/>
      <c r="C107" s="69"/>
      <c r="D107" s="69"/>
      <c r="E107" s="69"/>
      <c r="F107" s="69"/>
      <c r="G107" s="70"/>
      <c r="H107" s="69"/>
      <c r="I107" s="70"/>
      <c r="J107" s="69"/>
      <c r="K107" s="69"/>
      <c r="L107" s="69"/>
      <c r="M107" s="69"/>
      <c r="N107" s="69"/>
      <c r="O107" s="69"/>
      <c r="P107" s="69"/>
      <c r="Q107" s="69"/>
      <c r="R107" s="69"/>
      <c r="S107" s="69"/>
      <c r="T107" s="69"/>
      <c r="U107" s="69"/>
      <c r="V107" s="69"/>
      <c r="W107" s="69"/>
      <c r="X107" s="69"/>
      <c r="Y107" s="106"/>
      <c r="Z107" s="69"/>
      <c r="AA107" s="69"/>
      <c r="AB107" s="69"/>
      <c r="AC107" s="69"/>
      <c r="AD107" s="69"/>
      <c r="AE107" s="69"/>
      <c r="AF107" s="69"/>
      <c r="AG107" s="69"/>
      <c r="AH107" s="69"/>
      <c r="AI107" s="69"/>
      <c r="AJ107" s="69"/>
      <c r="AK107" s="69"/>
      <c r="AL107" s="69"/>
    </row>
    <row r="108" ht="15.75" customHeight="1" spans="1:38">
      <c r="A108" s="163"/>
      <c r="B108" s="69"/>
      <c r="C108" s="69"/>
      <c r="D108" s="69"/>
      <c r="E108" s="69"/>
      <c r="F108" s="69"/>
      <c r="G108" s="70"/>
      <c r="H108" s="69"/>
      <c r="I108" s="70"/>
      <c r="J108" s="69"/>
      <c r="K108" s="69"/>
      <c r="L108" s="69"/>
      <c r="M108" s="69"/>
      <c r="N108" s="69"/>
      <c r="O108" s="69"/>
      <c r="P108" s="69"/>
      <c r="Q108" s="69"/>
      <c r="R108" s="69"/>
      <c r="S108" s="69"/>
      <c r="T108" s="69"/>
      <c r="U108" s="69"/>
      <c r="V108" s="69"/>
      <c r="W108" s="69"/>
      <c r="X108" s="69"/>
      <c r="Y108" s="106"/>
      <c r="Z108" s="69"/>
      <c r="AA108" s="69"/>
      <c r="AB108" s="69"/>
      <c r="AC108" s="69"/>
      <c r="AD108" s="69"/>
      <c r="AE108" s="69"/>
      <c r="AF108" s="69"/>
      <c r="AG108" s="69"/>
      <c r="AH108" s="69"/>
      <c r="AI108" s="69"/>
      <c r="AJ108" s="69"/>
      <c r="AK108" s="69"/>
      <c r="AL108" s="69"/>
    </row>
    <row r="109" ht="15.75" customHeight="1" spans="1:38">
      <c r="A109" s="163"/>
      <c r="B109" s="69"/>
      <c r="C109" s="69"/>
      <c r="D109" s="69"/>
      <c r="E109" s="69"/>
      <c r="F109" s="69"/>
      <c r="G109" s="70"/>
      <c r="H109" s="69"/>
      <c r="I109" s="70"/>
      <c r="J109" s="69"/>
      <c r="K109" s="69"/>
      <c r="L109" s="69"/>
      <c r="M109" s="69"/>
      <c r="N109" s="69"/>
      <c r="O109" s="69"/>
      <c r="P109" s="69"/>
      <c r="Q109" s="69"/>
      <c r="R109" s="69"/>
      <c r="S109" s="69"/>
      <c r="T109" s="69"/>
      <c r="U109" s="69"/>
      <c r="V109" s="69"/>
      <c r="W109" s="69"/>
      <c r="X109" s="69"/>
      <c r="Y109" s="106"/>
      <c r="Z109" s="69"/>
      <c r="AA109" s="69"/>
      <c r="AB109" s="69"/>
      <c r="AC109" s="69"/>
      <c r="AD109" s="69"/>
      <c r="AE109" s="69"/>
      <c r="AF109" s="69"/>
      <c r="AG109" s="69"/>
      <c r="AH109" s="69"/>
      <c r="AI109" s="69"/>
      <c r="AJ109" s="69"/>
      <c r="AK109" s="69"/>
      <c r="AL109" s="69"/>
    </row>
    <row r="110" ht="15.75" customHeight="1" spans="1:38">
      <c r="A110" s="163"/>
      <c r="B110" s="69"/>
      <c r="C110" s="69"/>
      <c r="D110" s="69"/>
      <c r="E110" s="69"/>
      <c r="F110" s="69"/>
      <c r="G110" s="70"/>
      <c r="H110" s="69"/>
      <c r="I110" s="70"/>
      <c r="J110" s="69"/>
      <c r="K110" s="69"/>
      <c r="L110" s="69"/>
      <c r="M110" s="69"/>
      <c r="N110" s="69"/>
      <c r="O110" s="69"/>
      <c r="P110" s="69"/>
      <c r="Q110" s="69"/>
      <c r="R110" s="69"/>
      <c r="S110" s="69"/>
      <c r="T110" s="69"/>
      <c r="U110" s="69"/>
      <c r="V110" s="69"/>
      <c r="W110" s="69"/>
      <c r="X110" s="69"/>
      <c r="Y110" s="106"/>
      <c r="Z110" s="69"/>
      <c r="AA110" s="69"/>
      <c r="AB110" s="69"/>
      <c r="AC110" s="69"/>
      <c r="AD110" s="69"/>
      <c r="AE110" s="69"/>
      <c r="AF110" s="69"/>
      <c r="AG110" s="69"/>
      <c r="AH110" s="69"/>
      <c r="AI110" s="69"/>
      <c r="AJ110" s="69"/>
      <c r="AK110" s="69"/>
      <c r="AL110" s="69"/>
    </row>
    <row r="111" ht="15.75" customHeight="1" spans="1:38">
      <c r="A111" s="163"/>
      <c r="B111" s="69"/>
      <c r="C111" s="69"/>
      <c r="D111" s="69"/>
      <c r="E111" s="69"/>
      <c r="F111" s="69"/>
      <c r="G111" s="70"/>
      <c r="H111" s="69"/>
      <c r="I111" s="70"/>
      <c r="J111" s="69"/>
      <c r="K111" s="69"/>
      <c r="L111" s="69"/>
      <c r="M111" s="69"/>
      <c r="N111" s="69"/>
      <c r="O111" s="69"/>
      <c r="P111" s="69"/>
      <c r="Q111" s="69"/>
      <c r="R111" s="69"/>
      <c r="S111" s="69"/>
      <c r="T111" s="69"/>
      <c r="U111" s="69"/>
      <c r="V111" s="69"/>
      <c r="W111" s="69"/>
      <c r="X111" s="69"/>
      <c r="Y111" s="106"/>
      <c r="Z111" s="69"/>
      <c r="AA111" s="69"/>
      <c r="AB111" s="69"/>
      <c r="AC111" s="69"/>
      <c r="AD111" s="69"/>
      <c r="AE111" s="69"/>
      <c r="AF111" s="69"/>
      <c r="AG111" s="69"/>
      <c r="AH111" s="69"/>
      <c r="AI111" s="69"/>
      <c r="AJ111" s="69"/>
      <c r="AK111" s="69"/>
      <c r="AL111" s="69"/>
    </row>
    <row r="112" ht="15.75" customHeight="1" spans="1:38">
      <c r="A112" s="163"/>
      <c r="B112" s="69"/>
      <c r="C112" s="69"/>
      <c r="D112" s="69"/>
      <c r="E112" s="69"/>
      <c r="F112" s="69"/>
      <c r="G112" s="70"/>
      <c r="H112" s="69"/>
      <c r="I112" s="70"/>
      <c r="J112" s="69"/>
      <c r="K112" s="69"/>
      <c r="L112" s="69"/>
      <c r="M112" s="69"/>
      <c r="N112" s="69"/>
      <c r="O112" s="69"/>
      <c r="P112" s="69"/>
      <c r="Q112" s="69"/>
      <c r="R112" s="69"/>
      <c r="S112" s="69"/>
      <c r="T112" s="69"/>
      <c r="U112" s="69"/>
      <c r="V112" s="69"/>
      <c r="W112" s="69"/>
      <c r="X112" s="69"/>
      <c r="Y112" s="106"/>
      <c r="Z112" s="69"/>
      <c r="AA112" s="69"/>
      <c r="AB112" s="69"/>
      <c r="AC112" s="69"/>
      <c r="AD112" s="69"/>
      <c r="AE112" s="69"/>
      <c r="AF112" s="69"/>
      <c r="AG112" s="69"/>
      <c r="AH112" s="69"/>
      <c r="AI112" s="69"/>
      <c r="AJ112" s="69"/>
      <c r="AK112" s="69"/>
      <c r="AL112" s="69"/>
    </row>
    <row r="113" ht="15.75" customHeight="1" spans="1:38">
      <c r="A113" s="163"/>
      <c r="B113" s="69"/>
      <c r="C113" s="69"/>
      <c r="D113" s="69"/>
      <c r="E113" s="69"/>
      <c r="F113" s="69"/>
      <c r="G113" s="70"/>
      <c r="H113" s="69"/>
      <c r="I113" s="70"/>
      <c r="J113" s="69"/>
      <c r="K113" s="69"/>
      <c r="L113" s="69"/>
      <c r="M113" s="69"/>
      <c r="N113" s="69"/>
      <c r="O113" s="69"/>
      <c r="P113" s="69"/>
      <c r="Q113" s="69"/>
      <c r="R113" s="69"/>
      <c r="S113" s="69"/>
      <c r="T113" s="69"/>
      <c r="U113" s="69"/>
      <c r="V113" s="69"/>
      <c r="W113" s="69"/>
      <c r="X113" s="69"/>
      <c r="Y113" s="106"/>
      <c r="Z113" s="69"/>
      <c r="AA113" s="69"/>
      <c r="AB113" s="69"/>
      <c r="AC113" s="69"/>
      <c r="AD113" s="69"/>
      <c r="AE113" s="69"/>
      <c r="AF113" s="69"/>
      <c r="AG113" s="69"/>
      <c r="AH113" s="69"/>
      <c r="AI113" s="69"/>
      <c r="AJ113" s="69"/>
      <c r="AK113" s="69"/>
      <c r="AL113" s="69"/>
    </row>
    <row r="114" ht="15.75" customHeight="1" spans="1:38">
      <c r="A114" s="163"/>
      <c r="B114" s="69"/>
      <c r="C114" s="69"/>
      <c r="D114" s="69"/>
      <c r="E114" s="69"/>
      <c r="F114" s="69"/>
      <c r="G114" s="70"/>
      <c r="H114" s="69"/>
      <c r="I114" s="70"/>
      <c r="J114" s="69"/>
      <c r="K114" s="69"/>
      <c r="L114" s="69"/>
      <c r="M114" s="69"/>
      <c r="N114" s="69"/>
      <c r="O114" s="69"/>
      <c r="P114" s="69"/>
      <c r="Q114" s="69"/>
      <c r="R114" s="69"/>
      <c r="S114" s="69"/>
      <c r="T114" s="69"/>
      <c r="U114" s="69"/>
      <c r="V114" s="69"/>
      <c r="W114" s="69"/>
      <c r="X114" s="69"/>
      <c r="Y114" s="106"/>
      <c r="Z114" s="69"/>
      <c r="AA114" s="69"/>
      <c r="AB114" s="69"/>
      <c r="AC114" s="69"/>
      <c r="AD114" s="69"/>
      <c r="AE114" s="69"/>
      <c r="AF114" s="69"/>
      <c r="AG114" s="69"/>
      <c r="AH114" s="69"/>
      <c r="AI114" s="69"/>
      <c r="AJ114" s="69"/>
      <c r="AK114" s="69"/>
      <c r="AL114" s="69"/>
    </row>
    <row r="115" ht="15.75" customHeight="1" spans="1:38">
      <c r="A115" s="163"/>
      <c r="B115" s="69"/>
      <c r="C115" s="69"/>
      <c r="D115" s="69"/>
      <c r="E115" s="69"/>
      <c r="F115" s="69"/>
      <c r="G115" s="70"/>
      <c r="H115" s="69"/>
      <c r="I115" s="70"/>
      <c r="J115" s="69"/>
      <c r="K115" s="69"/>
      <c r="L115" s="69"/>
      <c r="M115" s="69"/>
      <c r="N115" s="69"/>
      <c r="O115" s="69"/>
      <c r="P115" s="69"/>
      <c r="Q115" s="69"/>
      <c r="R115" s="69"/>
      <c r="S115" s="69"/>
      <c r="T115" s="69"/>
      <c r="U115" s="69"/>
      <c r="V115" s="69"/>
      <c r="W115" s="69"/>
      <c r="X115" s="69"/>
      <c r="Y115" s="106"/>
      <c r="Z115" s="69"/>
      <c r="AA115" s="69"/>
      <c r="AB115" s="69"/>
      <c r="AC115" s="69"/>
      <c r="AD115" s="69"/>
      <c r="AE115" s="69"/>
      <c r="AF115" s="69"/>
      <c r="AG115" s="69"/>
      <c r="AH115" s="69"/>
      <c r="AI115" s="69"/>
      <c r="AJ115" s="69"/>
      <c r="AK115" s="69"/>
      <c r="AL115" s="69"/>
    </row>
    <row r="116" ht="15.75" customHeight="1" spans="1:38">
      <c r="A116" s="163"/>
      <c r="B116" s="69"/>
      <c r="C116" s="69"/>
      <c r="D116" s="69"/>
      <c r="E116" s="69"/>
      <c r="F116" s="69"/>
      <c r="G116" s="70"/>
      <c r="H116" s="69"/>
      <c r="I116" s="70"/>
      <c r="J116" s="69"/>
      <c r="K116" s="69"/>
      <c r="L116" s="69"/>
      <c r="M116" s="69"/>
      <c r="N116" s="69"/>
      <c r="O116" s="69"/>
      <c r="P116" s="69"/>
      <c r="Q116" s="69"/>
      <c r="R116" s="69"/>
      <c r="S116" s="69"/>
      <c r="T116" s="69"/>
      <c r="U116" s="69"/>
      <c r="V116" s="69"/>
      <c r="W116" s="69"/>
      <c r="X116" s="69"/>
      <c r="Y116" s="106"/>
      <c r="Z116" s="69"/>
      <c r="AA116" s="69"/>
      <c r="AB116" s="69"/>
      <c r="AC116" s="69"/>
      <c r="AD116" s="69"/>
      <c r="AE116" s="69"/>
      <c r="AF116" s="69"/>
      <c r="AG116" s="69"/>
      <c r="AH116" s="69"/>
      <c r="AI116" s="69"/>
      <c r="AJ116" s="69"/>
      <c r="AK116" s="69"/>
      <c r="AL116" s="69"/>
    </row>
    <row r="117" ht="15.75" customHeight="1" spans="1:38">
      <c r="A117" s="163"/>
      <c r="B117" s="69"/>
      <c r="C117" s="69"/>
      <c r="D117" s="69"/>
      <c r="E117" s="69"/>
      <c r="F117" s="69"/>
      <c r="G117" s="70"/>
      <c r="H117" s="69"/>
      <c r="I117" s="70"/>
      <c r="J117" s="69"/>
      <c r="K117" s="69"/>
      <c r="L117" s="69"/>
      <c r="M117" s="69"/>
      <c r="N117" s="69"/>
      <c r="O117" s="69"/>
      <c r="P117" s="69"/>
      <c r="Q117" s="69"/>
      <c r="R117" s="69"/>
      <c r="S117" s="69"/>
      <c r="T117" s="69"/>
      <c r="U117" s="69"/>
      <c r="V117" s="69"/>
      <c r="W117" s="69"/>
      <c r="X117" s="69"/>
      <c r="Y117" s="106"/>
      <c r="Z117" s="69"/>
      <c r="AA117" s="69"/>
      <c r="AB117" s="69"/>
      <c r="AC117" s="69"/>
      <c r="AD117" s="69"/>
      <c r="AE117" s="69"/>
      <c r="AF117" s="69"/>
      <c r="AG117" s="69"/>
      <c r="AH117" s="69"/>
      <c r="AI117" s="69"/>
      <c r="AJ117" s="69"/>
      <c r="AK117" s="69"/>
      <c r="AL117" s="69"/>
    </row>
    <row r="118" ht="15.75" customHeight="1" spans="1:38">
      <c r="A118" s="163"/>
      <c r="B118" s="69"/>
      <c r="C118" s="69"/>
      <c r="D118" s="69"/>
      <c r="E118" s="69"/>
      <c r="F118" s="69"/>
      <c r="G118" s="70"/>
      <c r="H118" s="69"/>
      <c r="I118" s="70"/>
      <c r="J118" s="69"/>
      <c r="K118" s="69"/>
      <c r="L118" s="69"/>
      <c r="M118" s="69"/>
      <c r="N118" s="69"/>
      <c r="O118" s="69"/>
      <c r="P118" s="69"/>
      <c r="Q118" s="69"/>
      <c r="R118" s="69"/>
      <c r="S118" s="69"/>
      <c r="T118" s="69"/>
      <c r="U118" s="69"/>
      <c r="V118" s="69"/>
      <c r="W118" s="69"/>
      <c r="X118" s="69"/>
      <c r="Y118" s="106"/>
      <c r="Z118" s="69"/>
      <c r="AA118" s="69"/>
      <c r="AB118" s="69"/>
      <c r="AC118" s="69"/>
      <c r="AD118" s="69"/>
      <c r="AE118" s="69"/>
      <c r="AF118" s="69"/>
      <c r="AG118" s="69"/>
      <c r="AH118" s="69"/>
      <c r="AI118" s="69"/>
      <c r="AJ118" s="69"/>
      <c r="AK118" s="69"/>
      <c r="AL118" s="69"/>
    </row>
    <row r="119" ht="15.75" customHeight="1" spans="1:38">
      <c r="A119" s="163"/>
      <c r="B119" s="69"/>
      <c r="C119" s="69"/>
      <c r="D119" s="69"/>
      <c r="E119" s="69"/>
      <c r="F119" s="69"/>
      <c r="G119" s="70"/>
      <c r="H119" s="69"/>
      <c r="I119" s="70"/>
      <c r="J119" s="69"/>
      <c r="K119" s="69"/>
      <c r="L119" s="69"/>
      <c r="M119" s="69"/>
      <c r="N119" s="69"/>
      <c r="O119" s="69"/>
      <c r="P119" s="69"/>
      <c r="Q119" s="69"/>
      <c r="R119" s="69"/>
      <c r="S119" s="69"/>
      <c r="T119" s="69"/>
      <c r="U119" s="69"/>
      <c r="V119" s="69"/>
      <c r="W119" s="69"/>
      <c r="X119" s="69"/>
      <c r="Y119" s="106"/>
      <c r="Z119" s="69"/>
      <c r="AA119" s="69"/>
      <c r="AB119" s="69"/>
      <c r="AC119" s="69"/>
      <c r="AD119" s="69"/>
      <c r="AE119" s="69"/>
      <c r="AF119" s="69"/>
      <c r="AG119" s="69"/>
      <c r="AH119" s="69"/>
      <c r="AI119" s="69"/>
      <c r="AJ119" s="69"/>
      <c r="AK119" s="69"/>
      <c r="AL119" s="69"/>
    </row>
    <row r="120" ht="15.75" customHeight="1" spans="1:38">
      <c r="A120" s="163"/>
      <c r="B120" s="69"/>
      <c r="C120" s="69"/>
      <c r="D120" s="69"/>
      <c r="E120" s="69"/>
      <c r="F120" s="69"/>
      <c r="G120" s="70"/>
      <c r="H120" s="69"/>
      <c r="I120" s="70"/>
      <c r="J120" s="69"/>
      <c r="K120" s="69"/>
      <c r="L120" s="69"/>
      <c r="M120" s="69"/>
      <c r="N120" s="69"/>
      <c r="O120" s="69"/>
      <c r="P120" s="69"/>
      <c r="Q120" s="69"/>
      <c r="R120" s="69"/>
      <c r="S120" s="69"/>
      <c r="T120" s="69"/>
      <c r="U120" s="69"/>
      <c r="V120" s="69"/>
      <c r="W120" s="69"/>
      <c r="X120" s="69"/>
      <c r="Y120" s="106"/>
      <c r="Z120" s="69"/>
      <c r="AA120" s="69"/>
      <c r="AB120" s="69"/>
      <c r="AC120" s="69"/>
      <c r="AD120" s="69"/>
      <c r="AE120" s="69"/>
      <c r="AF120" s="69"/>
      <c r="AG120" s="69"/>
      <c r="AH120" s="69"/>
      <c r="AI120" s="69"/>
      <c r="AJ120" s="69"/>
      <c r="AK120" s="69"/>
      <c r="AL120" s="69"/>
    </row>
    <row r="121" ht="15.75" customHeight="1" spans="1:38">
      <c r="A121" s="163"/>
      <c r="B121" s="69"/>
      <c r="C121" s="69"/>
      <c r="D121" s="69"/>
      <c r="E121" s="69"/>
      <c r="F121" s="69"/>
      <c r="G121" s="70"/>
      <c r="H121" s="69"/>
      <c r="I121" s="70"/>
      <c r="J121" s="69"/>
      <c r="K121" s="69"/>
      <c r="L121" s="69"/>
      <c r="M121" s="69"/>
      <c r="N121" s="69"/>
      <c r="O121" s="69"/>
      <c r="P121" s="69"/>
      <c r="Q121" s="69"/>
      <c r="R121" s="69"/>
      <c r="S121" s="69"/>
      <c r="T121" s="69"/>
      <c r="U121" s="69"/>
      <c r="V121" s="69"/>
      <c r="W121" s="69"/>
      <c r="X121" s="69"/>
      <c r="Y121" s="106"/>
      <c r="Z121" s="69"/>
      <c r="AA121" s="69"/>
      <c r="AB121" s="69"/>
      <c r="AC121" s="69"/>
      <c r="AD121" s="69"/>
      <c r="AE121" s="69"/>
      <c r="AF121" s="69"/>
      <c r="AG121" s="69"/>
      <c r="AH121" s="69"/>
      <c r="AI121" s="69"/>
      <c r="AJ121" s="69"/>
      <c r="AK121" s="69"/>
      <c r="AL121" s="69"/>
    </row>
    <row r="122" ht="15.75" customHeight="1" spans="1:38">
      <c r="A122" s="163"/>
      <c r="B122" s="69"/>
      <c r="C122" s="69"/>
      <c r="D122" s="69"/>
      <c r="E122" s="69"/>
      <c r="F122" s="69"/>
      <c r="G122" s="70"/>
      <c r="H122" s="69"/>
      <c r="I122" s="70"/>
      <c r="J122" s="69"/>
      <c r="K122" s="69"/>
      <c r="L122" s="69"/>
      <c r="M122" s="69"/>
      <c r="N122" s="69"/>
      <c r="O122" s="69"/>
      <c r="P122" s="69"/>
      <c r="Q122" s="69"/>
      <c r="R122" s="69"/>
      <c r="S122" s="69"/>
      <c r="T122" s="69"/>
      <c r="U122" s="69"/>
      <c r="V122" s="69"/>
      <c r="W122" s="69"/>
      <c r="X122" s="69"/>
      <c r="Y122" s="106"/>
      <c r="Z122" s="69"/>
      <c r="AA122" s="69"/>
      <c r="AB122" s="69"/>
      <c r="AC122" s="69"/>
      <c r="AD122" s="69"/>
      <c r="AE122" s="69"/>
      <c r="AF122" s="69"/>
      <c r="AG122" s="69"/>
      <c r="AH122" s="69"/>
      <c r="AI122" s="69"/>
      <c r="AJ122" s="69"/>
      <c r="AK122" s="69"/>
      <c r="AL122" s="69"/>
    </row>
    <row r="123" ht="15.75" customHeight="1" spans="1:38">
      <c r="A123" s="163"/>
      <c r="B123" s="69"/>
      <c r="C123" s="69"/>
      <c r="D123" s="69"/>
      <c r="E123" s="69"/>
      <c r="F123" s="69"/>
      <c r="G123" s="70"/>
      <c r="H123" s="69"/>
      <c r="I123" s="70"/>
      <c r="J123" s="69"/>
      <c r="K123" s="69"/>
      <c r="L123" s="69"/>
      <c r="M123" s="69"/>
      <c r="N123" s="69"/>
      <c r="O123" s="69"/>
      <c r="P123" s="69"/>
      <c r="Q123" s="69"/>
      <c r="R123" s="69"/>
      <c r="S123" s="69"/>
      <c r="T123" s="69"/>
      <c r="U123" s="69"/>
      <c r="V123" s="69"/>
      <c r="W123" s="69"/>
      <c r="X123" s="69"/>
      <c r="Y123" s="106"/>
      <c r="Z123" s="69"/>
      <c r="AA123" s="69"/>
      <c r="AB123" s="69"/>
      <c r="AC123" s="69"/>
      <c r="AD123" s="69"/>
      <c r="AE123" s="69"/>
      <c r="AF123" s="69"/>
      <c r="AG123" s="69"/>
      <c r="AH123" s="69"/>
      <c r="AI123" s="69"/>
      <c r="AJ123" s="69"/>
      <c r="AK123" s="69"/>
      <c r="AL123" s="69"/>
    </row>
    <row r="124" ht="15.75" customHeight="1" spans="1:38">
      <c r="A124" s="163"/>
      <c r="B124" s="69"/>
      <c r="C124" s="69"/>
      <c r="D124" s="69"/>
      <c r="E124" s="69"/>
      <c r="F124" s="69"/>
      <c r="G124" s="70"/>
      <c r="H124" s="69"/>
      <c r="I124" s="70"/>
      <c r="J124" s="69"/>
      <c r="K124" s="69"/>
      <c r="L124" s="69"/>
      <c r="M124" s="69"/>
      <c r="N124" s="69"/>
      <c r="O124" s="69"/>
      <c r="P124" s="69"/>
      <c r="Q124" s="69"/>
      <c r="R124" s="69"/>
      <c r="S124" s="69"/>
      <c r="T124" s="69"/>
      <c r="U124" s="69"/>
      <c r="V124" s="69"/>
      <c r="W124" s="69"/>
      <c r="X124" s="69"/>
      <c r="Y124" s="106"/>
      <c r="Z124" s="69"/>
      <c r="AA124" s="69"/>
      <c r="AB124" s="69"/>
      <c r="AC124" s="69"/>
      <c r="AD124" s="69"/>
      <c r="AE124" s="69"/>
      <c r="AF124" s="69"/>
      <c r="AG124" s="69"/>
      <c r="AH124" s="69"/>
      <c r="AI124" s="69"/>
      <c r="AJ124" s="69"/>
      <c r="AK124" s="69"/>
      <c r="AL124" s="69"/>
    </row>
    <row r="125" ht="15.75" customHeight="1" spans="1:38">
      <c r="A125" s="163"/>
      <c r="B125" s="69"/>
      <c r="C125" s="69"/>
      <c r="D125" s="69"/>
      <c r="E125" s="69"/>
      <c r="F125" s="69"/>
      <c r="G125" s="70"/>
      <c r="H125" s="69"/>
      <c r="I125" s="70"/>
      <c r="J125" s="69"/>
      <c r="K125" s="69"/>
      <c r="L125" s="69"/>
      <c r="M125" s="69"/>
      <c r="N125" s="69"/>
      <c r="O125" s="69"/>
      <c r="P125" s="69"/>
      <c r="Q125" s="69"/>
      <c r="R125" s="69"/>
      <c r="S125" s="69"/>
      <c r="T125" s="69"/>
      <c r="U125" s="69"/>
      <c r="V125" s="69"/>
      <c r="W125" s="69"/>
      <c r="X125" s="69"/>
      <c r="Y125" s="106"/>
      <c r="Z125" s="69"/>
      <c r="AA125" s="69"/>
      <c r="AB125" s="69"/>
      <c r="AC125" s="69"/>
      <c r="AD125" s="69"/>
      <c r="AE125" s="69"/>
      <c r="AF125" s="69"/>
      <c r="AG125" s="69"/>
      <c r="AH125" s="69"/>
      <c r="AI125" s="69"/>
      <c r="AJ125" s="69"/>
      <c r="AK125" s="69"/>
      <c r="AL125" s="69"/>
    </row>
    <row r="126" ht="15.75" customHeight="1" spans="1:38">
      <c r="A126" s="163"/>
      <c r="B126" s="69"/>
      <c r="C126" s="69"/>
      <c r="D126" s="69"/>
      <c r="E126" s="69"/>
      <c r="F126" s="69"/>
      <c r="G126" s="70"/>
      <c r="H126" s="69"/>
      <c r="I126" s="70"/>
      <c r="J126" s="69"/>
      <c r="K126" s="69"/>
      <c r="L126" s="69"/>
      <c r="M126" s="69"/>
      <c r="N126" s="69"/>
      <c r="O126" s="69"/>
      <c r="P126" s="69"/>
      <c r="Q126" s="69"/>
      <c r="R126" s="69"/>
      <c r="S126" s="69"/>
      <c r="T126" s="69"/>
      <c r="U126" s="69"/>
      <c r="V126" s="69"/>
      <c r="W126" s="69"/>
      <c r="X126" s="69"/>
      <c r="Y126" s="106"/>
      <c r="Z126" s="69"/>
      <c r="AA126" s="69"/>
      <c r="AB126" s="69"/>
      <c r="AC126" s="69"/>
      <c r="AD126" s="69"/>
      <c r="AE126" s="69"/>
      <c r="AF126" s="69"/>
      <c r="AG126" s="69"/>
      <c r="AH126" s="69"/>
      <c r="AI126" s="69"/>
      <c r="AJ126" s="69"/>
      <c r="AK126" s="69"/>
      <c r="AL126" s="69"/>
    </row>
    <row r="127" ht="15.75" customHeight="1" spans="1:38">
      <c r="A127" s="163"/>
      <c r="B127" s="69"/>
      <c r="C127" s="69"/>
      <c r="D127" s="69"/>
      <c r="E127" s="69"/>
      <c r="F127" s="69"/>
      <c r="G127" s="70"/>
      <c r="H127" s="69"/>
      <c r="I127" s="70"/>
      <c r="J127" s="69"/>
      <c r="K127" s="69"/>
      <c r="L127" s="69"/>
      <c r="M127" s="69"/>
      <c r="N127" s="69"/>
      <c r="O127" s="69"/>
      <c r="P127" s="69"/>
      <c r="Q127" s="69"/>
      <c r="R127" s="69"/>
      <c r="S127" s="69"/>
      <c r="T127" s="69"/>
      <c r="U127" s="69"/>
      <c r="V127" s="69"/>
      <c r="W127" s="69"/>
      <c r="X127" s="69"/>
      <c r="Y127" s="106"/>
      <c r="Z127" s="69"/>
      <c r="AA127" s="69"/>
      <c r="AB127" s="69"/>
      <c r="AC127" s="69"/>
      <c r="AD127" s="69"/>
      <c r="AE127" s="69"/>
      <c r="AF127" s="69"/>
      <c r="AG127" s="69"/>
      <c r="AH127" s="69"/>
      <c r="AI127" s="69"/>
      <c r="AJ127" s="69"/>
      <c r="AK127" s="69"/>
      <c r="AL127" s="69"/>
    </row>
    <row r="128" ht="15.75" customHeight="1" spans="1:38">
      <c r="A128" s="163"/>
      <c r="B128" s="69"/>
      <c r="C128" s="69"/>
      <c r="D128" s="69"/>
      <c r="E128" s="69"/>
      <c r="F128" s="69"/>
      <c r="G128" s="70"/>
      <c r="H128" s="69"/>
      <c r="I128" s="70"/>
      <c r="J128" s="69"/>
      <c r="K128" s="69"/>
      <c r="L128" s="69"/>
      <c r="M128" s="69"/>
      <c r="N128" s="69"/>
      <c r="O128" s="69"/>
      <c r="P128" s="69"/>
      <c r="Q128" s="69"/>
      <c r="R128" s="69"/>
      <c r="S128" s="69"/>
      <c r="T128" s="69"/>
      <c r="U128" s="69"/>
      <c r="V128" s="69"/>
      <c r="W128" s="69"/>
      <c r="X128" s="69"/>
      <c r="Y128" s="106"/>
      <c r="Z128" s="69"/>
      <c r="AA128" s="69"/>
      <c r="AB128" s="69"/>
      <c r="AC128" s="69"/>
      <c r="AD128" s="69"/>
      <c r="AE128" s="69"/>
      <c r="AF128" s="69"/>
      <c r="AG128" s="69"/>
      <c r="AH128" s="69"/>
      <c r="AI128" s="69"/>
      <c r="AJ128" s="69"/>
      <c r="AK128" s="69"/>
      <c r="AL128" s="69"/>
    </row>
    <row r="129" ht="15.75" customHeight="1" spans="1:38">
      <c r="A129" s="163"/>
      <c r="B129" s="69"/>
      <c r="C129" s="69"/>
      <c r="D129" s="69"/>
      <c r="E129" s="69"/>
      <c r="F129" s="69"/>
      <c r="G129" s="70"/>
      <c r="H129" s="69"/>
      <c r="I129" s="70"/>
      <c r="J129" s="69"/>
      <c r="K129" s="69"/>
      <c r="L129" s="69"/>
      <c r="M129" s="69"/>
      <c r="N129" s="69"/>
      <c r="O129" s="69"/>
      <c r="P129" s="69"/>
      <c r="Q129" s="69"/>
      <c r="R129" s="69"/>
      <c r="S129" s="69"/>
      <c r="T129" s="69"/>
      <c r="U129" s="69"/>
      <c r="V129" s="69"/>
      <c r="W129" s="69"/>
      <c r="X129" s="69"/>
      <c r="Y129" s="106"/>
      <c r="Z129" s="69"/>
      <c r="AA129" s="69"/>
      <c r="AB129" s="69"/>
      <c r="AC129" s="69"/>
      <c r="AD129" s="69"/>
      <c r="AE129" s="69"/>
      <c r="AF129" s="69"/>
      <c r="AG129" s="69"/>
      <c r="AH129" s="69"/>
      <c r="AI129" s="69"/>
      <c r="AJ129" s="69"/>
      <c r="AK129" s="69"/>
      <c r="AL129" s="69"/>
    </row>
    <row r="130" ht="15.75" customHeight="1" spans="1:38">
      <c r="A130" s="163"/>
      <c r="B130" s="69"/>
      <c r="C130" s="69"/>
      <c r="D130" s="69"/>
      <c r="E130" s="69"/>
      <c r="F130" s="69"/>
      <c r="G130" s="70"/>
      <c r="H130" s="69"/>
      <c r="I130" s="70"/>
      <c r="J130" s="69"/>
      <c r="K130" s="69"/>
      <c r="L130" s="69"/>
      <c r="M130" s="69"/>
      <c r="N130" s="69"/>
      <c r="O130" s="69"/>
      <c r="P130" s="69"/>
      <c r="Q130" s="69"/>
      <c r="R130" s="69"/>
      <c r="S130" s="69"/>
      <c r="T130" s="69"/>
      <c r="U130" s="69"/>
      <c r="V130" s="69"/>
      <c r="W130" s="69"/>
      <c r="X130" s="69"/>
      <c r="Y130" s="106"/>
      <c r="Z130" s="69"/>
      <c r="AA130" s="69"/>
      <c r="AB130" s="69"/>
      <c r="AC130" s="69"/>
      <c r="AD130" s="69"/>
      <c r="AE130" s="69"/>
      <c r="AF130" s="69"/>
      <c r="AG130" s="69"/>
      <c r="AH130" s="69"/>
      <c r="AI130" s="69"/>
      <c r="AJ130" s="69"/>
      <c r="AK130" s="69"/>
      <c r="AL130" s="69"/>
    </row>
    <row r="131" ht="15.75" customHeight="1" spans="1:38">
      <c r="A131" s="163"/>
      <c r="B131" s="69"/>
      <c r="C131" s="69"/>
      <c r="D131" s="69"/>
      <c r="E131" s="69"/>
      <c r="F131" s="69"/>
      <c r="G131" s="70"/>
      <c r="H131" s="69"/>
      <c r="I131" s="70"/>
      <c r="J131" s="69"/>
      <c r="K131" s="69"/>
      <c r="L131" s="69"/>
      <c r="M131" s="69"/>
      <c r="N131" s="69"/>
      <c r="O131" s="69"/>
      <c r="P131" s="69"/>
      <c r="Q131" s="69"/>
      <c r="R131" s="69"/>
      <c r="S131" s="69"/>
      <c r="T131" s="69"/>
      <c r="U131" s="69"/>
      <c r="V131" s="69"/>
      <c r="W131" s="69"/>
      <c r="X131" s="69"/>
      <c r="Y131" s="106"/>
      <c r="Z131" s="69"/>
      <c r="AA131" s="69"/>
      <c r="AB131" s="69"/>
      <c r="AC131" s="69"/>
      <c r="AD131" s="69"/>
      <c r="AE131" s="69"/>
      <c r="AF131" s="69"/>
      <c r="AG131" s="69"/>
      <c r="AH131" s="69"/>
      <c r="AI131" s="69"/>
      <c r="AJ131" s="69"/>
      <c r="AK131" s="69"/>
      <c r="AL131" s="69"/>
    </row>
    <row r="132" ht="15.75" customHeight="1" spans="1:38">
      <c r="A132" s="163"/>
      <c r="B132" s="69"/>
      <c r="C132" s="69"/>
      <c r="D132" s="69"/>
      <c r="E132" s="69"/>
      <c r="F132" s="69"/>
      <c r="G132" s="70"/>
      <c r="H132" s="69"/>
      <c r="I132" s="70"/>
      <c r="J132" s="69"/>
      <c r="K132" s="69"/>
      <c r="L132" s="69"/>
      <c r="M132" s="69"/>
      <c r="N132" s="69"/>
      <c r="O132" s="69"/>
      <c r="P132" s="69"/>
      <c r="Q132" s="69"/>
      <c r="R132" s="69"/>
      <c r="S132" s="69"/>
      <c r="T132" s="69"/>
      <c r="U132" s="69"/>
      <c r="V132" s="69"/>
      <c r="W132" s="69"/>
      <c r="X132" s="69"/>
      <c r="Y132" s="106"/>
      <c r="Z132" s="69"/>
      <c r="AA132" s="69"/>
      <c r="AB132" s="69"/>
      <c r="AC132" s="69"/>
      <c r="AD132" s="69"/>
      <c r="AE132" s="69"/>
      <c r="AF132" s="69"/>
      <c r="AG132" s="69"/>
      <c r="AH132" s="69"/>
      <c r="AI132" s="69"/>
      <c r="AJ132" s="69"/>
      <c r="AK132" s="69"/>
      <c r="AL132" s="69"/>
    </row>
    <row r="133" ht="15.75" customHeight="1" spans="1:38">
      <c r="A133" s="163"/>
      <c r="B133" s="69"/>
      <c r="C133" s="69"/>
      <c r="D133" s="69"/>
      <c r="E133" s="69"/>
      <c r="F133" s="69"/>
      <c r="G133" s="70"/>
      <c r="H133" s="69"/>
      <c r="I133" s="70"/>
      <c r="J133" s="69"/>
      <c r="K133" s="69"/>
      <c r="L133" s="69"/>
      <c r="M133" s="69"/>
      <c r="N133" s="69"/>
      <c r="O133" s="69"/>
      <c r="P133" s="69"/>
      <c r="Q133" s="69"/>
      <c r="R133" s="69"/>
      <c r="S133" s="69"/>
      <c r="T133" s="69"/>
      <c r="U133" s="69"/>
      <c r="V133" s="69"/>
      <c r="W133" s="69"/>
      <c r="X133" s="69"/>
      <c r="Y133" s="106"/>
      <c r="Z133" s="69"/>
      <c r="AA133" s="69"/>
      <c r="AB133" s="69"/>
      <c r="AC133" s="69"/>
      <c r="AD133" s="69"/>
      <c r="AE133" s="69"/>
      <c r="AF133" s="69"/>
      <c r="AG133" s="69"/>
      <c r="AH133" s="69"/>
      <c r="AI133" s="69"/>
      <c r="AJ133" s="69"/>
      <c r="AK133" s="69"/>
      <c r="AL133" s="69"/>
    </row>
    <row r="134" ht="15.75" customHeight="1" spans="1:38">
      <c r="A134" s="163"/>
      <c r="B134" s="69"/>
      <c r="C134" s="69"/>
      <c r="D134" s="69"/>
      <c r="E134" s="69"/>
      <c r="F134" s="69"/>
      <c r="G134" s="70"/>
      <c r="H134" s="69"/>
      <c r="I134" s="70"/>
      <c r="J134" s="69"/>
      <c r="K134" s="69"/>
      <c r="L134" s="69"/>
      <c r="M134" s="69"/>
      <c r="N134" s="69"/>
      <c r="O134" s="69"/>
      <c r="P134" s="69"/>
      <c r="Q134" s="69"/>
      <c r="R134" s="69"/>
      <c r="S134" s="69"/>
      <c r="T134" s="69"/>
      <c r="U134" s="69"/>
      <c r="V134" s="69"/>
      <c r="W134" s="69"/>
      <c r="X134" s="69"/>
      <c r="Y134" s="106"/>
      <c r="Z134" s="69"/>
      <c r="AA134" s="69"/>
      <c r="AB134" s="69"/>
      <c r="AC134" s="69"/>
      <c r="AD134" s="69"/>
      <c r="AE134" s="69"/>
      <c r="AF134" s="69"/>
      <c r="AG134" s="69"/>
      <c r="AH134" s="69"/>
      <c r="AI134" s="69"/>
      <c r="AJ134" s="69"/>
      <c r="AK134" s="69"/>
      <c r="AL134" s="69"/>
    </row>
    <row r="135" ht="15.75" customHeight="1" spans="1:38">
      <c r="A135" s="163"/>
      <c r="B135" s="69"/>
      <c r="C135" s="69"/>
      <c r="D135" s="69"/>
      <c r="E135" s="69"/>
      <c r="F135" s="69"/>
      <c r="G135" s="70"/>
      <c r="H135" s="69"/>
      <c r="I135" s="70"/>
      <c r="J135" s="69"/>
      <c r="K135" s="69"/>
      <c r="L135" s="69"/>
      <c r="M135" s="69"/>
      <c r="N135" s="69"/>
      <c r="O135" s="69"/>
      <c r="P135" s="69"/>
      <c r="Q135" s="69"/>
      <c r="R135" s="69"/>
      <c r="S135" s="69"/>
      <c r="T135" s="69"/>
      <c r="U135" s="69"/>
      <c r="V135" s="69"/>
      <c r="W135" s="69"/>
      <c r="X135" s="69"/>
      <c r="Y135" s="106"/>
      <c r="Z135" s="69"/>
      <c r="AA135" s="69"/>
      <c r="AB135" s="69"/>
      <c r="AC135" s="69"/>
      <c r="AD135" s="69"/>
      <c r="AE135" s="69"/>
      <c r="AF135" s="69"/>
      <c r="AG135" s="69"/>
      <c r="AH135" s="69"/>
      <c r="AI135" s="69"/>
      <c r="AJ135" s="69"/>
      <c r="AK135" s="69"/>
      <c r="AL135" s="69"/>
    </row>
    <row r="136" ht="15.75" customHeight="1" spans="1:38">
      <c r="A136" s="163"/>
      <c r="B136" s="69"/>
      <c r="C136" s="69"/>
      <c r="D136" s="69"/>
      <c r="E136" s="69"/>
      <c r="F136" s="69"/>
      <c r="G136" s="70"/>
      <c r="H136" s="69"/>
      <c r="I136" s="70"/>
      <c r="J136" s="69"/>
      <c r="K136" s="69"/>
      <c r="L136" s="69"/>
      <c r="M136" s="69"/>
      <c r="N136" s="69"/>
      <c r="O136" s="69"/>
      <c r="P136" s="69"/>
      <c r="Q136" s="69"/>
      <c r="R136" s="69"/>
      <c r="S136" s="69"/>
      <c r="T136" s="69"/>
      <c r="U136" s="69"/>
      <c r="V136" s="69"/>
      <c r="W136" s="69"/>
      <c r="X136" s="69"/>
      <c r="Y136" s="106"/>
      <c r="Z136" s="69"/>
      <c r="AA136" s="69"/>
      <c r="AB136" s="69"/>
      <c r="AC136" s="69"/>
      <c r="AD136" s="69"/>
      <c r="AE136" s="69"/>
      <c r="AF136" s="69"/>
      <c r="AG136" s="69"/>
      <c r="AH136" s="69"/>
      <c r="AI136" s="69"/>
      <c r="AJ136" s="69"/>
      <c r="AK136" s="69"/>
      <c r="AL136" s="69"/>
    </row>
    <row r="137" ht="15.75" customHeight="1" spans="1:38">
      <c r="A137" s="163"/>
      <c r="B137" s="69"/>
      <c r="C137" s="69"/>
      <c r="D137" s="69"/>
      <c r="E137" s="69"/>
      <c r="F137" s="69"/>
      <c r="G137" s="70"/>
      <c r="H137" s="69"/>
      <c r="I137" s="70"/>
      <c r="J137" s="69"/>
      <c r="K137" s="69"/>
      <c r="L137" s="69"/>
      <c r="M137" s="69"/>
      <c r="N137" s="69"/>
      <c r="O137" s="69"/>
      <c r="P137" s="69"/>
      <c r="Q137" s="69"/>
      <c r="R137" s="69"/>
      <c r="S137" s="69"/>
      <c r="T137" s="69"/>
      <c r="U137" s="69"/>
      <c r="V137" s="69"/>
      <c r="W137" s="69"/>
      <c r="X137" s="69"/>
      <c r="Y137" s="106"/>
      <c r="Z137" s="69"/>
      <c r="AA137" s="69"/>
      <c r="AB137" s="69"/>
      <c r="AC137" s="69"/>
      <c r="AD137" s="69"/>
      <c r="AE137" s="69"/>
      <c r="AF137" s="69"/>
      <c r="AG137" s="69"/>
      <c r="AH137" s="69"/>
      <c r="AI137" s="69"/>
      <c r="AJ137" s="69"/>
      <c r="AK137" s="69"/>
      <c r="AL137" s="69"/>
    </row>
    <row r="138" ht="15.75" customHeight="1" spans="1:38">
      <c r="A138" s="163"/>
      <c r="B138" s="69"/>
      <c r="C138" s="69"/>
      <c r="D138" s="69"/>
      <c r="E138" s="69"/>
      <c r="F138" s="69"/>
      <c r="G138" s="70"/>
      <c r="H138" s="69"/>
      <c r="I138" s="70"/>
      <c r="J138" s="69"/>
      <c r="K138" s="69"/>
      <c r="L138" s="69"/>
      <c r="M138" s="69"/>
      <c r="N138" s="69"/>
      <c r="O138" s="69"/>
      <c r="P138" s="69"/>
      <c r="Q138" s="69"/>
      <c r="R138" s="69"/>
      <c r="S138" s="69"/>
      <c r="T138" s="69"/>
      <c r="U138" s="69"/>
      <c r="V138" s="69"/>
      <c r="W138" s="69"/>
      <c r="X138" s="69"/>
      <c r="Y138" s="106"/>
      <c r="Z138" s="69"/>
      <c r="AA138" s="69"/>
      <c r="AB138" s="69"/>
      <c r="AC138" s="69"/>
      <c r="AD138" s="69"/>
      <c r="AE138" s="69"/>
      <c r="AF138" s="69"/>
      <c r="AG138" s="69"/>
      <c r="AH138" s="69"/>
      <c r="AI138" s="69"/>
      <c r="AJ138" s="69"/>
      <c r="AK138" s="69"/>
      <c r="AL138" s="69"/>
    </row>
    <row r="139" ht="15.75" customHeight="1" spans="1:38">
      <c r="A139" s="163"/>
      <c r="B139" s="69"/>
      <c r="C139" s="69"/>
      <c r="D139" s="69"/>
      <c r="E139" s="69"/>
      <c r="F139" s="69"/>
      <c r="G139" s="70"/>
      <c r="H139" s="69"/>
      <c r="I139" s="70"/>
      <c r="J139" s="69"/>
      <c r="K139" s="69"/>
      <c r="L139" s="69"/>
      <c r="M139" s="69"/>
      <c r="N139" s="69"/>
      <c r="O139" s="69"/>
      <c r="P139" s="69"/>
      <c r="Q139" s="69"/>
      <c r="R139" s="69"/>
      <c r="S139" s="69"/>
      <c r="T139" s="69"/>
      <c r="U139" s="69"/>
      <c r="V139" s="69"/>
      <c r="W139" s="69"/>
      <c r="X139" s="69"/>
      <c r="Y139" s="106"/>
      <c r="Z139" s="69"/>
      <c r="AA139" s="69"/>
      <c r="AB139" s="69"/>
      <c r="AC139" s="69"/>
      <c r="AD139" s="69"/>
      <c r="AE139" s="69"/>
      <c r="AF139" s="69"/>
      <c r="AG139" s="69"/>
      <c r="AH139" s="69"/>
      <c r="AI139" s="69"/>
      <c r="AJ139" s="69"/>
      <c r="AK139" s="69"/>
      <c r="AL139" s="69"/>
    </row>
    <row r="140" ht="15.75" customHeight="1" spans="1:38">
      <c r="A140" s="163"/>
      <c r="B140" s="69"/>
      <c r="C140" s="69"/>
      <c r="D140" s="69"/>
      <c r="E140" s="69"/>
      <c r="F140" s="69"/>
      <c r="G140" s="70"/>
      <c r="H140" s="69"/>
      <c r="I140" s="70"/>
      <c r="J140" s="69"/>
      <c r="K140" s="69"/>
      <c r="L140" s="69"/>
      <c r="M140" s="69"/>
      <c r="N140" s="69"/>
      <c r="O140" s="69"/>
      <c r="P140" s="69"/>
      <c r="Q140" s="69"/>
      <c r="R140" s="69"/>
      <c r="S140" s="69"/>
      <c r="T140" s="69"/>
      <c r="U140" s="69"/>
      <c r="V140" s="69"/>
      <c r="W140" s="69"/>
      <c r="X140" s="69"/>
      <c r="Y140" s="106"/>
      <c r="Z140" s="69"/>
      <c r="AA140" s="69"/>
      <c r="AB140" s="69"/>
      <c r="AC140" s="69"/>
      <c r="AD140" s="69"/>
      <c r="AE140" s="69"/>
      <c r="AF140" s="69"/>
      <c r="AG140" s="69"/>
      <c r="AH140" s="69"/>
      <c r="AI140" s="69"/>
      <c r="AJ140" s="69"/>
      <c r="AK140" s="69"/>
      <c r="AL140" s="69"/>
    </row>
    <row r="141" ht="15.75" customHeight="1" spans="1:38">
      <c r="A141" s="163"/>
      <c r="B141" s="69"/>
      <c r="C141" s="69"/>
      <c r="D141" s="69"/>
      <c r="E141" s="69"/>
      <c r="F141" s="69"/>
      <c r="G141" s="70"/>
      <c r="H141" s="69"/>
      <c r="I141" s="70"/>
      <c r="J141" s="69"/>
      <c r="K141" s="69"/>
      <c r="L141" s="69"/>
      <c r="M141" s="69"/>
      <c r="N141" s="69"/>
      <c r="O141" s="69"/>
      <c r="P141" s="69"/>
      <c r="Q141" s="69"/>
      <c r="R141" s="69"/>
      <c r="S141" s="69"/>
      <c r="T141" s="69"/>
      <c r="U141" s="69"/>
      <c r="V141" s="69"/>
      <c r="W141" s="69"/>
      <c r="X141" s="69"/>
      <c r="Y141" s="106"/>
      <c r="Z141" s="69"/>
      <c r="AA141" s="69"/>
      <c r="AB141" s="69"/>
      <c r="AC141" s="69"/>
      <c r="AD141" s="69"/>
      <c r="AE141" s="69"/>
      <c r="AF141" s="69"/>
      <c r="AG141" s="69"/>
      <c r="AH141" s="69"/>
      <c r="AI141" s="69"/>
      <c r="AJ141" s="69"/>
      <c r="AK141" s="69"/>
      <c r="AL141" s="69"/>
    </row>
    <row r="142" ht="15.75" customHeight="1" spans="1:38">
      <c r="A142" s="163"/>
      <c r="B142" s="69"/>
      <c r="C142" s="69"/>
      <c r="D142" s="69"/>
      <c r="E142" s="69"/>
      <c r="F142" s="69"/>
      <c r="G142" s="70"/>
      <c r="H142" s="69"/>
      <c r="I142" s="70"/>
      <c r="J142" s="69"/>
      <c r="K142" s="69"/>
      <c r="L142" s="69"/>
      <c r="M142" s="69"/>
      <c r="N142" s="69"/>
      <c r="O142" s="69"/>
      <c r="P142" s="69"/>
      <c r="Q142" s="69"/>
      <c r="R142" s="69"/>
      <c r="S142" s="69"/>
      <c r="T142" s="69"/>
      <c r="U142" s="69"/>
      <c r="V142" s="69"/>
      <c r="W142" s="69"/>
      <c r="X142" s="69"/>
      <c r="Y142" s="106"/>
      <c r="Z142" s="69"/>
      <c r="AA142" s="69"/>
      <c r="AB142" s="69"/>
      <c r="AC142" s="69"/>
      <c r="AD142" s="69"/>
      <c r="AE142" s="69"/>
      <c r="AF142" s="69"/>
      <c r="AG142" s="69"/>
      <c r="AH142" s="69"/>
      <c r="AI142" s="69"/>
      <c r="AJ142" s="69"/>
      <c r="AK142" s="69"/>
      <c r="AL142" s="69"/>
    </row>
    <row r="143" ht="15.75" customHeight="1" spans="1:38">
      <c r="A143" s="163"/>
      <c r="B143" s="69"/>
      <c r="C143" s="69"/>
      <c r="D143" s="69"/>
      <c r="E143" s="69"/>
      <c r="F143" s="69"/>
      <c r="G143" s="70"/>
      <c r="H143" s="69"/>
      <c r="I143" s="70"/>
      <c r="J143" s="69"/>
      <c r="K143" s="69"/>
      <c r="L143" s="69"/>
      <c r="M143" s="69"/>
      <c r="N143" s="69"/>
      <c r="O143" s="69"/>
      <c r="P143" s="69"/>
      <c r="Q143" s="69"/>
      <c r="R143" s="69"/>
      <c r="S143" s="69"/>
      <c r="T143" s="69"/>
      <c r="U143" s="69"/>
      <c r="V143" s="69"/>
      <c r="W143" s="69"/>
      <c r="X143" s="69"/>
      <c r="Y143" s="106"/>
      <c r="Z143" s="69"/>
      <c r="AA143" s="69"/>
      <c r="AB143" s="69"/>
      <c r="AC143" s="69"/>
      <c r="AD143" s="69"/>
      <c r="AE143" s="69"/>
      <c r="AF143" s="69"/>
      <c r="AG143" s="69"/>
      <c r="AH143" s="69"/>
      <c r="AI143" s="69"/>
      <c r="AJ143" s="69"/>
      <c r="AK143" s="69"/>
      <c r="AL143" s="69"/>
    </row>
    <row r="144" ht="15.75" customHeight="1" spans="1:38">
      <c r="A144" s="163"/>
      <c r="B144" s="69"/>
      <c r="C144" s="69"/>
      <c r="D144" s="69"/>
      <c r="E144" s="69"/>
      <c r="F144" s="69"/>
      <c r="G144" s="70"/>
      <c r="H144" s="69"/>
      <c r="I144" s="70"/>
      <c r="J144" s="69"/>
      <c r="K144" s="69"/>
      <c r="L144" s="69"/>
      <c r="M144" s="69"/>
      <c r="N144" s="69"/>
      <c r="O144" s="69"/>
      <c r="P144" s="69"/>
      <c r="Q144" s="69"/>
      <c r="R144" s="69"/>
      <c r="S144" s="69"/>
      <c r="T144" s="69"/>
      <c r="U144" s="69"/>
      <c r="V144" s="69"/>
      <c r="W144" s="69"/>
      <c r="X144" s="69"/>
      <c r="Y144" s="106"/>
      <c r="Z144" s="69"/>
      <c r="AA144" s="69"/>
      <c r="AB144" s="69"/>
      <c r="AC144" s="69"/>
      <c r="AD144" s="69"/>
      <c r="AE144" s="69"/>
      <c r="AF144" s="69"/>
      <c r="AG144" s="69"/>
      <c r="AH144" s="69"/>
      <c r="AI144" s="69"/>
      <c r="AJ144" s="69"/>
      <c r="AK144" s="69"/>
      <c r="AL144" s="69"/>
    </row>
    <row r="145" ht="15.75" customHeight="1" spans="1:38">
      <c r="A145" s="163"/>
      <c r="B145" s="69"/>
      <c r="C145" s="69"/>
      <c r="D145" s="69"/>
      <c r="E145" s="69"/>
      <c r="F145" s="69"/>
      <c r="G145" s="70"/>
      <c r="H145" s="69"/>
      <c r="I145" s="70"/>
      <c r="J145" s="69"/>
      <c r="K145" s="69"/>
      <c r="L145" s="69"/>
      <c r="M145" s="69"/>
      <c r="N145" s="69"/>
      <c r="O145" s="69"/>
      <c r="P145" s="69"/>
      <c r="Q145" s="69"/>
      <c r="R145" s="69"/>
      <c r="S145" s="69"/>
      <c r="T145" s="69"/>
      <c r="U145" s="69"/>
      <c r="V145" s="69"/>
      <c r="W145" s="69"/>
      <c r="X145" s="69"/>
      <c r="Y145" s="106"/>
      <c r="Z145" s="69"/>
      <c r="AA145" s="69"/>
      <c r="AB145" s="69"/>
      <c r="AC145" s="69"/>
      <c r="AD145" s="69"/>
      <c r="AE145" s="69"/>
      <c r="AF145" s="69"/>
      <c r="AG145" s="69"/>
      <c r="AH145" s="69"/>
      <c r="AI145" s="69"/>
      <c r="AJ145" s="69"/>
      <c r="AK145" s="69"/>
      <c r="AL145" s="69"/>
    </row>
    <row r="146" ht="15.75" customHeight="1" spans="1:38">
      <c r="A146" s="163"/>
      <c r="B146" s="69"/>
      <c r="C146" s="69"/>
      <c r="D146" s="69"/>
      <c r="E146" s="69"/>
      <c r="F146" s="69"/>
      <c r="G146" s="70"/>
      <c r="H146" s="69"/>
      <c r="I146" s="70"/>
      <c r="J146" s="69"/>
      <c r="K146" s="69"/>
      <c r="L146" s="69"/>
      <c r="M146" s="69"/>
      <c r="N146" s="69"/>
      <c r="O146" s="69"/>
      <c r="P146" s="69"/>
      <c r="Q146" s="69"/>
      <c r="R146" s="69"/>
      <c r="S146" s="69"/>
      <c r="T146" s="69"/>
      <c r="U146" s="69"/>
      <c r="V146" s="69"/>
      <c r="W146" s="69"/>
      <c r="X146" s="69"/>
      <c r="Y146" s="106"/>
      <c r="Z146" s="69"/>
      <c r="AA146" s="69"/>
      <c r="AB146" s="69"/>
      <c r="AC146" s="69"/>
      <c r="AD146" s="69"/>
      <c r="AE146" s="69"/>
      <c r="AF146" s="69"/>
      <c r="AG146" s="69"/>
      <c r="AH146" s="69"/>
      <c r="AI146" s="69"/>
      <c r="AJ146" s="69"/>
      <c r="AK146" s="69"/>
      <c r="AL146" s="69"/>
    </row>
    <row r="147" ht="15.75" customHeight="1" spans="1:38">
      <c r="A147" s="163"/>
      <c r="B147" s="69"/>
      <c r="C147" s="69"/>
      <c r="D147" s="69"/>
      <c r="E147" s="69"/>
      <c r="F147" s="69"/>
      <c r="G147" s="70"/>
      <c r="H147" s="69"/>
      <c r="I147" s="70"/>
      <c r="J147" s="69"/>
      <c r="K147" s="69"/>
      <c r="L147" s="69"/>
      <c r="M147" s="69"/>
      <c r="N147" s="69"/>
      <c r="O147" s="69"/>
      <c r="P147" s="69"/>
      <c r="Q147" s="69"/>
      <c r="R147" s="69"/>
      <c r="S147" s="69"/>
      <c r="T147" s="69"/>
      <c r="U147" s="69"/>
      <c r="V147" s="69"/>
      <c r="W147" s="69"/>
      <c r="X147" s="69"/>
      <c r="Y147" s="106"/>
      <c r="Z147" s="69"/>
      <c r="AA147" s="69"/>
      <c r="AB147" s="69"/>
      <c r="AC147" s="69"/>
      <c r="AD147" s="69"/>
      <c r="AE147" s="69"/>
      <c r="AF147" s="69"/>
      <c r="AG147" s="69"/>
      <c r="AH147" s="69"/>
      <c r="AI147" s="69"/>
      <c r="AJ147" s="69"/>
      <c r="AK147" s="69"/>
      <c r="AL147" s="69"/>
    </row>
    <row r="148" ht="15.75" customHeight="1" spans="1:38">
      <c r="A148" s="163"/>
      <c r="B148" s="69"/>
      <c r="C148" s="69"/>
      <c r="D148" s="69"/>
      <c r="E148" s="69"/>
      <c r="F148" s="69"/>
      <c r="G148" s="70"/>
      <c r="H148" s="69"/>
      <c r="I148" s="70"/>
      <c r="J148" s="69"/>
      <c r="K148" s="69"/>
      <c r="L148" s="69"/>
      <c r="M148" s="69"/>
      <c r="N148" s="69"/>
      <c r="O148" s="69"/>
      <c r="P148" s="69"/>
      <c r="Q148" s="69"/>
      <c r="R148" s="69"/>
      <c r="S148" s="69"/>
      <c r="T148" s="69"/>
      <c r="U148" s="69"/>
      <c r="V148" s="69"/>
      <c r="W148" s="69"/>
      <c r="X148" s="69"/>
      <c r="Y148" s="106"/>
      <c r="Z148" s="69"/>
      <c r="AA148" s="69"/>
      <c r="AB148" s="69"/>
      <c r="AC148" s="69"/>
      <c r="AD148" s="69"/>
      <c r="AE148" s="69"/>
      <c r="AF148" s="69"/>
      <c r="AG148" s="69"/>
      <c r="AH148" s="69"/>
      <c r="AI148" s="69"/>
      <c r="AJ148" s="69"/>
      <c r="AK148" s="69"/>
      <c r="AL148" s="69"/>
    </row>
    <row r="149" ht="15.75" customHeight="1" spans="1:38">
      <c r="A149" s="163"/>
      <c r="B149" s="69"/>
      <c r="C149" s="69"/>
      <c r="D149" s="69"/>
      <c r="E149" s="69"/>
      <c r="F149" s="69"/>
      <c r="G149" s="70"/>
      <c r="H149" s="69"/>
      <c r="I149" s="70"/>
      <c r="J149" s="69"/>
      <c r="K149" s="69"/>
      <c r="L149" s="69"/>
      <c r="M149" s="69"/>
      <c r="N149" s="69"/>
      <c r="O149" s="69"/>
      <c r="P149" s="69"/>
      <c r="Q149" s="69"/>
      <c r="R149" s="69"/>
      <c r="S149" s="69"/>
      <c r="T149" s="69"/>
      <c r="U149" s="69"/>
      <c r="V149" s="69"/>
      <c r="W149" s="69"/>
      <c r="X149" s="69"/>
      <c r="Y149" s="106"/>
      <c r="Z149" s="69"/>
      <c r="AA149" s="69"/>
      <c r="AB149" s="69"/>
      <c r="AC149" s="69"/>
      <c r="AD149" s="69"/>
      <c r="AE149" s="69"/>
      <c r="AF149" s="69"/>
      <c r="AG149" s="69"/>
      <c r="AH149" s="69"/>
      <c r="AI149" s="69"/>
      <c r="AJ149" s="69"/>
      <c r="AK149" s="69"/>
      <c r="AL149" s="69"/>
    </row>
    <row r="150" ht="15.75" customHeight="1" spans="1:38">
      <c r="A150" s="163"/>
      <c r="B150" s="69"/>
      <c r="C150" s="69"/>
      <c r="D150" s="69"/>
      <c r="E150" s="69"/>
      <c r="F150" s="69"/>
      <c r="G150" s="70"/>
      <c r="H150" s="69"/>
      <c r="I150" s="70"/>
      <c r="J150" s="69"/>
      <c r="K150" s="69"/>
      <c r="L150" s="69"/>
      <c r="M150" s="69"/>
      <c r="N150" s="69"/>
      <c r="O150" s="69"/>
      <c r="P150" s="69"/>
      <c r="Q150" s="69"/>
      <c r="R150" s="69"/>
      <c r="S150" s="69"/>
      <c r="T150" s="69"/>
      <c r="U150" s="69"/>
      <c r="V150" s="69"/>
      <c r="W150" s="69"/>
      <c r="X150" s="69"/>
      <c r="Y150" s="106"/>
      <c r="Z150" s="69"/>
      <c r="AA150" s="69"/>
      <c r="AB150" s="69"/>
      <c r="AC150" s="69"/>
      <c r="AD150" s="69"/>
      <c r="AE150" s="69"/>
      <c r="AF150" s="69"/>
      <c r="AG150" s="69"/>
      <c r="AH150" s="69"/>
      <c r="AI150" s="69"/>
      <c r="AJ150" s="69"/>
      <c r="AK150" s="69"/>
      <c r="AL150" s="69"/>
    </row>
    <row r="151" ht="15.75" customHeight="1" spans="1:38">
      <c r="A151" s="163"/>
      <c r="B151" s="69"/>
      <c r="C151" s="69"/>
      <c r="D151" s="69"/>
      <c r="E151" s="69"/>
      <c r="F151" s="69"/>
      <c r="G151" s="70"/>
      <c r="H151" s="69"/>
      <c r="I151" s="70"/>
      <c r="J151" s="69"/>
      <c r="K151" s="69"/>
      <c r="L151" s="69"/>
      <c r="M151" s="69"/>
      <c r="N151" s="69"/>
      <c r="O151" s="69"/>
      <c r="P151" s="69"/>
      <c r="Q151" s="69"/>
      <c r="R151" s="69"/>
      <c r="S151" s="69"/>
      <c r="T151" s="69"/>
      <c r="U151" s="69"/>
      <c r="V151" s="69"/>
      <c r="W151" s="69"/>
      <c r="X151" s="69"/>
      <c r="Y151" s="106"/>
      <c r="Z151" s="69"/>
      <c r="AA151" s="69"/>
      <c r="AB151" s="69"/>
      <c r="AC151" s="69"/>
      <c r="AD151" s="69"/>
      <c r="AE151" s="69"/>
      <c r="AF151" s="69"/>
      <c r="AG151" s="69"/>
      <c r="AH151" s="69"/>
      <c r="AI151" s="69"/>
      <c r="AJ151" s="69"/>
      <c r="AK151" s="69"/>
      <c r="AL151" s="69"/>
    </row>
    <row r="152" ht="15.75" customHeight="1" spans="1:38">
      <c r="A152" s="163"/>
      <c r="B152" s="69"/>
      <c r="C152" s="69"/>
      <c r="D152" s="69"/>
      <c r="E152" s="69"/>
      <c r="F152" s="69"/>
      <c r="G152" s="70"/>
      <c r="H152" s="69"/>
      <c r="I152" s="70"/>
      <c r="J152" s="69"/>
      <c r="K152" s="69"/>
      <c r="L152" s="69"/>
      <c r="M152" s="69"/>
      <c r="N152" s="69"/>
      <c r="O152" s="69"/>
      <c r="P152" s="69"/>
      <c r="Q152" s="69"/>
      <c r="R152" s="69"/>
      <c r="S152" s="69"/>
      <c r="T152" s="69"/>
      <c r="U152" s="69"/>
      <c r="V152" s="69"/>
      <c r="W152" s="69"/>
      <c r="X152" s="69"/>
      <c r="Y152" s="106"/>
      <c r="Z152" s="69"/>
      <c r="AA152" s="69"/>
      <c r="AB152" s="69"/>
      <c r="AC152" s="69"/>
      <c r="AD152" s="69"/>
      <c r="AE152" s="69"/>
      <c r="AF152" s="69"/>
      <c r="AG152" s="69"/>
      <c r="AH152" s="69"/>
      <c r="AI152" s="69"/>
      <c r="AJ152" s="69"/>
      <c r="AK152" s="69"/>
      <c r="AL152" s="69"/>
    </row>
    <row r="153" ht="15.75" customHeight="1" spans="1:38">
      <c r="A153" s="163"/>
      <c r="B153" s="69"/>
      <c r="C153" s="69"/>
      <c r="D153" s="69"/>
      <c r="E153" s="69"/>
      <c r="F153" s="69"/>
      <c r="G153" s="70"/>
      <c r="H153" s="69"/>
      <c r="I153" s="70"/>
      <c r="J153" s="69"/>
      <c r="K153" s="69"/>
      <c r="L153" s="69"/>
      <c r="M153" s="69"/>
      <c r="N153" s="69"/>
      <c r="O153" s="69"/>
      <c r="P153" s="69"/>
      <c r="Q153" s="69"/>
      <c r="R153" s="69"/>
      <c r="S153" s="69"/>
      <c r="T153" s="69"/>
      <c r="U153" s="69"/>
      <c r="V153" s="69"/>
      <c r="W153" s="69"/>
      <c r="X153" s="69"/>
      <c r="Y153" s="106"/>
      <c r="Z153" s="69"/>
      <c r="AA153" s="69"/>
      <c r="AB153" s="69"/>
      <c r="AC153" s="69"/>
      <c r="AD153" s="69"/>
      <c r="AE153" s="69"/>
      <c r="AF153" s="69"/>
      <c r="AG153" s="69"/>
      <c r="AH153" s="69"/>
      <c r="AI153" s="69"/>
      <c r="AJ153" s="69"/>
      <c r="AK153" s="69"/>
      <c r="AL153" s="69"/>
    </row>
    <row r="154" ht="15.75" customHeight="1" spans="1:38">
      <c r="A154" s="163"/>
      <c r="B154" s="69"/>
      <c r="C154" s="69"/>
      <c r="D154" s="69"/>
      <c r="E154" s="69"/>
      <c r="F154" s="69"/>
      <c r="G154" s="70"/>
      <c r="H154" s="69"/>
      <c r="I154" s="70"/>
      <c r="J154" s="69"/>
      <c r="K154" s="69"/>
      <c r="L154" s="69"/>
      <c r="M154" s="69"/>
      <c r="N154" s="69"/>
      <c r="O154" s="69"/>
      <c r="P154" s="69"/>
      <c r="Q154" s="69"/>
      <c r="R154" s="69"/>
      <c r="S154" s="69"/>
      <c r="T154" s="69"/>
      <c r="U154" s="69"/>
      <c r="V154" s="69"/>
      <c r="W154" s="69"/>
      <c r="X154" s="69"/>
      <c r="Y154" s="106"/>
      <c r="Z154" s="69"/>
      <c r="AA154" s="69"/>
      <c r="AB154" s="69"/>
      <c r="AC154" s="69"/>
      <c r="AD154" s="69"/>
      <c r="AE154" s="69"/>
      <c r="AF154" s="69"/>
      <c r="AG154" s="69"/>
      <c r="AH154" s="69"/>
      <c r="AI154" s="69"/>
      <c r="AJ154" s="69"/>
      <c r="AK154" s="69"/>
      <c r="AL154" s="69"/>
    </row>
    <row r="155" ht="15.75" customHeight="1" spans="1:38">
      <c r="A155" s="163"/>
      <c r="B155" s="69"/>
      <c r="C155" s="69"/>
      <c r="D155" s="69"/>
      <c r="E155" s="69"/>
      <c r="F155" s="69"/>
      <c r="G155" s="70"/>
      <c r="H155" s="69"/>
      <c r="I155" s="70"/>
      <c r="J155" s="69"/>
      <c r="K155" s="69"/>
      <c r="L155" s="69"/>
      <c r="M155" s="69"/>
      <c r="N155" s="69"/>
      <c r="O155" s="69"/>
      <c r="P155" s="69"/>
      <c r="Q155" s="69"/>
      <c r="R155" s="69"/>
      <c r="S155" s="69"/>
      <c r="T155" s="69"/>
      <c r="U155" s="69"/>
      <c r="V155" s="69"/>
      <c r="W155" s="69"/>
      <c r="X155" s="69"/>
      <c r="Y155" s="106"/>
      <c r="Z155" s="69"/>
      <c r="AA155" s="69"/>
      <c r="AB155" s="69"/>
      <c r="AC155" s="69"/>
      <c r="AD155" s="69"/>
      <c r="AE155" s="69"/>
      <c r="AF155" s="69"/>
      <c r="AG155" s="69"/>
      <c r="AH155" s="69"/>
      <c r="AI155" s="69"/>
      <c r="AJ155" s="69"/>
      <c r="AK155" s="69"/>
      <c r="AL155" s="69"/>
    </row>
    <row r="156" ht="15.75" customHeight="1" spans="1:38">
      <c r="A156" s="163"/>
      <c r="B156" s="69"/>
      <c r="C156" s="69"/>
      <c r="D156" s="69"/>
      <c r="E156" s="69"/>
      <c r="F156" s="69"/>
      <c r="G156" s="70"/>
      <c r="H156" s="69"/>
      <c r="I156" s="70"/>
      <c r="J156" s="69"/>
      <c r="K156" s="69"/>
      <c r="L156" s="69"/>
      <c r="M156" s="69"/>
      <c r="N156" s="69"/>
      <c r="O156" s="69"/>
      <c r="P156" s="69"/>
      <c r="Q156" s="69"/>
      <c r="R156" s="69"/>
      <c r="S156" s="69"/>
      <c r="T156" s="69"/>
      <c r="U156" s="69"/>
      <c r="V156" s="69"/>
      <c r="W156" s="69"/>
      <c r="X156" s="69"/>
      <c r="Y156" s="106"/>
      <c r="Z156" s="69"/>
      <c r="AA156" s="69"/>
      <c r="AB156" s="69"/>
      <c r="AC156" s="69"/>
      <c r="AD156" s="69"/>
      <c r="AE156" s="69"/>
      <c r="AF156" s="69"/>
      <c r="AG156" s="69"/>
      <c r="AH156" s="69"/>
      <c r="AI156" s="69"/>
      <c r="AJ156" s="69"/>
      <c r="AK156" s="69"/>
      <c r="AL156" s="69"/>
    </row>
    <row r="157" ht="15.75" customHeight="1" spans="1:38">
      <c r="A157" s="163"/>
      <c r="B157" s="69"/>
      <c r="C157" s="69"/>
      <c r="D157" s="69"/>
      <c r="E157" s="69"/>
      <c r="F157" s="69"/>
      <c r="G157" s="70"/>
      <c r="H157" s="69"/>
      <c r="I157" s="70"/>
      <c r="J157" s="69"/>
      <c r="K157" s="69"/>
      <c r="L157" s="69"/>
      <c r="M157" s="69"/>
      <c r="N157" s="69"/>
      <c r="O157" s="69"/>
      <c r="P157" s="69"/>
      <c r="Q157" s="69"/>
      <c r="R157" s="69"/>
      <c r="S157" s="69"/>
      <c r="T157" s="69"/>
      <c r="U157" s="69"/>
      <c r="V157" s="69"/>
      <c r="W157" s="69"/>
      <c r="X157" s="69"/>
      <c r="Y157" s="106"/>
      <c r="Z157" s="69"/>
      <c r="AA157" s="69"/>
      <c r="AB157" s="69"/>
      <c r="AC157" s="69"/>
      <c r="AD157" s="69"/>
      <c r="AE157" s="69"/>
      <c r="AF157" s="69"/>
      <c r="AG157" s="69"/>
      <c r="AH157" s="69"/>
      <c r="AI157" s="69"/>
      <c r="AJ157" s="69"/>
      <c r="AK157" s="69"/>
      <c r="AL157" s="69"/>
    </row>
    <row r="158" ht="15.75" customHeight="1" spans="1:38">
      <c r="A158" s="163"/>
      <c r="B158" s="69"/>
      <c r="C158" s="69"/>
      <c r="D158" s="69"/>
      <c r="E158" s="69"/>
      <c r="F158" s="69"/>
      <c r="G158" s="70"/>
      <c r="H158" s="69"/>
      <c r="I158" s="70"/>
      <c r="J158" s="69"/>
      <c r="K158" s="69"/>
      <c r="L158" s="69"/>
      <c r="M158" s="69"/>
      <c r="N158" s="69"/>
      <c r="O158" s="69"/>
      <c r="P158" s="69"/>
      <c r="Q158" s="69"/>
      <c r="R158" s="69"/>
      <c r="S158" s="69"/>
      <c r="T158" s="69"/>
      <c r="U158" s="69"/>
      <c r="V158" s="69"/>
      <c r="W158" s="69"/>
      <c r="X158" s="69"/>
      <c r="Y158" s="106"/>
      <c r="Z158" s="69"/>
      <c r="AA158" s="69"/>
      <c r="AB158" s="69"/>
      <c r="AC158" s="69"/>
      <c r="AD158" s="69"/>
      <c r="AE158" s="69"/>
      <c r="AF158" s="69"/>
      <c r="AG158" s="69"/>
      <c r="AH158" s="69"/>
      <c r="AI158" s="69"/>
      <c r="AJ158" s="69"/>
      <c r="AK158" s="69"/>
      <c r="AL158" s="69"/>
    </row>
    <row r="159" ht="15.75" customHeight="1" spans="1:38">
      <c r="A159" s="163"/>
      <c r="B159" s="69"/>
      <c r="C159" s="69"/>
      <c r="D159" s="69"/>
      <c r="E159" s="69"/>
      <c r="F159" s="69"/>
      <c r="G159" s="70"/>
      <c r="H159" s="69"/>
      <c r="I159" s="70"/>
      <c r="J159" s="69"/>
      <c r="K159" s="69"/>
      <c r="L159" s="69"/>
      <c r="M159" s="69"/>
      <c r="N159" s="69"/>
      <c r="O159" s="69"/>
      <c r="P159" s="69"/>
      <c r="Q159" s="69"/>
      <c r="R159" s="69"/>
      <c r="S159" s="69"/>
      <c r="T159" s="69"/>
      <c r="U159" s="69"/>
      <c r="V159" s="69"/>
      <c r="W159" s="69"/>
      <c r="X159" s="69"/>
      <c r="Y159" s="106"/>
      <c r="Z159" s="69"/>
      <c r="AA159" s="69"/>
      <c r="AB159" s="69"/>
      <c r="AC159" s="69"/>
      <c r="AD159" s="69"/>
      <c r="AE159" s="69"/>
      <c r="AF159" s="69"/>
      <c r="AG159" s="69"/>
      <c r="AH159" s="69"/>
      <c r="AI159" s="69"/>
      <c r="AJ159" s="69"/>
      <c r="AK159" s="69"/>
      <c r="AL159" s="69"/>
    </row>
    <row r="160" ht="15.75" customHeight="1" spans="1:38">
      <c r="A160" s="163"/>
      <c r="B160" s="69"/>
      <c r="C160" s="69"/>
      <c r="D160" s="69"/>
      <c r="E160" s="69"/>
      <c r="F160" s="69"/>
      <c r="G160" s="70"/>
      <c r="H160" s="69"/>
      <c r="I160" s="70"/>
      <c r="J160" s="69"/>
      <c r="K160" s="69"/>
      <c r="L160" s="69"/>
      <c r="M160" s="69"/>
      <c r="N160" s="69"/>
      <c r="O160" s="69"/>
      <c r="P160" s="69"/>
      <c r="Q160" s="69"/>
      <c r="R160" s="69"/>
      <c r="S160" s="69"/>
      <c r="T160" s="69"/>
      <c r="U160" s="69"/>
      <c r="V160" s="69"/>
      <c r="W160" s="69"/>
      <c r="X160" s="69"/>
      <c r="Y160" s="106"/>
      <c r="Z160" s="69"/>
      <c r="AA160" s="69"/>
      <c r="AB160" s="69"/>
      <c r="AC160" s="69"/>
      <c r="AD160" s="69"/>
      <c r="AE160" s="69"/>
      <c r="AF160" s="69"/>
      <c r="AG160" s="69"/>
      <c r="AH160" s="69"/>
      <c r="AI160" s="69"/>
      <c r="AJ160" s="69"/>
      <c r="AK160" s="69"/>
      <c r="AL160" s="69"/>
    </row>
    <row r="161" ht="15.75" customHeight="1" spans="1:38">
      <c r="A161" s="163"/>
      <c r="B161" s="69"/>
      <c r="C161" s="69"/>
      <c r="D161" s="69"/>
      <c r="E161" s="69"/>
      <c r="F161" s="69"/>
      <c r="G161" s="70"/>
      <c r="H161" s="69"/>
      <c r="I161" s="70"/>
      <c r="J161" s="69"/>
      <c r="K161" s="69"/>
      <c r="L161" s="69"/>
      <c r="M161" s="69"/>
      <c r="N161" s="69"/>
      <c r="O161" s="69"/>
      <c r="P161" s="69"/>
      <c r="Q161" s="69"/>
      <c r="R161" s="69"/>
      <c r="S161" s="69"/>
      <c r="T161" s="69"/>
      <c r="U161" s="69"/>
      <c r="V161" s="69"/>
      <c r="W161" s="69"/>
      <c r="X161" s="69"/>
      <c r="Y161" s="106"/>
      <c r="Z161" s="69"/>
      <c r="AA161" s="69"/>
      <c r="AB161" s="69"/>
      <c r="AC161" s="69"/>
      <c r="AD161" s="69"/>
      <c r="AE161" s="69"/>
      <c r="AF161" s="69"/>
      <c r="AG161" s="69"/>
      <c r="AH161" s="69"/>
      <c r="AI161" s="69"/>
      <c r="AJ161" s="69"/>
      <c r="AK161" s="69"/>
      <c r="AL161" s="69"/>
    </row>
    <row r="162" ht="15.75" customHeight="1" spans="1:38">
      <c r="A162" s="163"/>
      <c r="B162" s="69"/>
      <c r="C162" s="69"/>
      <c r="D162" s="69"/>
      <c r="E162" s="69"/>
      <c r="F162" s="69"/>
      <c r="G162" s="70"/>
      <c r="H162" s="69"/>
      <c r="I162" s="70"/>
      <c r="J162" s="69"/>
      <c r="K162" s="69"/>
      <c r="L162" s="69"/>
      <c r="M162" s="69"/>
      <c r="N162" s="69"/>
      <c r="O162" s="69"/>
      <c r="P162" s="69"/>
      <c r="Q162" s="69"/>
      <c r="R162" s="69"/>
      <c r="S162" s="69"/>
      <c r="T162" s="69"/>
      <c r="U162" s="69"/>
      <c r="V162" s="69"/>
      <c r="W162" s="69"/>
      <c r="X162" s="69"/>
      <c r="Y162" s="106"/>
      <c r="Z162" s="69"/>
      <c r="AA162" s="69"/>
      <c r="AB162" s="69"/>
      <c r="AC162" s="69"/>
      <c r="AD162" s="69"/>
      <c r="AE162" s="69"/>
      <c r="AF162" s="69"/>
      <c r="AG162" s="69"/>
      <c r="AH162" s="69"/>
      <c r="AI162" s="69"/>
      <c r="AJ162" s="69"/>
      <c r="AK162" s="69"/>
      <c r="AL162" s="69"/>
    </row>
    <row r="163" ht="15.75" customHeight="1" spans="1:38">
      <c r="A163" s="163"/>
      <c r="B163" s="69"/>
      <c r="C163" s="69"/>
      <c r="D163" s="69"/>
      <c r="E163" s="69"/>
      <c r="F163" s="69"/>
      <c r="G163" s="70"/>
      <c r="H163" s="69"/>
      <c r="I163" s="70"/>
      <c r="J163" s="69"/>
      <c r="K163" s="69"/>
      <c r="L163" s="69"/>
      <c r="M163" s="69"/>
      <c r="N163" s="69"/>
      <c r="O163" s="69"/>
      <c r="P163" s="69"/>
      <c r="Q163" s="69"/>
      <c r="R163" s="69"/>
      <c r="S163" s="69"/>
      <c r="T163" s="69"/>
      <c r="U163" s="69"/>
      <c r="V163" s="69"/>
      <c r="W163" s="69"/>
      <c r="X163" s="69"/>
      <c r="Y163" s="106"/>
      <c r="Z163" s="69"/>
      <c r="AA163" s="69"/>
      <c r="AB163" s="69"/>
      <c r="AC163" s="69"/>
      <c r="AD163" s="69"/>
      <c r="AE163" s="69"/>
      <c r="AF163" s="69"/>
      <c r="AG163" s="69"/>
      <c r="AH163" s="69"/>
      <c r="AI163" s="69"/>
      <c r="AJ163" s="69"/>
      <c r="AK163" s="69"/>
      <c r="AL163" s="69"/>
    </row>
    <row r="164" ht="15.75" customHeight="1" spans="1:38">
      <c r="A164" s="163"/>
      <c r="B164" s="69"/>
      <c r="C164" s="69"/>
      <c r="D164" s="69"/>
      <c r="E164" s="69"/>
      <c r="F164" s="69"/>
      <c r="G164" s="70"/>
      <c r="H164" s="69"/>
      <c r="I164" s="70"/>
      <c r="J164" s="69"/>
      <c r="K164" s="69"/>
      <c r="L164" s="69"/>
      <c r="M164" s="69"/>
      <c r="N164" s="69"/>
      <c r="O164" s="69"/>
      <c r="P164" s="69"/>
      <c r="Q164" s="69"/>
      <c r="R164" s="69"/>
      <c r="S164" s="69"/>
      <c r="T164" s="69"/>
      <c r="U164" s="69"/>
      <c r="V164" s="69"/>
      <c r="W164" s="69"/>
      <c r="X164" s="69"/>
      <c r="Y164" s="106"/>
      <c r="Z164" s="69"/>
      <c r="AA164" s="69"/>
      <c r="AB164" s="69"/>
      <c r="AC164" s="69"/>
      <c r="AD164" s="69"/>
      <c r="AE164" s="69"/>
      <c r="AF164" s="69"/>
      <c r="AG164" s="69"/>
      <c r="AH164" s="69"/>
      <c r="AI164" s="69"/>
      <c r="AJ164" s="69"/>
      <c r="AK164" s="69"/>
      <c r="AL164" s="69"/>
    </row>
    <row r="165" ht="15.75" customHeight="1" spans="1:38">
      <c r="A165" s="163"/>
      <c r="B165" s="69"/>
      <c r="C165" s="69"/>
      <c r="D165" s="69"/>
      <c r="E165" s="69"/>
      <c r="F165" s="69"/>
      <c r="G165" s="70"/>
      <c r="H165" s="69"/>
      <c r="I165" s="70"/>
      <c r="J165" s="69"/>
      <c r="K165" s="69"/>
      <c r="L165" s="69"/>
      <c r="M165" s="69"/>
      <c r="N165" s="69"/>
      <c r="O165" s="69"/>
      <c r="P165" s="69"/>
      <c r="Q165" s="69"/>
      <c r="R165" s="69"/>
      <c r="S165" s="69"/>
      <c r="T165" s="69"/>
      <c r="U165" s="69"/>
      <c r="V165" s="69"/>
      <c r="W165" s="69"/>
      <c r="X165" s="69"/>
      <c r="Y165" s="106"/>
      <c r="Z165" s="69"/>
      <c r="AA165" s="69"/>
      <c r="AB165" s="69"/>
      <c r="AC165" s="69"/>
      <c r="AD165" s="69"/>
      <c r="AE165" s="69"/>
      <c r="AF165" s="69"/>
      <c r="AG165" s="69"/>
      <c r="AH165" s="69"/>
      <c r="AI165" s="69"/>
      <c r="AJ165" s="69"/>
      <c r="AK165" s="69"/>
      <c r="AL165" s="69"/>
    </row>
    <row r="166" ht="15.75" customHeight="1" spans="1:38">
      <c r="A166" s="163"/>
      <c r="B166" s="69"/>
      <c r="C166" s="69"/>
      <c r="D166" s="69"/>
      <c r="E166" s="69"/>
      <c r="F166" s="69"/>
      <c r="G166" s="70"/>
      <c r="H166" s="69"/>
      <c r="I166" s="70"/>
      <c r="J166" s="69"/>
      <c r="K166" s="69"/>
      <c r="L166" s="69"/>
      <c r="M166" s="69"/>
      <c r="N166" s="69"/>
      <c r="O166" s="69"/>
      <c r="P166" s="69"/>
      <c r="Q166" s="69"/>
      <c r="R166" s="69"/>
      <c r="S166" s="69"/>
      <c r="T166" s="69"/>
      <c r="U166" s="69"/>
      <c r="V166" s="69"/>
      <c r="W166" s="69"/>
      <c r="X166" s="69"/>
      <c r="Y166" s="106"/>
      <c r="Z166" s="69"/>
      <c r="AA166" s="69"/>
      <c r="AB166" s="69"/>
      <c r="AC166" s="69"/>
      <c r="AD166" s="69"/>
      <c r="AE166" s="69"/>
      <c r="AF166" s="69"/>
      <c r="AG166" s="69"/>
      <c r="AH166" s="69"/>
      <c r="AI166" s="69"/>
      <c r="AJ166" s="69"/>
      <c r="AK166" s="69"/>
      <c r="AL166" s="69"/>
    </row>
    <row r="167" ht="15.75" customHeight="1" spans="1:38">
      <c r="A167" s="163"/>
      <c r="B167" s="69"/>
      <c r="C167" s="69"/>
      <c r="D167" s="69"/>
      <c r="E167" s="69"/>
      <c r="F167" s="69"/>
      <c r="G167" s="70"/>
      <c r="H167" s="69"/>
      <c r="I167" s="70"/>
      <c r="J167" s="69"/>
      <c r="K167" s="69"/>
      <c r="L167" s="69"/>
      <c r="M167" s="69"/>
      <c r="N167" s="69"/>
      <c r="O167" s="69"/>
      <c r="P167" s="69"/>
      <c r="Q167" s="69"/>
      <c r="R167" s="69"/>
      <c r="S167" s="69"/>
      <c r="T167" s="69"/>
      <c r="U167" s="69"/>
      <c r="V167" s="69"/>
      <c r="W167" s="69"/>
      <c r="X167" s="69"/>
      <c r="Y167" s="106"/>
      <c r="Z167" s="69"/>
      <c r="AA167" s="69"/>
      <c r="AB167" s="69"/>
      <c r="AC167" s="69"/>
      <c r="AD167" s="69"/>
      <c r="AE167" s="69"/>
      <c r="AF167" s="69"/>
      <c r="AG167" s="69"/>
      <c r="AH167" s="69"/>
      <c r="AI167" s="69"/>
      <c r="AJ167" s="69"/>
      <c r="AK167" s="69"/>
      <c r="AL167" s="69"/>
    </row>
    <row r="168" ht="15.75" customHeight="1" spans="1:38">
      <c r="A168" s="163"/>
      <c r="B168" s="69"/>
      <c r="C168" s="69"/>
      <c r="D168" s="69"/>
      <c r="E168" s="69"/>
      <c r="F168" s="69"/>
      <c r="G168" s="70"/>
      <c r="H168" s="69"/>
      <c r="I168" s="70"/>
      <c r="J168" s="69"/>
      <c r="K168" s="69"/>
      <c r="L168" s="69"/>
      <c r="M168" s="69"/>
      <c r="N168" s="69"/>
      <c r="O168" s="69"/>
      <c r="P168" s="69"/>
      <c r="Q168" s="69"/>
      <c r="R168" s="69"/>
      <c r="S168" s="69"/>
      <c r="T168" s="69"/>
      <c r="U168" s="69"/>
      <c r="V168" s="69"/>
      <c r="W168" s="69"/>
      <c r="X168" s="69"/>
      <c r="Y168" s="106"/>
      <c r="Z168" s="69"/>
      <c r="AA168" s="69"/>
      <c r="AB168" s="69"/>
      <c r="AC168" s="69"/>
      <c r="AD168" s="69"/>
      <c r="AE168" s="69"/>
      <c r="AF168" s="69"/>
      <c r="AG168" s="69"/>
      <c r="AH168" s="69"/>
      <c r="AI168" s="69"/>
      <c r="AJ168" s="69"/>
      <c r="AK168" s="69"/>
      <c r="AL168" s="69"/>
    </row>
    <row r="169" ht="15.75" customHeight="1" spans="1:38">
      <c r="A169" s="163"/>
      <c r="B169" s="69"/>
      <c r="C169" s="69"/>
      <c r="D169" s="69"/>
      <c r="E169" s="69"/>
      <c r="F169" s="69"/>
      <c r="G169" s="70"/>
      <c r="H169" s="69"/>
      <c r="I169" s="70"/>
      <c r="J169" s="69"/>
      <c r="K169" s="69"/>
      <c r="L169" s="69"/>
      <c r="M169" s="69"/>
      <c r="N169" s="69"/>
      <c r="O169" s="69"/>
      <c r="P169" s="69"/>
      <c r="Q169" s="69"/>
      <c r="R169" s="69"/>
      <c r="S169" s="69"/>
      <c r="T169" s="69"/>
      <c r="U169" s="69"/>
      <c r="V169" s="69"/>
      <c r="W169" s="69"/>
      <c r="X169" s="69"/>
      <c r="Y169" s="106"/>
      <c r="Z169" s="69"/>
      <c r="AA169" s="69"/>
      <c r="AB169" s="69"/>
      <c r="AC169" s="69"/>
      <c r="AD169" s="69"/>
      <c r="AE169" s="69"/>
      <c r="AF169" s="69"/>
      <c r="AG169" s="69"/>
      <c r="AH169" s="69"/>
      <c r="AI169" s="69"/>
      <c r="AJ169" s="69"/>
      <c r="AK169" s="69"/>
      <c r="AL169" s="69"/>
    </row>
    <row r="170" ht="15.75" customHeight="1" spans="1:38">
      <c r="A170" s="163"/>
      <c r="B170" s="69"/>
      <c r="C170" s="69"/>
      <c r="D170" s="69"/>
      <c r="E170" s="69"/>
      <c r="F170" s="69"/>
      <c r="G170" s="70"/>
      <c r="H170" s="69"/>
      <c r="I170" s="70"/>
      <c r="J170" s="69"/>
      <c r="K170" s="69"/>
      <c r="L170" s="69"/>
      <c r="M170" s="69"/>
      <c r="N170" s="69"/>
      <c r="O170" s="69"/>
      <c r="P170" s="69"/>
      <c r="Q170" s="69"/>
      <c r="R170" s="69"/>
      <c r="S170" s="69"/>
      <c r="T170" s="69"/>
      <c r="U170" s="69"/>
      <c r="V170" s="69"/>
      <c r="W170" s="69"/>
      <c r="X170" s="69"/>
      <c r="Y170" s="106"/>
      <c r="Z170" s="69"/>
      <c r="AA170" s="69"/>
      <c r="AB170" s="69"/>
      <c r="AC170" s="69"/>
      <c r="AD170" s="69"/>
      <c r="AE170" s="69"/>
      <c r="AF170" s="69"/>
      <c r="AG170" s="69"/>
      <c r="AH170" s="69"/>
      <c r="AI170" s="69"/>
      <c r="AJ170" s="69"/>
      <c r="AK170" s="69"/>
      <c r="AL170" s="69"/>
    </row>
    <row r="171" ht="15.75" customHeight="1" spans="1:38">
      <c r="A171" s="163"/>
      <c r="B171" s="69"/>
      <c r="C171" s="69"/>
      <c r="D171" s="69"/>
      <c r="E171" s="69"/>
      <c r="F171" s="69"/>
      <c r="G171" s="70"/>
      <c r="H171" s="69"/>
      <c r="I171" s="70"/>
      <c r="J171" s="69"/>
      <c r="K171" s="69"/>
      <c r="L171" s="69"/>
      <c r="M171" s="69"/>
      <c r="N171" s="69"/>
      <c r="O171" s="69"/>
      <c r="P171" s="69"/>
      <c r="Q171" s="69"/>
      <c r="R171" s="69"/>
      <c r="S171" s="69"/>
      <c r="T171" s="69"/>
      <c r="U171" s="69"/>
      <c r="V171" s="69"/>
      <c r="W171" s="69"/>
      <c r="X171" s="69"/>
      <c r="Y171" s="106"/>
      <c r="Z171" s="69"/>
      <c r="AA171" s="69"/>
      <c r="AB171" s="69"/>
      <c r="AC171" s="69"/>
      <c r="AD171" s="69"/>
      <c r="AE171" s="69"/>
      <c r="AF171" s="69"/>
      <c r="AG171" s="69"/>
      <c r="AH171" s="69"/>
      <c r="AI171" s="69"/>
      <c r="AJ171" s="69"/>
      <c r="AK171" s="69"/>
      <c r="AL171" s="69"/>
    </row>
    <row r="172" ht="15.75" customHeight="1" spans="1:38">
      <c r="A172" s="163"/>
      <c r="B172" s="69"/>
      <c r="C172" s="69"/>
      <c r="D172" s="69"/>
      <c r="E172" s="69"/>
      <c r="F172" s="69"/>
      <c r="G172" s="70"/>
      <c r="H172" s="69"/>
      <c r="I172" s="70"/>
      <c r="J172" s="69"/>
      <c r="K172" s="69"/>
      <c r="L172" s="69"/>
      <c r="M172" s="69"/>
      <c r="N172" s="69"/>
      <c r="O172" s="69"/>
      <c r="P172" s="69"/>
      <c r="Q172" s="69"/>
      <c r="R172" s="69"/>
      <c r="S172" s="69"/>
      <c r="T172" s="69"/>
      <c r="U172" s="69"/>
      <c r="V172" s="69"/>
      <c r="W172" s="69"/>
      <c r="X172" s="69"/>
      <c r="Y172" s="106"/>
      <c r="Z172" s="69"/>
      <c r="AA172" s="69"/>
      <c r="AB172" s="69"/>
      <c r="AC172" s="69"/>
      <c r="AD172" s="69"/>
      <c r="AE172" s="69"/>
      <c r="AF172" s="69"/>
      <c r="AG172" s="69"/>
      <c r="AH172" s="69"/>
      <c r="AI172" s="69"/>
      <c r="AJ172" s="69"/>
      <c r="AK172" s="69"/>
      <c r="AL172" s="69"/>
    </row>
    <row r="173" ht="15.75" customHeight="1" spans="1:38">
      <c r="A173" s="163"/>
      <c r="B173" s="69"/>
      <c r="C173" s="69"/>
      <c r="D173" s="69"/>
      <c r="E173" s="69"/>
      <c r="F173" s="69"/>
      <c r="G173" s="70"/>
      <c r="H173" s="69"/>
      <c r="I173" s="70"/>
      <c r="J173" s="69"/>
      <c r="K173" s="69"/>
      <c r="L173" s="69"/>
      <c r="M173" s="69"/>
      <c r="N173" s="69"/>
      <c r="O173" s="69"/>
      <c r="P173" s="69"/>
      <c r="Q173" s="69"/>
      <c r="R173" s="69"/>
      <c r="S173" s="69"/>
      <c r="T173" s="69"/>
      <c r="U173" s="69"/>
      <c r="V173" s="69"/>
      <c r="W173" s="69"/>
      <c r="X173" s="69"/>
      <c r="Y173" s="106"/>
      <c r="Z173" s="69"/>
      <c r="AA173" s="69"/>
      <c r="AB173" s="69"/>
      <c r="AC173" s="69"/>
      <c r="AD173" s="69"/>
      <c r="AE173" s="69"/>
      <c r="AF173" s="69"/>
      <c r="AG173" s="69"/>
      <c r="AH173" s="69"/>
      <c r="AI173" s="69"/>
      <c r="AJ173" s="69"/>
      <c r="AK173" s="69"/>
      <c r="AL173" s="69"/>
    </row>
    <row r="174" ht="15.75" customHeight="1" spans="1:38">
      <c r="A174" s="163"/>
      <c r="B174" s="69"/>
      <c r="C174" s="69"/>
      <c r="D174" s="69"/>
      <c r="E174" s="69"/>
      <c r="F174" s="69"/>
      <c r="G174" s="70"/>
      <c r="H174" s="69"/>
      <c r="I174" s="70"/>
      <c r="J174" s="69"/>
      <c r="K174" s="69"/>
      <c r="L174" s="69"/>
      <c r="M174" s="69"/>
      <c r="N174" s="69"/>
      <c r="O174" s="69"/>
      <c r="P174" s="69"/>
      <c r="Q174" s="69"/>
      <c r="R174" s="69"/>
      <c r="S174" s="69"/>
      <c r="T174" s="69"/>
      <c r="U174" s="69"/>
      <c r="V174" s="69"/>
      <c r="W174" s="69"/>
      <c r="X174" s="69"/>
      <c r="Y174" s="106"/>
      <c r="Z174" s="69"/>
      <c r="AA174" s="69"/>
      <c r="AB174" s="69"/>
      <c r="AC174" s="69"/>
      <c r="AD174" s="69"/>
      <c r="AE174" s="69"/>
      <c r="AF174" s="69"/>
      <c r="AG174" s="69"/>
      <c r="AH174" s="69"/>
      <c r="AI174" s="69"/>
      <c r="AJ174" s="69"/>
      <c r="AK174" s="69"/>
      <c r="AL174" s="69"/>
    </row>
    <row r="175" ht="15.75" customHeight="1" spans="1:38">
      <c r="A175" s="163"/>
      <c r="B175" s="69"/>
      <c r="C175" s="69"/>
      <c r="D175" s="69"/>
      <c r="E175" s="69"/>
      <c r="F175" s="69"/>
      <c r="G175" s="70"/>
      <c r="H175" s="69"/>
      <c r="I175" s="70"/>
      <c r="J175" s="69"/>
      <c r="K175" s="69"/>
      <c r="L175" s="69"/>
      <c r="M175" s="69"/>
      <c r="N175" s="69"/>
      <c r="O175" s="69"/>
      <c r="P175" s="69"/>
      <c r="Q175" s="69"/>
      <c r="R175" s="69"/>
      <c r="S175" s="69"/>
      <c r="T175" s="69"/>
      <c r="U175" s="69"/>
      <c r="V175" s="69"/>
      <c r="W175" s="69"/>
      <c r="X175" s="69"/>
      <c r="Y175" s="106"/>
      <c r="Z175" s="69"/>
      <c r="AA175" s="69"/>
      <c r="AB175" s="69"/>
      <c r="AC175" s="69"/>
      <c r="AD175" s="69"/>
      <c r="AE175" s="69"/>
      <c r="AF175" s="69"/>
      <c r="AG175" s="69"/>
      <c r="AH175" s="69"/>
      <c r="AI175" s="69"/>
      <c r="AJ175" s="69"/>
      <c r="AK175" s="69"/>
      <c r="AL175" s="69"/>
    </row>
    <row r="176" ht="15.75" customHeight="1" spans="1:38">
      <c r="A176" s="163"/>
      <c r="B176" s="69"/>
      <c r="C176" s="69"/>
      <c r="D176" s="69"/>
      <c r="E176" s="69"/>
      <c r="F176" s="69"/>
      <c r="G176" s="70"/>
      <c r="H176" s="69"/>
      <c r="I176" s="70"/>
      <c r="J176" s="69"/>
      <c r="K176" s="69"/>
      <c r="L176" s="69"/>
      <c r="M176" s="69"/>
      <c r="N176" s="69"/>
      <c r="O176" s="69"/>
      <c r="P176" s="69"/>
      <c r="Q176" s="69"/>
      <c r="R176" s="69"/>
      <c r="S176" s="69"/>
      <c r="T176" s="69"/>
      <c r="U176" s="69"/>
      <c r="V176" s="69"/>
      <c r="W176" s="69"/>
      <c r="X176" s="69"/>
      <c r="Y176" s="106"/>
      <c r="Z176" s="69"/>
      <c r="AA176" s="69"/>
      <c r="AB176" s="69"/>
      <c r="AC176" s="69"/>
      <c r="AD176" s="69"/>
      <c r="AE176" s="69"/>
      <c r="AF176" s="69"/>
      <c r="AG176" s="69"/>
      <c r="AH176" s="69"/>
      <c r="AI176" s="69"/>
      <c r="AJ176" s="69"/>
      <c r="AK176" s="69"/>
      <c r="AL176" s="69"/>
    </row>
    <row r="177" ht="15.75" customHeight="1" spans="1:38">
      <c r="A177" s="163"/>
      <c r="B177" s="69"/>
      <c r="C177" s="69"/>
      <c r="D177" s="69"/>
      <c r="E177" s="69"/>
      <c r="F177" s="69"/>
      <c r="G177" s="70"/>
      <c r="H177" s="69"/>
      <c r="I177" s="70"/>
      <c r="J177" s="69"/>
      <c r="K177" s="69"/>
      <c r="L177" s="69"/>
      <c r="M177" s="69"/>
      <c r="N177" s="69"/>
      <c r="O177" s="69"/>
      <c r="P177" s="69"/>
      <c r="Q177" s="69"/>
      <c r="R177" s="69"/>
      <c r="S177" s="69"/>
      <c r="T177" s="69"/>
      <c r="U177" s="69"/>
      <c r="V177" s="69"/>
      <c r="W177" s="69"/>
      <c r="X177" s="69"/>
      <c r="Y177" s="106"/>
      <c r="Z177" s="69"/>
      <c r="AA177" s="69"/>
      <c r="AB177" s="69"/>
      <c r="AC177" s="69"/>
      <c r="AD177" s="69"/>
      <c r="AE177" s="69"/>
      <c r="AF177" s="69"/>
      <c r="AG177" s="69"/>
      <c r="AH177" s="69"/>
      <c r="AI177" s="69"/>
      <c r="AJ177" s="69"/>
      <c r="AK177" s="69"/>
      <c r="AL177" s="69"/>
    </row>
    <row r="178" ht="15.75" customHeight="1" spans="1:38">
      <c r="A178" s="163"/>
      <c r="B178" s="69"/>
      <c r="C178" s="69"/>
      <c r="D178" s="69"/>
      <c r="E178" s="69"/>
      <c r="F178" s="69"/>
      <c r="G178" s="70"/>
      <c r="H178" s="69"/>
      <c r="I178" s="70"/>
      <c r="J178" s="69"/>
      <c r="K178" s="69"/>
      <c r="L178" s="69"/>
      <c r="M178" s="69"/>
      <c r="N178" s="69"/>
      <c r="O178" s="69"/>
      <c r="P178" s="69"/>
      <c r="Q178" s="69"/>
      <c r="R178" s="69"/>
      <c r="S178" s="69"/>
      <c r="T178" s="69"/>
      <c r="U178" s="69"/>
      <c r="V178" s="69"/>
      <c r="W178" s="69"/>
      <c r="X178" s="69"/>
      <c r="Y178" s="106"/>
      <c r="Z178" s="69"/>
      <c r="AA178" s="69"/>
      <c r="AB178" s="69"/>
      <c r="AC178" s="69"/>
      <c r="AD178" s="69"/>
      <c r="AE178" s="69"/>
      <c r="AF178" s="69"/>
      <c r="AG178" s="69"/>
      <c r="AH178" s="69"/>
      <c r="AI178" s="69"/>
      <c r="AJ178" s="69"/>
      <c r="AK178" s="69"/>
      <c r="AL178" s="69"/>
    </row>
    <row r="179" ht="15.75" customHeight="1" spans="1:38">
      <c r="A179" s="163"/>
      <c r="B179" s="69"/>
      <c r="C179" s="69"/>
      <c r="D179" s="69"/>
      <c r="E179" s="69"/>
      <c r="F179" s="69"/>
      <c r="G179" s="70"/>
      <c r="H179" s="69"/>
      <c r="I179" s="70"/>
      <c r="J179" s="69"/>
      <c r="K179" s="69"/>
      <c r="L179" s="69"/>
      <c r="M179" s="69"/>
      <c r="N179" s="69"/>
      <c r="O179" s="69"/>
      <c r="P179" s="69"/>
      <c r="Q179" s="69"/>
      <c r="R179" s="69"/>
      <c r="S179" s="69"/>
      <c r="T179" s="69"/>
      <c r="U179" s="69"/>
      <c r="V179" s="69"/>
      <c r="W179" s="69"/>
      <c r="X179" s="69"/>
      <c r="Y179" s="106"/>
      <c r="Z179" s="69"/>
      <c r="AA179" s="69"/>
      <c r="AB179" s="69"/>
      <c r="AC179" s="69"/>
      <c r="AD179" s="69"/>
      <c r="AE179" s="69"/>
      <c r="AF179" s="69"/>
      <c r="AG179" s="69"/>
      <c r="AH179" s="69"/>
      <c r="AI179" s="69"/>
      <c r="AJ179" s="69"/>
      <c r="AK179" s="69"/>
      <c r="AL179" s="69"/>
    </row>
    <row r="180" ht="15.75" customHeight="1" spans="1:38">
      <c r="A180" s="163"/>
      <c r="B180" s="69"/>
      <c r="C180" s="69"/>
      <c r="D180" s="69"/>
      <c r="E180" s="69"/>
      <c r="F180" s="69"/>
      <c r="G180" s="70"/>
      <c r="H180" s="69"/>
      <c r="I180" s="70"/>
      <c r="J180" s="69"/>
      <c r="K180" s="69"/>
      <c r="L180" s="69"/>
      <c r="M180" s="69"/>
      <c r="N180" s="69"/>
      <c r="O180" s="69"/>
      <c r="P180" s="69"/>
      <c r="Q180" s="69"/>
      <c r="R180" s="69"/>
      <c r="S180" s="69"/>
      <c r="T180" s="69"/>
      <c r="U180" s="69"/>
      <c r="V180" s="69"/>
      <c r="W180" s="69"/>
      <c r="X180" s="69"/>
      <c r="Y180" s="106"/>
      <c r="Z180" s="69"/>
      <c r="AA180" s="69"/>
      <c r="AB180" s="69"/>
      <c r="AC180" s="69"/>
      <c r="AD180" s="69"/>
      <c r="AE180" s="69"/>
      <c r="AF180" s="69"/>
      <c r="AG180" s="69"/>
      <c r="AH180" s="69"/>
      <c r="AI180" s="69"/>
      <c r="AJ180" s="69"/>
      <c r="AK180" s="69"/>
      <c r="AL180" s="69"/>
    </row>
    <row r="181" ht="15.75" customHeight="1" spans="1:38">
      <c r="A181" s="163"/>
      <c r="B181" s="69"/>
      <c r="C181" s="69"/>
      <c r="D181" s="69"/>
      <c r="E181" s="69"/>
      <c r="F181" s="69"/>
      <c r="G181" s="70"/>
      <c r="H181" s="69"/>
      <c r="I181" s="70"/>
      <c r="J181" s="69"/>
      <c r="K181" s="69"/>
      <c r="L181" s="69"/>
      <c r="M181" s="69"/>
      <c r="N181" s="69"/>
      <c r="O181" s="69"/>
      <c r="P181" s="69"/>
      <c r="Q181" s="69"/>
      <c r="R181" s="69"/>
      <c r="S181" s="69"/>
      <c r="T181" s="69"/>
      <c r="U181" s="69"/>
      <c r="V181" s="69"/>
      <c r="W181" s="69"/>
      <c r="X181" s="69"/>
      <c r="Y181" s="106"/>
      <c r="Z181" s="69"/>
      <c r="AA181" s="69"/>
      <c r="AB181" s="69"/>
      <c r="AC181" s="69"/>
      <c r="AD181" s="69"/>
      <c r="AE181" s="69"/>
      <c r="AF181" s="69"/>
      <c r="AG181" s="69"/>
      <c r="AH181" s="69"/>
      <c r="AI181" s="69"/>
      <c r="AJ181" s="69"/>
      <c r="AK181" s="69"/>
      <c r="AL181" s="69"/>
    </row>
    <row r="182" ht="15.75" customHeight="1" spans="1:38">
      <c r="A182" s="163"/>
      <c r="B182" s="69"/>
      <c r="C182" s="69"/>
      <c r="D182" s="69"/>
      <c r="E182" s="69"/>
      <c r="F182" s="69"/>
      <c r="G182" s="70"/>
      <c r="H182" s="69"/>
      <c r="I182" s="70"/>
      <c r="J182" s="69"/>
      <c r="K182" s="69"/>
      <c r="L182" s="69"/>
      <c r="M182" s="69"/>
      <c r="N182" s="69"/>
      <c r="O182" s="69"/>
      <c r="P182" s="69"/>
      <c r="Q182" s="69"/>
      <c r="R182" s="69"/>
      <c r="S182" s="69"/>
      <c r="T182" s="69"/>
      <c r="U182" s="69"/>
      <c r="V182" s="69"/>
      <c r="W182" s="69"/>
      <c r="X182" s="69"/>
      <c r="Y182" s="106"/>
      <c r="Z182" s="69"/>
      <c r="AA182" s="69"/>
      <c r="AB182" s="69"/>
      <c r="AC182" s="69"/>
      <c r="AD182" s="69"/>
      <c r="AE182" s="69"/>
      <c r="AF182" s="69"/>
      <c r="AG182" s="69"/>
      <c r="AH182" s="69"/>
      <c r="AI182" s="69"/>
      <c r="AJ182" s="69"/>
      <c r="AK182" s="69"/>
      <c r="AL182" s="69"/>
    </row>
    <row r="183" ht="15.75" customHeight="1" spans="1:38">
      <c r="A183" s="163"/>
      <c r="B183" s="69"/>
      <c r="C183" s="69"/>
      <c r="D183" s="69"/>
      <c r="E183" s="69"/>
      <c r="F183" s="69"/>
      <c r="G183" s="70"/>
      <c r="H183" s="69"/>
      <c r="I183" s="70"/>
      <c r="J183" s="69"/>
      <c r="K183" s="69"/>
      <c r="L183" s="69"/>
      <c r="M183" s="69"/>
      <c r="N183" s="69"/>
      <c r="O183" s="69"/>
      <c r="P183" s="69"/>
      <c r="Q183" s="69"/>
      <c r="R183" s="69"/>
      <c r="S183" s="69"/>
      <c r="T183" s="69"/>
      <c r="U183" s="69"/>
      <c r="V183" s="69"/>
      <c r="W183" s="69"/>
      <c r="X183" s="69"/>
      <c r="Y183" s="106"/>
      <c r="Z183" s="69"/>
      <c r="AA183" s="69"/>
      <c r="AB183" s="69"/>
      <c r="AC183" s="69"/>
      <c r="AD183" s="69"/>
      <c r="AE183" s="69"/>
      <c r="AF183" s="69"/>
      <c r="AG183" s="69"/>
      <c r="AH183" s="69"/>
      <c r="AI183" s="69"/>
      <c r="AJ183" s="69"/>
      <c r="AK183" s="69"/>
      <c r="AL183" s="69"/>
    </row>
    <row r="184" ht="15.75" customHeight="1" spans="1:38">
      <c r="A184" s="163"/>
      <c r="B184" s="69"/>
      <c r="C184" s="69"/>
      <c r="D184" s="69"/>
      <c r="E184" s="69"/>
      <c r="F184" s="69"/>
      <c r="G184" s="70"/>
      <c r="H184" s="69"/>
      <c r="I184" s="70"/>
      <c r="J184" s="69"/>
      <c r="K184" s="69"/>
      <c r="L184" s="69"/>
      <c r="M184" s="69"/>
      <c r="N184" s="69"/>
      <c r="O184" s="69"/>
      <c r="P184" s="69"/>
      <c r="Q184" s="69"/>
      <c r="R184" s="69"/>
      <c r="S184" s="69"/>
      <c r="T184" s="69"/>
      <c r="U184" s="69"/>
      <c r="V184" s="69"/>
      <c r="W184" s="69"/>
      <c r="X184" s="69"/>
      <c r="Y184" s="106"/>
      <c r="Z184" s="69"/>
      <c r="AA184" s="69"/>
      <c r="AB184" s="69"/>
      <c r="AC184" s="69"/>
      <c r="AD184" s="69"/>
      <c r="AE184" s="69"/>
      <c r="AF184" s="69"/>
      <c r="AG184" s="69"/>
      <c r="AH184" s="69"/>
      <c r="AI184" s="69"/>
      <c r="AJ184" s="69"/>
      <c r="AK184" s="69"/>
      <c r="AL184" s="69"/>
    </row>
    <row r="185" ht="15.75" customHeight="1" spans="1:38">
      <c r="A185" s="163"/>
      <c r="B185" s="69"/>
      <c r="C185" s="69"/>
      <c r="D185" s="69"/>
      <c r="E185" s="69"/>
      <c r="F185" s="69"/>
      <c r="G185" s="70"/>
      <c r="H185" s="69"/>
      <c r="I185" s="70"/>
      <c r="J185" s="69"/>
      <c r="K185" s="69"/>
      <c r="L185" s="69"/>
      <c r="M185" s="69"/>
      <c r="N185" s="69"/>
      <c r="O185" s="69"/>
      <c r="P185" s="69"/>
      <c r="Q185" s="69"/>
      <c r="R185" s="69"/>
      <c r="S185" s="69"/>
      <c r="T185" s="69"/>
      <c r="U185" s="69"/>
      <c r="V185" s="69"/>
      <c r="W185" s="69"/>
      <c r="X185" s="69"/>
      <c r="Y185" s="106"/>
      <c r="Z185" s="69"/>
      <c r="AA185" s="69"/>
      <c r="AB185" s="69"/>
      <c r="AC185" s="69"/>
      <c r="AD185" s="69"/>
      <c r="AE185" s="69"/>
      <c r="AF185" s="69"/>
      <c r="AG185" s="69"/>
      <c r="AH185" s="69"/>
      <c r="AI185" s="69"/>
      <c r="AJ185" s="69"/>
      <c r="AK185" s="69"/>
      <c r="AL185" s="69"/>
    </row>
    <row r="186" ht="15.75" customHeight="1" spans="1:38">
      <c r="A186" s="163"/>
      <c r="B186" s="69"/>
      <c r="C186" s="69"/>
      <c r="D186" s="69"/>
      <c r="E186" s="69"/>
      <c r="F186" s="69"/>
      <c r="G186" s="70"/>
      <c r="H186" s="69"/>
      <c r="I186" s="70"/>
      <c r="J186" s="69"/>
      <c r="K186" s="69"/>
      <c r="L186" s="69"/>
      <c r="M186" s="69"/>
      <c r="N186" s="69"/>
      <c r="O186" s="69"/>
      <c r="P186" s="69"/>
      <c r="Q186" s="69"/>
      <c r="R186" s="69"/>
      <c r="S186" s="69"/>
      <c r="T186" s="69"/>
      <c r="U186" s="69"/>
      <c r="V186" s="69"/>
      <c r="W186" s="69"/>
      <c r="X186" s="69"/>
      <c r="Y186" s="106"/>
      <c r="Z186" s="69"/>
      <c r="AA186" s="69"/>
      <c r="AB186" s="69"/>
      <c r="AC186" s="69"/>
      <c r="AD186" s="69"/>
      <c r="AE186" s="69"/>
      <c r="AF186" s="69"/>
      <c r="AG186" s="69"/>
      <c r="AH186" s="69"/>
      <c r="AI186" s="69"/>
      <c r="AJ186" s="69"/>
      <c r="AK186" s="69"/>
      <c r="AL186" s="69"/>
    </row>
    <row r="187" ht="15.75" customHeight="1" spans="1:38">
      <c r="A187" s="163"/>
      <c r="B187" s="69"/>
      <c r="C187" s="69"/>
      <c r="D187" s="69"/>
      <c r="E187" s="69"/>
      <c r="F187" s="69"/>
      <c r="G187" s="70"/>
      <c r="H187" s="69"/>
      <c r="I187" s="70"/>
      <c r="J187" s="69"/>
      <c r="K187" s="69"/>
      <c r="L187" s="69"/>
      <c r="M187" s="69"/>
      <c r="N187" s="69"/>
      <c r="O187" s="69"/>
      <c r="P187" s="69"/>
      <c r="Q187" s="69"/>
      <c r="R187" s="69"/>
      <c r="S187" s="69"/>
      <c r="T187" s="69"/>
      <c r="U187" s="69"/>
      <c r="V187" s="69"/>
      <c r="W187" s="69"/>
      <c r="X187" s="69"/>
      <c r="Y187" s="106"/>
      <c r="Z187" s="69"/>
      <c r="AA187" s="69"/>
      <c r="AB187" s="69"/>
      <c r="AC187" s="69"/>
      <c r="AD187" s="69"/>
      <c r="AE187" s="69"/>
      <c r="AF187" s="69"/>
      <c r="AG187" s="69"/>
      <c r="AH187" s="69"/>
      <c r="AI187" s="69"/>
      <c r="AJ187" s="69"/>
      <c r="AK187" s="69"/>
      <c r="AL187" s="69"/>
    </row>
    <row r="188" ht="15.75" customHeight="1" spans="1:38">
      <c r="A188" s="163"/>
      <c r="B188" s="69"/>
      <c r="C188" s="69"/>
      <c r="D188" s="69"/>
      <c r="E188" s="69"/>
      <c r="F188" s="69"/>
      <c r="G188" s="70"/>
      <c r="H188" s="69"/>
      <c r="I188" s="70"/>
      <c r="J188" s="69"/>
      <c r="K188" s="69"/>
      <c r="L188" s="69"/>
      <c r="M188" s="69"/>
      <c r="N188" s="69"/>
      <c r="O188" s="69"/>
      <c r="P188" s="69"/>
      <c r="Q188" s="69"/>
      <c r="R188" s="69"/>
      <c r="S188" s="69"/>
      <c r="T188" s="69"/>
      <c r="U188" s="69"/>
      <c r="V188" s="69"/>
      <c r="W188" s="69"/>
      <c r="X188" s="69"/>
      <c r="Y188" s="106"/>
      <c r="Z188" s="69"/>
      <c r="AA188" s="69"/>
      <c r="AB188" s="69"/>
      <c r="AC188" s="69"/>
      <c r="AD188" s="69"/>
      <c r="AE188" s="69"/>
      <c r="AF188" s="69"/>
      <c r="AG188" s="69"/>
      <c r="AH188" s="69"/>
      <c r="AI188" s="69"/>
      <c r="AJ188" s="69"/>
      <c r="AK188" s="69"/>
      <c r="AL188" s="69"/>
    </row>
    <row r="189" ht="15.75" customHeight="1" spans="1:38">
      <c r="A189" s="163"/>
      <c r="B189" s="69"/>
      <c r="C189" s="69"/>
      <c r="D189" s="69"/>
      <c r="E189" s="69"/>
      <c r="F189" s="69"/>
      <c r="G189" s="70"/>
      <c r="H189" s="69"/>
      <c r="I189" s="70"/>
      <c r="J189" s="69"/>
      <c r="K189" s="69"/>
      <c r="L189" s="69"/>
      <c r="M189" s="69"/>
      <c r="N189" s="69"/>
      <c r="O189" s="69"/>
      <c r="P189" s="69"/>
      <c r="Q189" s="69"/>
      <c r="R189" s="69"/>
      <c r="S189" s="69"/>
      <c r="T189" s="69"/>
      <c r="U189" s="69"/>
      <c r="V189" s="69"/>
      <c r="W189" s="69"/>
      <c r="X189" s="69"/>
      <c r="Y189" s="106"/>
      <c r="Z189" s="69"/>
      <c r="AA189" s="69"/>
      <c r="AB189" s="69"/>
      <c r="AC189" s="69"/>
      <c r="AD189" s="69"/>
      <c r="AE189" s="69"/>
      <c r="AF189" s="69"/>
      <c r="AG189" s="69"/>
      <c r="AH189" s="69"/>
      <c r="AI189" s="69"/>
      <c r="AJ189" s="69"/>
      <c r="AK189" s="69"/>
      <c r="AL189" s="69"/>
    </row>
    <row r="190" ht="15.75" customHeight="1" spans="1:38">
      <c r="A190" s="163"/>
      <c r="B190" s="69"/>
      <c r="C190" s="69"/>
      <c r="D190" s="69"/>
      <c r="E190" s="69"/>
      <c r="F190" s="69"/>
      <c r="G190" s="70"/>
      <c r="H190" s="69"/>
      <c r="I190" s="70"/>
      <c r="J190" s="69"/>
      <c r="K190" s="69"/>
      <c r="L190" s="69"/>
      <c r="M190" s="69"/>
      <c r="N190" s="69"/>
      <c r="O190" s="69"/>
      <c r="P190" s="69"/>
      <c r="Q190" s="69"/>
      <c r="R190" s="69"/>
      <c r="S190" s="69"/>
      <c r="T190" s="69"/>
      <c r="U190" s="69"/>
      <c r="V190" s="69"/>
      <c r="W190" s="69"/>
      <c r="X190" s="69"/>
      <c r="Y190" s="106"/>
      <c r="Z190" s="69"/>
      <c r="AA190" s="69"/>
      <c r="AB190" s="69"/>
      <c r="AC190" s="69"/>
      <c r="AD190" s="69"/>
      <c r="AE190" s="69"/>
      <c r="AF190" s="69"/>
      <c r="AG190" s="69"/>
      <c r="AH190" s="69"/>
      <c r="AI190" s="69"/>
      <c r="AJ190" s="69"/>
      <c r="AK190" s="69"/>
      <c r="AL190" s="69"/>
    </row>
    <row r="191" ht="15.75" customHeight="1" spans="1:38">
      <c r="A191" s="163"/>
      <c r="B191" s="69"/>
      <c r="C191" s="69"/>
      <c r="D191" s="69"/>
      <c r="E191" s="69"/>
      <c r="F191" s="69"/>
      <c r="G191" s="70"/>
      <c r="H191" s="69"/>
      <c r="I191" s="70"/>
      <c r="J191" s="69"/>
      <c r="K191" s="69"/>
      <c r="L191" s="69"/>
      <c r="M191" s="69"/>
      <c r="N191" s="69"/>
      <c r="O191" s="69"/>
      <c r="P191" s="69"/>
      <c r="Q191" s="69"/>
      <c r="R191" s="69"/>
      <c r="S191" s="69"/>
      <c r="T191" s="69"/>
      <c r="U191" s="69"/>
      <c r="V191" s="69"/>
      <c r="W191" s="69"/>
      <c r="X191" s="69"/>
      <c r="Y191" s="106"/>
      <c r="Z191" s="69"/>
      <c r="AA191" s="69"/>
      <c r="AB191" s="69"/>
      <c r="AC191" s="69"/>
      <c r="AD191" s="69"/>
      <c r="AE191" s="69"/>
      <c r="AF191" s="69"/>
      <c r="AG191" s="69"/>
      <c r="AH191" s="69"/>
      <c r="AI191" s="69"/>
      <c r="AJ191" s="69"/>
      <c r="AK191" s="69"/>
      <c r="AL191" s="69"/>
    </row>
    <row r="192" ht="15.75" customHeight="1" spans="1:38">
      <c r="A192" s="163"/>
      <c r="B192" s="69"/>
      <c r="C192" s="69"/>
      <c r="D192" s="69"/>
      <c r="E192" s="69"/>
      <c r="F192" s="69"/>
      <c r="G192" s="70"/>
      <c r="H192" s="69"/>
      <c r="I192" s="70"/>
      <c r="J192" s="69"/>
      <c r="K192" s="69"/>
      <c r="L192" s="69"/>
      <c r="M192" s="69"/>
      <c r="N192" s="69"/>
      <c r="O192" s="69"/>
      <c r="P192" s="69"/>
      <c r="Q192" s="69"/>
      <c r="R192" s="69"/>
      <c r="S192" s="69"/>
      <c r="T192" s="69"/>
      <c r="U192" s="69"/>
      <c r="V192" s="69"/>
      <c r="W192" s="69"/>
      <c r="X192" s="69"/>
      <c r="Y192" s="106"/>
      <c r="Z192" s="69"/>
      <c r="AA192" s="69"/>
      <c r="AB192" s="69"/>
      <c r="AC192" s="69"/>
      <c r="AD192" s="69"/>
      <c r="AE192" s="69"/>
      <c r="AF192" s="69"/>
      <c r="AG192" s="69"/>
      <c r="AH192" s="69"/>
      <c r="AI192" s="69"/>
      <c r="AJ192" s="69"/>
      <c r="AK192" s="69"/>
      <c r="AL192" s="69"/>
    </row>
    <row r="193" ht="15.75" customHeight="1" spans="1:38">
      <c r="A193" s="163"/>
      <c r="B193" s="69"/>
      <c r="C193" s="69"/>
      <c r="D193" s="69"/>
      <c r="E193" s="69"/>
      <c r="F193" s="69"/>
      <c r="G193" s="70"/>
      <c r="H193" s="69"/>
      <c r="I193" s="70"/>
      <c r="J193" s="69"/>
      <c r="K193" s="69"/>
      <c r="L193" s="69"/>
      <c r="M193" s="69"/>
      <c r="N193" s="69"/>
      <c r="O193" s="69"/>
      <c r="P193" s="69"/>
      <c r="Q193" s="69"/>
      <c r="R193" s="69"/>
      <c r="S193" s="69"/>
      <c r="T193" s="69"/>
      <c r="U193" s="69"/>
      <c r="V193" s="69"/>
      <c r="W193" s="69"/>
      <c r="X193" s="69"/>
      <c r="Y193" s="106"/>
      <c r="Z193" s="69"/>
      <c r="AA193" s="69"/>
      <c r="AB193" s="69"/>
      <c r="AC193" s="69"/>
      <c r="AD193" s="69"/>
      <c r="AE193" s="69"/>
      <c r="AF193" s="69"/>
      <c r="AG193" s="69"/>
      <c r="AH193" s="69"/>
      <c r="AI193" s="69"/>
      <c r="AJ193" s="69"/>
      <c r="AK193" s="69"/>
      <c r="AL193" s="69"/>
    </row>
    <row r="194" ht="15.75" customHeight="1" spans="1:38">
      <c r="A194" s="163"/>
      <c r="B194" s="69"/>
      <c r="C194" s="69"/>
      <c r="D194" s="69"/>
      <c r="E194" s="69"/>
      <c r="F194" s="69"/>
      <c r="G194" s="70"/>
      <c r="H194" s="69"/>
      <c r="I194" s="70"/>
      <c r="J194" s="69"/>
      <c r="K194" s="69"/>
      <c r="L194" s="69"/>
      <c r="M194" s="69"/>
      <c r="N194" s="69"/>
      <c r="O194" s="69"/>
      <c r="P194" s="69"/>
      <c r="Q194" s="69"/>
      <c r="R194" s="69"/>
      <c r="S194" s="69"/>
      <c r="T194" s="69"/>
      <c r="U194" s="69"/>
      <c r="V194" s="69"/>
      <c r="W194" s="69"/>
      <c r="X194" s="69"/>
      <c r="Y194" s="106"/>
      <c r="Z194" s="69"/>
      <c r="AA194" s="69"/>
      <c r="AB194" s="69"/>
      <c r="AC194" s="69"/>
      <c r="AD194" s="69"/>
      <c r="AE194" s="69"/>
      <c r="AF194" s="69"/>
      <c r="AG194" s="69"/>
      <c r="AH194" s="69"/>
      <c r="AI194" s="69"/>
      <c r="AJ194" s="69"/>
      <c r="AK194" s="69"/>
      <c r="AL194" s="69"/>
    </row>
    <row r="195" ht="15.75" customHeight="1" spans="1:38">
      <c r="A195" s="163"/>
      <c r="B195" s="69"/>
      <c r="C195" s="69"/>
      <c r="D195" s="69"/>
      <c r="E195" s="69"/>
      <c r="F195" s="69"/>
      <c r="G195" s="70"/>
      <c r="H195" s="69"/>
      <c r="I195" s="70"/>
      <c r="J195" s="69"/>
      <c r="K195" s="69"/>
      <c r="L195" s="69"/>
      <c r="M195" s="69"/>
      <c r="N195" s="69"/>
      <c r="O195" s="69"/>
      <c r="P195" s="69"/>
      <c r="Q195" s="69"/>
      <c r="R195" s="69"/>
      <c r="S195" s="69"/>
      <c r="T195" s="69"/>
      <c r="U195" s="69"/>
      <c r="V195" s="69"/>
      <c r="W195" s="69"/>
      <c r="X195" s="69"/>
      <c r="Y195" s="106"/>
      <c r="Z195" s="69"/>
      <c r="AA195" s="69"/>
      <c r="AB195" s="69"/>
      <c r="AC195" s="69"/>
      <c r="AD195" s="69"/>
      <c r="AE195" s="69"/>
      <c r="AF195" s="69"/>
      <c r="AG195" s="69"/>
      <c r="AH195" s="69"/>
      <c r="AI195" s="69"/>
      <c r="AJ195" s="69"/>
      <c r="AK195" s="69"/>
      <c r="AL195" s="69"/>
    </row>
    <row r="196" ht="15.75" customHeight="1" spans="1:38">
      <c r="A196" s="163"/>
      <c r="B196" s="69"/>
      <c r="C196" s="69"/>
      <c r="D196" s="69"/>
      <c r="E196" s="69"/>
      <c r="F196" s="69"/>
      <c r="G196" s="70"/>
      <c r="H196" s="69"/>
      <c r="I196" s="70"/>
      <c r="J196" s="69"/>
      <c r="K196" s="69"/>
      <c r="L196" s="69"/>
      <c r="M196" s="69"/>
      <c r="N196" s="69"/>
      <c r="O196" s="69"/>
      <c r="P196" s="69"/>
      <c r="Q196" s="69"/>
      <c r="R196" s="69"/>
      <c r="S196" s="69"/>
      <c r="T196" s="69"/>
      <c r="U196" s="69"/>
      <c r="V196" s="69"/>
      <c r="W196" s="69"/>
      <c r="X196" s="69"/>
      <c r="Y196" s="106"/>
      <c r="Z196" s="69"/>
      <c r="AA196" s="69"/>
      <c r="AB196" s="69"/>
      <c r="AC196" s="69"/>
      <c r="AD196" s="69"/>
      <c r="AE196" s="69"/>
      <c r="AF196" s="69"/>
      <c r="AG196" s="69"/>
      <c r="AH196" s="69"/>
      <c r="AI196" s="69"/>
      <c r="AJ196" s="69"/>
      <c r="AK196" s="69"/>
      <c r="AL196" s="69"/>
    </row>
    <row r="197" ht="15.75" customHeight="1" spans="1:38">
      <c r="A197" s="163"/>
      <c r="B197" s="69"/>
      <c r="C197" s="69"/>
      <c r="D197" s="69"/>
      <c r="E197" s="69"/>
      <c r="F197" s="69"/>
      <c r="G197" s="70"/>
      <c r="H197" s="69"/>
      <c r="I197" s="70"/>
      <c r="J197" s="69"/>
      <c r="K197" s="69"/>
      <c r="L197" s="69"/>
      <c r="M197" s="69"/>
      <c r="N197" s="69"/>
      <c r="O197" s="69"/>
      <c r="P197" s="69"/>
      <c r="Q197" s="69"/>
      <c r="R197" s="69"/>
      <c r="S197" s="69"/>
      <c r="T197" s="69"/>
      <c r="U197" s="69"/>
      <c r="V197" s="69"/>
      <c r="W197" s="69"/>
      <c r="X197" s="69"/>
      <c r="Y197" s="106"/>
      <c r="Z197" s="69"/>
      <c r="AA197" s="69"/>
      <c r="AB197" s="69"/>
      <c r="AC197" s="69"/>
      <c r="AD197" s="69"/>
      <c r="AE197" s="69"/>
      <c r="AF197" s="69"/>
      <c r="AG197" s="69"/>
      <c r="AH197" s="69"/>
      <c r="AI197" s="69"/>
      <c r="AJ197" s="69"/>
      <c r="AK197" s="69"/>
      <c r="AL197" s="69"/>
    </row>
    <row r="198" ht="15.75" customHeight="1" spans="1:38">
      <c r="A198" s="163"/>
      <c r="B198" s="69"/>
      <c r="C198" s="69"/>
      <c r="D198" s="69"/>
      <c r="E198" s="69"/>
      <c r="F198" s="69"/>
      <c r="G198" s="70"/>
      <c r="H198" s="69"/>
      <c r="I198" s="70"/>
      <c r="J198" s="69"/>
      <c r="K198" s="69"/>
      <c r="L198" s="69"/>
      <c r="M198" s="69"/>
      <c r="N198" s="69"/>
      <c r="O198" s="69"/>
      <c r="P198" s="69"/>
      <c r="Q198" s="69"/>
      <c r="R198" s="69"/>
      <c r="S198" s="69"/>
      <c r="T198" s="69"/>
      <c r="U198" s="69"/>
      <c r="V198" s="69"/>
      <c r="W198" s="69"/>
      <c r="X198" s="69"/>
      <c r="Y198" s="106"/>
      <c r="Z198" s="69"/>
      <c r="AA198" s="69"/>
      <c r="AB198" s="69"/>
      <c r="AC198" s="69"/>
      <c r="AD198" s="69"/>
      <c r="AE198" s="69"/>
      <c r="AF198" s="69"/>
      <c r="AG198" s="69"/>
      <c r="AH198" s="69"/>
      <c r="AI198" s="69"/>
      <c r="AJ198" s="69"/>
      <c r="AK198" s="69"/>
      <c r="AL198" s="69"/>
    </row>
    <row r="199" ht="15.75" customHeight="1" spans="1:38">
      <c r="A199" s="163"/>
      <c r="B199" s="69"/>
      <c r="C199" s="69"/>
      <c r="D199" s="69"/>
      <c r="E199" s="69"/>
      <c r="F199" s="69"/>
      <c r="G199" s="70"/>
      <c r="H199" s="69"/>
      <c r="I199" s="70"/>
      <c r="J199" s="69"/>
      <c r="K199" s="69"/>
      <c r="L199" s="69"/>
      <c r="M199" s="69"/>
      <c r="N199" s="69"/>
      <c r="O199" s="69"/>
      <c r="P199" s="69"/>
      <c r="Q199" s="69"/>
      <c r="R199" s="69"/>
      <c r="S199" s="69"/>
      <c r="T199" s="69"/>
      <c r="U199" s="69"/>
      <c r="V199" s="69"/>
      <c r="W199" s="69"/>
      <c r="X199" s="69"/>
      <c r="Y199" s="106"/>
      <c r="Z199" s="69"/>
      <c r="AA199" s="69"/>
      <c r="AB199" s="69"/>
      <c r="AC199" s="69"/>
      <c r="AD199" s="69"/>
      <c r="AE199" s="69"/>
      <c r="AF199" s="69"/>
      <c r="AG199" s="69"/>
      <c r="AH199" s="69"/>
      <c r="AI199" s="69"/>
      <c r="AJ199" s="69"/>
      <c r="AK199" s="69"/>
      <c r="AL199" s="69"/>
    </row>
    <row r="200" ht="15.75" customHeight="1" spans="1:38">
      <c r="A200" s="163"/>
      <c r="B200" s="69"/>
      <c r="C200" s="69"/>
      <c r="D200" s="69"/>
      <c r="E200" s="69"/>
      <c r="F200" s="69"/>
      <c r="G200" s="70"/>
      <c r="H200" s="69"/>
      <c r="I200" s="70"/>
      <c r="J200" s="69"/>
      <c r="K200" s="69"/>
      <c r="L200" s="69"/>
      <c r="M200" s="69"/>
      <c r="N200" s="69"/>
      <c r="O200" s="69"/>
      <c r="P200" s="69"/>
      <c r="Q200" s="69"/>
      <c r="R200" s="69"/>
      <c r="S200" s="69"/>
      <c r="T200" s="69"/>
      <c r="U200" s="69"/>
      <c r="V200" s="69"/>
      <c r="W200" s="69"/>
      <c r="X200" s="69"/>
      <c r="Y200" s="106"/>
      <c r="Z200" s="69"/>
      <c r="AA200" s="69"/>
      <c r="AB200" s="69"/>
      <c r="AC200" s="69"/>
      <c r="AD200" s="69"/>
      <c r="AE200" s="69"/>
      <c r="AF200" s="69"/>
      <c r="AG200" s="69"/>
      <c r="AH200" s="69"/>
      <c r="AI200" s="69"/>
      <c r="AJ200" s="69"/>
      <c r="AK200" s="69"/>
      <c r="AL200" s="69"/>
    </row>
    <row r="201" ht="15.75" customHeight="1" spans="1:38">
      <c r="A201" s="163"/>
      <c r="B201" s="69"/>
      <c r="C201" s="69"/>
      <c r="D201" s="69"/>
      <c r="E201" s="69"/>
      <c r="F201" s="69"/>
      <c r="G201" s="70"/>
      <c r="H201" s="69"/>
      <c r="I201" s="70"/>
      <c r="J201" s="69"/>
      <c r="K201" s="69"/>
      <c r="L201" s="69"/>
      <c r="M201" s="69"/>
      <c r="N201" s="69"/>
      <c r="O201" s="69"/>
      <c r="P201" s="69"/>
      <c r="Q201" s="69"/>
      <c r="R201" s="69"/>
      <c r="S201" s="69"/>
      <c r="T201" s="69"/>
      <c r="U201" s="69"/>
      <c r="V201" s="69"/>
      <c r="W201" s="69"/>
      <c r="X201" s="69"/>
      <c r="Y201" s="106"/>
      <c r="Z201" s="69"/>
      <c r="AA201" s="69"/>
      <c r="AB201" s="69"/>
      <c r="AC201" s="69"/>
      <c r="AD201" s="69"/>
      <c r="AE201" s="69"/>
      <c r="AF201" s="69"/>
      <c r="AG201" s="69"/>
      <c r="AH201" s="69"/>
      <c r="AI201" s="69"/>
      <c r="AJ201" s="69"/>
      <c r="AK201" s="69"/>
      <c r="AL201" s="69"/>
    </row>
    <row r="202" ht="15.75" customHeight="1" spans="1:38">
      <c r="A202" s="163"/>
      <c r="B202" s="69"/>
      <c r="C202" s="69"/>
      <c r="D202" s="69"/>
      <c r="E202" s="69"/>
      <c r="F202" s="69"/>
      <c r="G202" s="70"/>
      <c r="H202" s="69"/>
      <c r="I202" s="70"/>
      <c r="J202" s="69"/>
      <c r="K202" s="69"/>
      <c r="L202" s="69"/>
      <c r="M202" s="69"/>
      <c r="N202" s="69"/>
      <c r="O202" s="69"/>
      <c r="P202" s="69"/>
      <c r="Q202" s="69"/>
      <c r="R202" s="69"/>
      <c r="S202" s="69"/>
      <c r="T202" s="69"/>
      <c r="U202" s="69"/>
      <c r="V202" s="69"/>
      <c r="W202" s="69"/>
      <c r="X202" s="69"/>
      <c r="Y202" s="106"/>
      <c r="Z202" s="69"/>
      <c r="AA202" s="69"/>
      <c r="AB202" s="69"/>
      <c r="AC202" s="69"/>
      <c r="AD202" s="69"/>
      <c r="AE202" s="69"/>
      <c r="AF202" s="69"/>
      <c r="AG202" s="69"/>
      <c r="AH202" s="69"/>
      <c r="AI202" s="69"/>
      <c r="AJ202" s="69"/>
      <c r="AK202" s="69"/>
      <c r="AL202" s="69"/>
    </row>
    <row r="203" ht="15.75" customHeight="1" spans="1:38">
      <c r="A203" s="163"/>
      <c r="B203" s="69"/>
      <c r="C203" s="69"/>
      <c r="D203" s="69"/>
      <c r="E203" s="69"/>
      <c r="F203" s="69"/>
      <c r="G203" s="70"/>
      <c r="H203" s="69"/>
      <c r="I203" s="70"/>
      <c r="J203" s="69"/>
      <c r="K203" s="69"/>
      <c r="L203" s="69"/>
      <c r="M203" s="69"/>
      <c r="N203" s="69"/>
      <c r="O203" s="69"/>
      <c r="P203" s="69"/>
      <c r="Q203" s="69"/>
      <c r="R203" s="69"/>
      <c r="S203" s="69"/>
      <c r="T203" s="69"/>
      <c r="U203" s="69"/>
      <c r="V203" s="69"/>
      <c r="W203" s="69"/>
      <c r="X203" s="69"/>
      <c r="Y203" s="106"/>
      <c r="Z203" s="69"/>
      <c r="AA203" s="69"/>
      <c r="AB203" s="69"/>
      <c r="AC203" s="69"/>
      <c r="AD203" s="69"/>
      <c r="AE203" s="69"/>
      <c r="AF203" s="69"/>
      <c r="AG203" s="69"/>
      <c r="AH203" s="69"/>
      <c r="AI203" s="69"/>
      <c r="AJ203" s="69"/>
      <c r="AK203" s="69"/>
      <c r="AL203" s="69"/>
    </row>
    <row r="204" ht="15.75" customHeight="1" spans="1:38">
      <c r="A204" s="163"/>
      <c r="B204" s="69"/>
      <c r="C204" s="69"/>
      <c r="D204" s="69"/>
      <c r="E204" s="69"/>
      <c r="F204" s="69"/>
      <c r="G204" s="70"/>
      <c r="H204" s="69"/>
      <c r="I204" s="70"/>
      <c r="J204" s="69"/>
      <c r="K204" s="69"/>
      <c r="L204" s="69"/>
      <c r="M204" s="69"/>
      <c r="N204" s="69"/>
      <c r="O204" s="69"/>
      <c r="P204" s="69"/>
      <c r="Q204" s="69"/>
      <c r="R204" s="69"/>
      <c r="S204" s="69"/>
      <c r="T204" s="69"/>
      <c r="U204" s="69"/>
      <c r="V204" s="69"/>
      <c r="W204" s="69"/>
      <c r="X204" s="69"/>
      <c r="Y204" s="106"/>
      <c r="Z204" s="69"/>
      <c r="AA204" s="69"/>
      <c r="AB204" s="69"/>
      <c r="AC204" s="69"/>
      <c r="AD204" s="69"/>
      <c r="AE204" s="69"/>
      <c r="AF204" s="69"/>
      <c r="AG204" s="69"/>
      <c r="AH204" s="69"/>
      <c r="AI204" s="69"/>
      <c r="AJ204" s="69"/>
      <c r="AK204" s="69"/>
      <c r="AL204" s="69"/>
    </row>
    <row r="205" ht="15.75" customHeight="1" spans="1:38">
      <c r="A205" s="163"/>
      <c r="B205" s="69"/>
      <c r="C205" s="69"/>
      <c r="D205" s="69"/>
      <c r="E205" s="69"/>
      <c r="F205" s="69"/>
      <c r="G205" s="70"/>
      <c r="H205" s="69"/>
      <c r="I205" s="70"/>
      <c r="J205" s="69"/>
      <c r="K205" s="69"/>
      <c r="L205" s="69"/>
      <c r="M205" s="69"/>
      <c r="N205" s="69"/>
      <c r="O205" s="69"/>
      <c r="P205" s="69"/>
      <c r="Q205" s="69"/>
      <c r="R205" s="69"/>
      <c r="S205" s="69"/>
      <c r="T205" s="69"/>
      <c r="U205" s="69"/>
      <c r="V205" s="69"/>
      <c r="W205" s="69"/>
      <c r="X205" s="69"/>
      <c r="Y205" s="106"/>
      <c r="Z205" s="69"/>
      <c r="AA205" s="69"/>
      <c r="AB205" s="69"/>
      <c r="AC205" s="69"/>
      <c r="AD205" s="69"/>
      <c r="AE205" s="69"/>
      <c r="AF205" s="69"/>
      <c r="AG205" s="69"/>
      <c r="AH205" s="69"/>
      <c r="AI205" s="69"/>
      <c r="AJ205" s="69"/>
      <c r="AK205" s="69"/>
      <c r="AL205" s="69"/>
    </row>
    <row r="206" ht="15.75" customHeight="1" spans="1:38">
      <c r="A206" s="163"/>
      <c r="B206" s="69"/>
      <c r="C206" s="69"/>
      <c r="D206" s="69"/>
      <c r="E206" s="69"/>
      <c r="F206" s="69"/>
      <c r="G206" s="70"/>
      <c r="H206" s="69"/>
      <c r="I206" s="70"/>
      <c r="J206" s="69"/>
      <c r="K206" s="69"/>
      <c r="L206" s="69"/>
      <c r="M206" s="69"/>
      <c r="N206" s="69"/>
      <c r="O206" s="69"/>
      <c r="P206" s="69"/>
      <c r="Q206" s="69"/>
      <c r="R206" s="69"/>
      <c r="S206" s="69"/>
      <c r="T206" s="69"/>
      <c r="U206" s="69"/>
      <c r="V206" s="69"/>
      <c r="W206" s="69"/>
      <c r="X206" s="69"/>
      <c r="Y206" s="106"/>
      <c r="Z206" s="69"/>
      <c r="AA206" s="69"/>
      <c r="AB206" s="69"/>
      <c r="AC206" s="69"/>
      <c r="AD206" s="69"/>
      <c r="AE206" s="69"/>
      <c r="AF206" s="69"/>
      <c r="AG206" s="69"/>
      <c r="AH206" s="69"/>
      <c r="AI206" s="69"/>
      <c r="AJ206" s="69"/>
      <c r="AK206" s="69"/>
      <c r="AL206" s="69"/>
    </row>
    <row r="207" ht="15.75" customHeight="1" spans="1:38">
      <c r="A207" s="163"/>
      <c r="B207" s="69"/>
      <c r="C207" s="69"/>
      <c r="D207" s="69"/>
      <c r="E207" s="69"/>
      <c r="F207" s="69"/>
      <c r="G207" s="70"/>
      <c r="H207" s="69"/>
      <c r="I207" s="70"/>
      <c r="J207" s="69"/>
      <c r="K207" s="69"/>
      <c r="L207" s="69"/>
      <c r="M207" s="69"/>
      <c r="N207" s="69"/>
      <c r="O207" s="69"/>
      <c r="P207" s="69"/>
      <c r="Q207" s="69"/>
      <c r="R207" s="69"/>
      <c r="S207" s="69"/>
      <c r="T207" s="69"/>
      <c r="U207" s="69"/>
      <c r="V207" s="69"/>
      <c r="W207" s="69"/>
      <c r="X207" s="69"/>
      <c r="Y207" s="106"/>
      <c r="Z207" s="69"/>
      <c r="AA207" s="69"/>
      <c r="AB207" s="69"/>
      <c r="AC207" s="69"/>
      <c r="AD207" s="69"/>
      <c r="AE207" s="69"/>
      <c r="AF207" s="69"/>
      <c r="AG207" s="69"/>
      <c r="AH207" s="69"/>
      <c r="AI207" s="69"/>
      <c r="AJ207" s="69"/>
      <c r="AK207" s="69"/>
      <c r="AL207" s="69"/>
    </row>
    <row r="208" ht="15.75" customHeight="1" spans="1:38">
      <c r="A208" s="163"/>
      <c r="B208" s="69"/>
      <c r="C208" s="69"/>
      <c r="D208" s="69"/>
      <c r="E208" s="69"/>
      <c r="F208" s="69"/>
      <c r="G208" s="70"/>
      <c r="H208" s="69"/>
      <c r="I208" s="70"/>
      <c r="J208" s="69"/>
      <c r="K208" s="69"/>
      <c r="L208" s="69"/>
      <c r="M208" s="69"/>
      <c r="N208" s="69"/>
      <c r="O208" s="69"/>
      <c r="P208" s="69"/>
      <c r="Q208" s="69"/>
      <c r="R208" s="69"/>
      <c r="S208" s="69"/>
      <c r="T208" s="69"/>
      <c r="U208" s="69"/>
      <c r="V208" s="69"/>
      <c r="W208" s="69"/>
      <c r="X208" s="69"/>
      <c r="Y208" s="106"/>
      <c r="Z208" s="69"/>
      <c r="AA208" s="69"/>
      <c r="AB208" s="69"/>
      <c r="AC208" s="69"/>
      <c r="AD208" s="69"/>
      <c r="AE208" s="69"/>
      <c r="AF208" s="69"/>
      <c r="AG208" s="69"/>
      <c r="AH208" s="69"/>
      <c r="AI208" s="69"/>
      <c r="AJ208" s="69"/>
      <c r="AK208" s="69"/>
      <c r="AL208" s="69"/>
    </row>
    <row r="209" ht="15.75" customHeight="1" spans="1:38">
      <c r="A209" s="163"/>
      <c r="B209" s="69"/>
      <c r="C209" s="69"/>
      <c r="D209" s="69"/>
      <c r="E209" s="69"/>
      <c r="F209" s="69"/>
      <c r="G209" s="70"/>
      <c r="H209" s="69"/>
      <c r="I209" s="70"/>
      <c r="J209" s="69"/>
      <c r="K209" s="69"/>
      <c r="L209" s="69"/>
      <c r="M209" s="69"/>
      <c r="N209" s="69"/>
      <c r="O209" s="69"/>
      <c r="P209" s="69"/>
      <c r="Q209" s="69"/>
      <c r="R209" s="69"/>
      <c r="S209" s="69"/>
      <c r="T209" s="69"/>
      <c r="U209" s="69"/>
      <c r="V209" s="69"/>
      <c r="W209" s="69"/>
      <c r="X209" s="69"/>
      <c r="Y209" s="106"/>
      <c r="Z209" s="69"/>
      <c r="AA209" s="69"/>
      <c r="AB209" s="69"/>
      <c r="AC209" s="69"/>
      <c r="AD209" s="69"/>
      <c r="AE209" s="69"/>
      <c r="AF209" s="69"/>
      <c r="AG209" s="69"/>
      <c r="AH209" s="69"/>
      <c r="AI209" s="69"/>
      <c r="AJ209" s="69"/>
      <c r="AK209" s="69"/>
      <c r="AL209" s="69"/>
    </row>
    <row r="210" ht="15.75" customHeight="1" spans="1:38">
      <c r="A210" s="163"/>
      <c r="B210" s="69"/>
      <c r="C210" s="69"/>
      <c r="D210" s="69"/>
      <c r="E210" s="69"/>
      <c r="F210" s="69"/>
      <c r="G210" s="70"/>
      <c r="H210" s="69"/>
      <c r="I210" s="70"/>
      <c r="J210" s="69"/>
      <c r="K210" s="69"/>
      <c r="L210" s="69"/>
      <c r="M210" s="69"/>
      <c r="N210" s="69"/>
      <c r="O210" s="69"/>
      <c r="P210" s="69"/>
      <c r="Q210" s="69"/>
      <c r="R210" s="69"/>
      <c r="S210" s="69"/>
      <c r="T210" s="69"/>
      <c r="U210" s="69"/>
      <c r="V210" s="69"/>
      <c r="W210" s="69"/>
      <c r="X210" s="69"/>
      <c r="Y210" s="106"/>
      <c r="Z210" s="69"/>
      <c r="AA210" s="69"/>
      <c r="AB210" s="69"/>
      <c r="AC210" s="69"/>
      <c r="AD210" s="69"/>
      <c r="AE210" s="69"/>
      <c r="AF210" s="69"/>
      <c r="AG210" s="69"/>
      <c r="AH210" s="69"/>
      <c r="AI210" s="69"/>
      <c r="AJ210" s="69"/>
      <c r="AK210" s="69"/>
      <c r="AL210" s="69"/>
    </row>
    <row r="211" ht="15.75" customHeight="1" spans="1:38">
      <c r="A211" s="163"/>
      <c r="B211" s="69"/>
      <c r="C211" s="69"/>
      <c r="D211" s="69"/>
      <c r="E211" s="69"/>
      <c r="F211" s="69"/>
      <c r="G211" s="70"/>
      <c r="H211" s="69"/>
      <c r="I211" s="70"/>
      <c r="J211" s="69"/>
      <c r="K211" s="69"/>
      <c r="L211" s="69"/>
      <c r="M211" s="69"/>
      <c r="N211" s="69"/>
      <c r="O211" s="69"/>
      <c r="P211" s="69"/>
      <c r="Q211" s="69"/>
      <c r="R211" s="69"/>
      <c r="S211" s="69"/>
      <c r="T211" s="69"/>
      <c r="U211" s="69"/>
      <c r="V211" s="69"/>
      <c r="W211" s="69"/>
      <c r="X211" s="69"/>
      <c r="Y211" s="106"/>
      <c r="Z211" s="69"/>
      <c r="AA211" s="69"/>
      <c r="AB211" s="69"/>
      <c r="AC211" s="69"/>
      <c r="AD211" s="69"/>
      <c r="AE211" s="69"/>
      <c r="AF211" s="69"/>
      <c r="AG211" s="69"/>
      <c r="AH211" s="69"/>
      <c r="AI211" s="69"/>
      <c r="AJ211" s="69"/>
      <c r="AK211" s="69"/>
      <c r="AL211" s="69"/>
    </row>
    <row r="212" ht="15.75" customHeight="1" spans="1:38">
      <c r="A212" s="163"/>
      <c r="B212" s="69"/>
      <c r="C212" s="69"/>
      <c r="D212" s="69"/>
      <c r="E212" s="69"/>
      <c r="F212" s="69"/>
      <c r="G212" s="70"/>
      <c r="H212" s="69"/>
      <c r="I212" s="70"/>
      <c r="J212" s="69"/>
      <c r="K212" s="69"/>
      <c r="L212" s="69"/>
      <c r="M212" s="69"/>
      <c r="N212" s="69"/>
      <c r="O212" s="69"/>
      <c r="P212" s="69"/>
      <c r="Q212" s="69"/>
      <c r="R212" s="69"/>
      <c r="S212" s="69"/>
      <c r="T212" s="69"/>
      <c r="U212" s="69"/>
      <c r="V212" s="69"/>
      <c r="W212" s="69"/>
      <c r="X212" s="69"/>
      <c r="Y212" s="106"/>
      <c r="Z212" s="69"/>
      <c r="AA212" s="69"/>
      <c r="AB212" s="69"/>
      <c r="AC212" s="69"/>
      <c r="AD212" s="69"/>
      <c r="AE212" s="69"/>
      <c r="AF212" s="69"/>
      <c r="AG212" s="69"/>
      <c r="AH212" s="69"/>
      <c r="AI212" s="69"/>
      <c r="AJ212" s="69"/>
      <c r="AK212" s="69"/>
      <c r="AL212" s="69"/>
    </row>
    <row r="213" ht="15.75" customHeight="1" spans="1:38">
      <c r="A213" s="163"/>
      <c r="B213" s="69"/>
      <c r="C213" s="69"/>
      <c r="D213" s="69"/>
      <c r="E213" s="69"/>
      <c r="F213" s="69"/>
      <c r="G213" s="70"/>
      <c r="H213" s="69"/>
      <c r="I213" s="70"/>
      <c r="J213" s="69"/>
      <c r="K213" s="69"/>
      <c r="L213" s="69"/>
      <c r="M213" s="69"/>
      <c r="N213" s="69"/>
      <c r="O213" s="69"/>
      <c r="P213" s="69"/>
      <c r="Q213" s="69"/>
      <c r="R213" s="69"/>
      <c r="S213" s="69"/>
      <c r="T213" s="69"/>
      <c r="U213" s="69"/>
      <c r="V213" s="69"/>
      <c r="W213" s="69"/>
      <c r="X213" s="69"/>
      <c r="Y213" s="106"/>
      <c r="Z213" s="69"/>
      <c r="AA213" s="69"/>
      <c r="AB213" s="69"/>
      <c r="AC213" s="69"/>
      <c r="AD213" s="69"/>
      <c r="AE213" s="69"/>
      <c r="AF213" s="69"/>
      <c r="AG213" s="69"/>
      <c r="AH213" s="69"/>
      <c r="AI213" s="69"/>
      <c r="AJ213" s="69"/>
      <c r="AK213" s="69"/>
      <c r="AL213" s="69"/>
    </row>
    <row r="214" ht="15.75" customHeight="1" spans="1:38">
      <c r="A214" s="163"/>
      <c r="B214" s="69"/>
      <c r="C214" s="69"/>
      <c r="D214" s="69"/>
      <c r="E214" s="69"/>
      <c r="F214" s="69"/>
      <c r="G214" s="70"/>
      <c r="H214" s="69"/>
      <c r="I214" s="70"/>
      <c r="J214" s="69"/>
      <c r="K214" s="69"/>
      <c r="L214" s="69"/>
      <c r="M214" s="69"/>
      <c r="N214" s="69"/>
      <c r="O214" s="69"/>
      <c r="P214" s="69"/>
      <c r="Q214" s="69"/>
      <c r="R214" s="69"/>
      <c r="S214" s="69"/>
      <c r="T214" s="69"/>
      <c r="U214" s="69"/>
      <c r="V214" s="69"/>
      <c r="W214" s="69"/>
      <c r="X214" s="69"/>
      <c r="Y214" s="106"/>
      <c r="Z214" s="69"/>
      <c r="AA214" s="69"/>
      <c r="AB214" s="69"/>
      <c r="AC214" s="69"/>
      <c r="AD214" s="69"/>
      <c r="AE214" s="69"/>
      <c r="AF214" s="69"/>
      <c r="AG214" s="69"/>
      <c r="AH214" s="69"/>
      <c r="AI214" s="69"/>
      <c r="AJ214" s="69"/>
      <c r="AK214" s="69"/>
      <c r="AL214" s="69"/>
    </row>
    <row r="215" ht="15.75" customHeight="1" spans="1:38">
      <c r="A215" s="163"/>
      <c r="B215" s="69"/>
      <c r="C215" s="69"/>
      <c r="D215" s="69"/>
      <c r="E215" s="69"/>
      <c r="F215" s="69"/>
      <c r="G215" s="70"/>
      <c r="H215" s="69"/>
      <c r="I215" s="70"/>
      <c r="J215" s="69"/>
      <c r="K215" s="69"/>
      <c r="L215" s="69"/>
      <c r="M215" s="69"/>
      <c r="N215" s="69"/>
      <c r="O215" s="69"/>
      <c r="P215" s="69"/>
      <c r="Q215" s="69"/>
      <c r="R215" s="69"/>
      <c r="S215" s="69"/>
      <c r="T215" s="69"/>
      <c r="U215" s="69"/>
      <c r="V215" s="69"/>
      <c r="W215" s="69"/>
      <c r="X215" s="69"/>
      <c r="Y215" s="106"/>
      <c r="Z215" s="69"/>
      <c r="AA215" s="69"/>
      <c r="AB215" s="69"/>
      <c r="AC215" s="69"/>
      <c r="AD215" s="69"/>
      <c r="AE215" s="69"/>
      <c r="AF215" s="69"/>
      <c r="AG215" s="69"/>
      <c r="AH215" s="69"/>
      <c r="AI215" s="69"/>
      <c r="AJ215" s="69"/>
      <c r="AK215" s="69"/>
      <c r="AL215" s="69"/>
    </row>
    <row r="216" ht="15.75" customHeight="1" spans="1:38">
      <c r="A216" s="163"/>
      <c r="B216" s="69"/>
      <c r="C216" s="69"/>
      <c r="D216" s="69"/>
      <c r="E216" s="69"/>
      <c r="F216" s="69"/>
      <c r="G216" s="70"/>
      <c r="H216" s="69"/>
      <c r="I216" s="70"/>
      <c r="J216" s="69"/>
      <c r="K216" s="69"/>
      <c r="L216" s="69"/>
      <c r="M216" s="69"/>
      <c r="N216" s="69"/>
      <c r="O216" s="69"/>
      <c r="P216" s="69"/>
      <c r="Q216" s="69"/>
      <c r="R216" s="69"/>
      <c r="S216" s="69"/>
      <c r="T216" s="69"/>
      <c r="U216" s="69"/>
      <c r="V216" s="69"/>
      <c r="W216" s="69"/>
      <c r="X216" s="69"/>
      <c r="Y216" s="106"/>
      <c r="Z216" s="69"/>
      <c r="AA216" s="69"/>
      <c r="AB216" s="69"/>
      <c r="AC216" s="69"/>
      <c r="AD216" s="69"/>
      <c r="AE216" s="69"/>
      <c r="AF216" s="69"/>
      <c r="AG216" s="69"/>
      <c r="AH216" s="69"/>
      <c r="AI216" s="69"/>
      <c r="AJ216" s="69"/>
      <c r="AK216" s="69"/>
      <c r="AL216" s="69"/>
    </row>
    <row r="217" ht="15.75" customHeight="1" spans="1:38">
      <c r="A217" s="163"/>
      <c r="B217" s="69"/>
      <c r="C217" s="69"/>
      <c r="D217" s="69"/>
      <c r="E217" s="69"/>
      <c r="F217" s="69"/>
      <c r="G217" s="70"/>
      <c r="H217" s="69"/>
      <c r="I217" s="70"/>
      <c r="J217" s="69"/>
      <c r="K217" s="69"/>
      <c r="L217" s="69"/>
      <c r="M217" s="69"/>
      <c r="N217" s="69"/>
      <c r="O217" s="69"/>
      <c r="P217" s="69"/>
      <c r="Q217" s="69"/>
      <c r="R217" s="69"/>
      <c r="S217" s="69"/>
      <c r="T217" s="69"/>
      <c r="U217" s="69"/>
      <c r="V217" s="69"/>
      <c r="W217" s="69"/>
      <c r="X217" s="69"/>
      <c r="Y217" s="106"/>
      <c r="Z217" s="69"/>
      <c r="AA217" s="69"/>
      <c r="AB217" s="69"/>
      <c r="AC217" s="69"/>
      <c r="AD217" s="69"/>
      <c r="AE217" s="69"/>
      <c r="AF217" s="69"/>
      <c r="AG217" s="69"/>
      <c r="AH217" s="69"/>
      <c r="AI217" s="69"/>
      <c r="AJ217" s="69"/>
      <c r="AK217" s="69"/>
      <c r="AL217" s="69"/>
    </row>
    <row r="218" ht="15.75" customHeight="1" spans="1:38">
      <c r="A218" s="163"/>
      <c r="B218" s="69"/>
      <c r="C218" s="69"/>
      <c r="D218" s="69"/>
      <c r="E218" s="69"/>
      <c r="F218" s="69"/>
      <c r="G218" s="70"/>
      <c r="H218" s="69"/>
      <c r="I218" s="70"/>
      <c r="J218" s="69"/>
      <c r="K218" s="69"/>
      <c r="L218" s="69"/>
      <c r="M218" s="69"/>
      <c r="N218" s="69"/>
      <c r="O218" s="69"/>
      <c r="P218" s="69"/>
      <c r="Q218" s="69"/>
      <c r="R218" s="69"/>
      <c r="S218" s="69"/>
      <c r="T218" s="69"/>
      <c r="U218" s="69"/>
      <c r="V218" s="69"/>
      <c r="W218" s="69"/>
      <c r="X218" s="69"/>
      <c r="Y218" s="106"/>
      <c r="Z218" s="69"/>
      <c r="AA218" s="69"/>
      <c r="AB218" s="69"/>
      <c r="AC218" s="69"/>
      <c r="AD218" s="69"/>
      <c r="AE218" s="69"/>
      <c r="AF218" s="69"/>
      <c r="AG218" s="69"/>
      <c r="AH218" s="69"/>
      <c r="AI218" s="69"/>
      <c r="AJ218" s="69"/>
      <c r="AK218" s="69"/>
      <c r="AL218" s="69"/>
    </row>
    <row r="219" ht="15.75" customHeight="1" spans="1:38">
      <c r="A219" s="163"/>
      <c r="B219" s="69"/>
      <c r="C219" s="69"/>
      <c r="D219" s="69"/>
      <c r="E219" s="69"/>
      <c r="F219" s="69"/>
      <c r="G219" s="70"/>
      <c r="H219" s="69"/>
      <c r="I219" s="70"/>
      <c r="J219" s="69"/>
      <c r="K219" s="69"/>
      <c r="L219" s="69"/>
      <c r="M219" s="69"/>
      <c r="N219" s="69"/>
      <c r="O219" s="69"/>
      <c r="P219" s="69"/>
      <c r="Q219" s="69"/>
      <c r="R219" s="69"/>
      <c r="S219" s="69"/>
      <c r="T219" s="69"/>
      <c r="U219" s="69"/>
      <c r="V219" s="69"/>
      <c r="W219" s="69"/>
      <c r="X219" s="69"/>
      <c r="Y219" s="106"/>
      <c r="Z219" s="69"/>
      <c r="AA219" s="69"/>
      <c r="AB219" s="69"/>
      <c r="AC219" s="69"/>
      <c r="AD219" s="69"/>
      <c r="AE219" s="69"/>
      <c r="AF219" s="69"/>
      <c r="AG219" s="69"/>
      <c r="AH219" s="69"/>
      <c r="AI219" s="69"/>
      <c r="AJ219" s="69"/>
      <c r="AK219" s="69"/>
      <c r="AL219" s="69"/>
    </row>
    <row r="220" ht="15.75" customHeight="1" spans="1:38">
      <c r="A220" s="163"/>
      <c r="B220" s="69"/>
      <c r="C220" s="69"/>
      <c r="D220" s="69"/>
      <c r="E220" s="69"/>
      <c r="F220" s="69"/>
      <c r="G220" s="70"/>
      <c r="H220" s="69"/>
      <c r="I220" s="70"/>
      <c r="J220" s="69"/>
      <c r="K220" s="69"/>
      <c r="L220" s="69"/>
      <c r="M220" s="69"/>
      <c r="N220" s="69"/>
      <c r="O220" s="69"/>
      <c r="P220" s="69"/>
      <c r="Q220" s="69"/>
      <c r="R220" s="69"/>
      <c r="S220" s="69"/>
      <c r="T220" s="69"/>
      <c r="U220" s="69"/>
      <c r="V220" s="69"/>
      <c r="W220" s="69"/>
      <c r="X220" s="69"/>
      <c r="Y220" s="106"/>
      <c r="Z220" s="69"/>
      <c r="AA220" s="69"/>
      <c r="AB220" s="69"/>
      <c r="AC220" s="69"/>
      <c r="AD220" s="69"/>
      <c r="AE220" s="69"/>
      <c r="AF220" s="69"/>
      <c r="AG220" s="69"/>
      <c r="AH220" s="69"/>
      <c r="AI220" s="69"/>
      <c r="AJ220" s="69"/>
      <c r="AK220" s="69"/>
      <c r="AL220" s="69"/>
    </row>
    <row r="221" ht="15.75" customHeight="1" spans="1:38">
      <c r="A221" s="163"/>
      <c r="B221" s="69"/>
      <c r="C221" s="69"/>
      <c r="D221" s="69"/>
      <c r="E221" s="69"/>
      <c r="F221" s="69"/>
      <c r="G221" s="70"/>
      <c r="H221" s="69"/>
      <c r="I221" s="70"/>
      <c r="J221" s="69"/>
      <c r="K221" s="69"/>
      <c r="L221" s="69"/>
      <c r="M221" s="69"/>
      <c r="N221" s="69"/>
      <c r="O221" s="69"/>
      <c r="P221" s="69"/>
      <c r="Q221" s="69"/>
      <c r="R221" s="69"/>
      <c r="S221" s="69"/>
      <c r="T221" s="69"/>
      <c r="U221" s="69"/>
      <c r="V221" s="69"/>
      <c r="W221" s="69"/>
      <c r="X221" s="69"/>
      <c r="Y221" s="106"/>
      <c r="Z221" s="69"/>
      <c r="AA221" s="69"/>
      <c r="AB221" s="69"/>
      <c r="AC221" s="69"/>
      <c r="AD221" s="69"/>
      <c r="AE221" s="69"/>
      <c r="AF221" s="69"/>
      <c r="AG221" s="69"/>
      <c r="AH221" s="69"/>
      <c r="AI221" s="69"/>
      <c r="AJ221" s="69"/>
      <c r="AK221" s="69"/>
      <c r="AL221" s="69"/>
    </row>
    <row r="222" ht="15.75" customHeight="1" spans="1:38">
      <c r="A222" s="163"/>
      <c r="B222" s="69"/>
      <c r="C222" s="69"/>
      <c r="D222" s="69"/>
      <c r="E222" s="69"/>
      <c r="F222" s="69"/>
      <c r="G222" s="70"/>
      <c r="H222" s="69"/>
      <c r="I222" s="70"/>
      <c r="J222" s="69"/>
      <c r="K222" s="69"/>
      <c r="L222" s="69"/>
      <c r="M222" s="69"/>
      <c r="N222" s="69"/>
      <c r="O222" s="69"/>
      <c r="P222" s="69"/>
      <c r="Q222" s="69"/>
      <c r="R222" s="69"/>
      <c r="S222" s="69"/>
      <c r="T222" s="69"/>
      <c r="U222" s="69"/>
      <c r="V222" s="69"/>
      <c r="W222" s="69"/>
      <c r="X222" s="69"/>
      <c r="Y222" s="106"/>
      <c r="Z222" s="69"/>
      <c r="AA222" s="69"/>
      <c r="AB222" s="69"/>
      <c r="AC222" s="69"/>
      <c r="AD222" s="69"/>
      <c r="AE222" s="69"/>
      <c r="AF222" s="69"/>
      <c r="AG222" s="69"/>
      <c r="AH222" s="69"/>
      <c r="AI222" s="69"/>
      <c r="AJ222" s="69"/>
      <c r="AK222" s="69"/>
      <c r="AL222" s="69"/>
    </row>
    <row r="223" ht="15.75" customHeight="1" spans="1:38">
      <c r="A223" s="163"/>
      <c r="B223" s="69"/>
      <c r="C223" s="69"/>
      <c r="D223" s="69"/>
      <c r="E223" s="69"/>
      <c r="F223" s="69"/>
      <c r="G223" s="70"/>
      <c r="H223" s="69"/>
      <c r="I223" s="70"/>
      <c r="J223" s="69"/>
      <c r="K223" s="69"/>
      <c r="L223" s="69"/>
      <c r="M223" s="69"/>
      <c r="N223" s="69"/>
      <c r="O223" s="69"/>
      <c r="P223" s="69"/>
      <c r="Q223" s="69"/>
      <c r="R223" s="69"/>
      <c r="S223" s="69"/>
      <c r="T223" s="69"/>
      <c r="U223" s="69"/>
      <c r="V223" s="69"/>
      <c r="W223" s="69"/>
      <c r="X223" s="69"/>
      <c r="Y223" s="106"/>
      <c r="Z223" s="69"/>
      <c r="AA223" s="69"/>
      <c r="AB223" s="69"/>
      <c r="AC223" s="69"/>
      <c r="AD223" s="69"/>
      <c r="AE223" s="69"/>
      <c r="AF223" s="69"/>
      <c r="AG223" s="69"/>
      <c r="AH223" s="69"/>
      <c r="AI223" s="69"/>
      <c r="AJ223" s="69"/>
      <c r="AK223" s="69"/>
      <c r="AL223" s="69"/>
    </row>
    <row r="224" ht="15.75" customHeight="1" spans="1:38">
      <c r="A224" s="163"/>
      <c r="B224" s="69"/>
      <c r="C224" s="69"/>
      <c r="D224" s="69"/>
      <c r="E224" s="69"/>
      <c r="F224" s="69"/>
      <c r="G224" s="70"/>
      <c r="H224" s="69"/>
      <c r="I224" s="70"/>
      <c r="J224" s="69"/>
      <c r="K224" s="69"/>
      <c r="L224" s="69"/>
      <c r="M224" s="69"/>
      <c r="N224" s="69"/>
      <c r="O224" s="69"/>
      <c r="P224" s="69"/>
      <c r="Q224" s="69"/>
      <c r="R224" s="69"/>
      <c r="S224" s="69"/>
      <c r="T224" s="69"/>
      <c r="U224" s="69"/>
      <c r="V224" s="69"/>
      <c r="W224" s="69"/>
      <c r="X224" s="69"/>
      <c r="Y224" s="106"/>
      <c r="Z224" s="69"/>
      <c r="AA224" s="69"/>
      <c r="AB224" s="69"/>
      <c r="AC224" s="69"/>
      <c r="AD224" s="69"/>
      <c r="AE224" s="69"/>
      <c r="AF224" s="69"/>
      <c r="AG224" s="69"/>
      <c r="AH224" s="69"/>
      <c r="AI224" s="69"/>
      <c r="AJ224" s="69"/>
      <c r="AK224" s="69"/>
      <c r="AL224" s="69"/>
    </row>
    <row r="225" ht="15.75" customHeight="1" spans="1:38">
      <c r="A225" s="163"/>
      <c r="B225" s="69"/>
      <c r="C225" s="69"/>
      <c r="D225" s="69"/>
      <c r="E225" s="69"/>
      <c r="F225" s="69"/>
      <c r="G225" s="70"/>
      <c r="H225" s="69"/>
      <c r="I225" s="70"/>
      <c r="J225" s="69"/>
      <c r="K225" s="69"/>
      <c r="L225" s="69"/>
      <c r="M225" s="69"/>
      <c r="N225" s="69"/>
      <c r="O225" s="69"/>
      <c r="P225" s="69"/>
      <c r="Q225" s="69"/>
      <c r="R225" s="69"/>
      <c r="S225" s="69"/>
      <c r="T225" s="69"/>
      <c r="U225" s="69"/>
      <c r="V225" s="69"/>
      <c r="W225" s="69"/>
      <c r="X225" s="69"/>
      <c r="Y225" s="106"/>
      <c r="Z225" s="69"/>
      <c r="AA225" s="69"/>
      <c r="AB225" s="69"/>
      <c r="AC225" s="69"/>
      <c r="AD225" s="69"/>
      <c r="AE225" s="69"/>
      <c r="AF225" s="69"/>
      <c r="AG225" s="69"/>
      <c r="AH225" s="69"/>
      <c r="AI225" s="69"/>
      <c r="AJ225" s="69"/>
      <c r="AK225" s="69"/>
      <c r="AL225" s="69"/>
    </row>
    <row r="226" ht="15.75" customHeight="1" spans="1:38">
      <c r="A226" s="163"/>
      <c r="B226" s="69"/>
      <c r="C226" s="69"/>
      <c r="D226" s="69"/>
      <c r="E226" s="69"/>
      <c r="F226" s="69"/>
      <c r="G226" s="70"/>
      <c r="H226" s="69"/>
      <c r="I226" s="70"/>
      <c r="J226" s="69"/>
      <c r="K226" s="69"/>
      <c r="L226" s="69"/>
      <c r="M226" s="69"/>
      <c r="N226" s="69"/>
      <c r="O226" s="69"/>
      <c r="P226" s="69"/>
      <c r="Q226" s="69"/>
      <c r="R226" s="69"/>
      <c r="S226" s="69"/>
      <c r="T226" s="69"/>
      <c r="U226" s="69"/>
      <c r="V226" s="69"/>
      <c r="W226" s="69"/>
      <c r="X226" s="69"/>
      <c r="Y226" s="106"/>
      <c r="Z226" s="69"/>
      <c r="AA226" s="69"/>
      <c r="AB226" s="69"/>
      <c r="AC226" s="69"/>
      <c r="AD226" s="69"/>
      <c r="AE226" s="69"/>
      <c r="AF226" s="69"/>
      <c r="AG226" s="69"/>
      <c r="AH226" s="69"/>
      <c r="AI226" s="69"/>
      <c r="AJ226" s="69"/>
      <c r="AK226" s="69"/>
      <c r="AL226" s="69"/>
    </row>
    <row r="227" ht="15.75" customHeight="1" spans="1:38">
      <c r="A227" s="163"/>
      <c r="B227" s="69"/>
      <c r="C227" s="69"/>
      <c r="D227" s="69"/>
      <c r="E227" s="69"/>
      <c r="F227" s="69"/>
      <c r="G227" s="70"/>
      <c r="H227" s="69"/>
      <c r="I227" s="70"/>
      <c r="J227" s="69"/>
      <c r="K227" s="69"/>
      <c r="L227" s="69"/>
      <c r="M227" s="69"/>
      <c r="N227" s="69"/>
      <c r="O227" s="69"/>
      <c r="P227" s="69"/>
      <c r="Q227" s="69"/>
      <c r="R227" s="69"/>
      <c r="S227" s="69"/>
      <c r="T227" s="69"/>
      <c r="U227" s="69"/>
      <c r="V227" s="69"/>
      <c r="W227" s="69"/>
      <c r="X227" s="69"/>
      <c r="Y227" s="106"/>
      <c r="Z227" s="69"/>
      <c r="AA227" s="69"/>
      <c r="AB227" s="69"/>
      <c r="AC227" s="69"/>
      <c r="AD227" s="69"/>
      <c r="AE227" s="69"/>
      <c r="AF227" s="69"/>
      <c r="AG227" s="69"/>
      <c r="AH227" s="69"/>
      <c r="AI227" s="69"/>
      <c r="AJ227" s="69"/>
      <c r="AK227" s="69"/>
      <c r="AL227" s="69"/>
    </row>
    <row r="228" ht="15.75" customHeight="1" spans="1:38">
      <c r="A228" s="163"/>
      <c r="B228" s="69"/>
      <c r="C228" s="69"/>
      <c r="D228" s="69"/>
      <c r="E228" s="69"/>
      <c r="F228" s="69"/>
      <c r="G228" s="70"/>
      <c r="H228" s="69"/>
      <c r="I228" s="70"/>
      <c r="J228" s="69"/>
      <c r="K228" s="69"/>
      <c r="L228" s="69"/>
      <c r="M228" s="69"/>
      <c r="N228" s="69"/>
      <c r="O228" s="69"/>
      <c r="P228" s="69"/>
      <c r="Q228" s="69"/>
      <c r="R228" s="69"/>
      <c r="S228" s="69"/>
      <c r="T228" s="69"/>
      <c r="U228" s="69"/>
      <c r="V228" s="69"/>
      <c r="W228" s="69"/>
      <c r="X228" s="69"/>
      <c r="Y228" s="106"/>
      <c r="Z228" s="69"/>
      <c r="AA228" s="69"/>
      <c r="AB228" s="69"/>
      <c r="AC228" s="69"/>
      <c r="AD228" s="69"/>
      <c r="AE228" s="69"/>
      <c r="AF228" s="69"/>
      <c r="AG228" s="69"/>
      <c r="AH228" s="69"/>
      <c r="AI228" s="69"/>
      <c r="AJ228" s="69"/>
      <c r="AK228" s="69"/>
      <c r="AL228" s="69"/>
    </row>
    <row r="229" ht="15.75" customHeight="1" spans="1:38">
      <c r="A229" s="163"/>
      <c r="B229" s="69"/>
      <c r="C229" s="69"/>
      <c r="D229" s="69"/>
      <c r="E229" s="69"/>
      <c r="F229" s="69"/>
      <c r="G229" s="70"/>
      <c r="H229" s="69"/>
      <c r="I229" s="70"/>
      <c r="J229" s="69"/>
      <c r="K229" s="69"/>
      <c r="L229" s="69"/>
      <c r="M229" s="69"/>
      <c r="N229" s="69"/>
      <c r="O229" s="69"/>
      <c r="P229" s="69"/>
      <c r="Q229" s="69"/>
      <c r="R229" s="69"/>
      <c r="S229" s="69"/>
      <c r="T229" s="69"/>
      <c r="U229" s="69"/>
      <c r="V229" s="69"/>
      <c r="W229" s="69"/>
      <c r="X229" s="69"/>
      <c r="Y229" s="106"/>
      <c r="Z229" s="69"/>
      <c r="AA229" s="69"/>
      <c r="AB229" s="69"/>
      <c r="AC229" s="69"/>
      <c r="AD229" s="69"/>
      <c r="AE229" s="69"/>
      <c r="AF229" s="69"/>
      <c r="AG229" s="69"/>
      <c r="AH229" s="69"/>
      <c r="AI229" s="69"/>
      <c r="AJ229" s="69"/>
      <c r="AK229" s="69"/>
      <c r="AL229" s="69"/>
    </row>
    <row r="230" ht="15.75" customHeight="1" spans="1:38">
      <c r="A230" s="163"/>
      <c r="B230" s="69"/>
      <c r="C230" s="69"/>
      <c r="D230" s="69"/>
      <c r="E230" s="69"/>
      <c r="F230" s="69"/>
      <c r="G230" s="70"/>
      <c r="H230" s="69"/>
      <c r="I230" s="70"/>
      <c r="J230" s="69"/>
      <c r="K230" s="69"/>
      <c r="L230" s="69"/>
      <c r="M230" s="69"/>
      <c r="N230" s="69"/>
      <c r="O230" s="69"/>
      <c r="P230" s="69"/>
      <c r="Q230" s="69"/>
      <c r="R230" s="69"/>
      <c r="S230" s="69"/>
      <c r="T230" s="69"/>
      <c r="U230" s="69"/>
      <c r="V230" s="69"/>
      <c r="W230" s="69"/>
      <c r="X230" s="69"/>
      <c r="Y230" s="106"/>
      <c r="Z230" s="69"/>
      <c r="AA230" s="69"/>
      <c r="AB230" s="69"/>
      <c r="AC230" s="69"/>
      <c r="AD230" s="69"/>
      <c r="AE230" s="69"/>
      <c r="AF230" s="69"/>
      <c r="AG230" s="69"/>
      <c r="AH230" s="69"/>
      <c r="AI230" s="69"/>
      <c r="AJ230" s="69"/>
      <c r="AK230" s="69"/>
      <c r="AL230" s="69"/>
    </row>
    <row r="231" ht="15.75" customHeight="1" spans="1:38">
      <c r="A231" s="163"/>
      <c r="B231" s="69"/>
      <c r="C231" s="69"/>
      <c r="D231" s="69"/>
      <c r="E231" s="69"/>
      <c r="F231" s="69"/>
      <c r="G231" s="70"/>
      <c r="H231" s="69"/>
      <c r="I231" s="70"/>
      <c r="J231" s="69"/>
      <c r="K231" s="69"/>
      <c r="L231" s="69"/>
      <c r="M231" s="69"/>
      <c r="N231" s="69"/>
      <c r="O231" s="69"/>
      <c r="P231" s="69"/>
      <c r="Q231" s="69"/>
      <c r="R231" s="69"/>
      <c r="S231" s="69"/>
      <c r="T231" s="69"/>
      <c r="U231" s="69"/>
      <c r="V231" s="69"/>
      <c r="W231" s="69"/>
      <c r="X231" s="69"/>
      <c r="Y231" s="106"/>
      <c r="Z231" s="69"/>
      <c r="AA231" s="69"/>
      <c r="AB231" s="69"/>
      <c r="AC231" s="69"/>
      <c r="AD231" s="69"/>
      <c r="AE231" s="69"/>
      <c r="AF231" s="69"/>
      <c r="AG231" s="69"/>
      <c r="AH231" s="69"/>
      <c r="AI231" s="69"/>
      <c r="AJ231" s="69"/>
      <c r="AK231" s="69"/>
      <c r="AL231" s="69"/>
    </row>
    <row r="232" ht="15.75" customHeight="1" spans="1:38">
      <c r="A232" s="163"/>
      <c r="B232" s="69"/>
      <c r="C232" s="69"/>
      <c r="D232" s="69"/>
      <c r="E232" s="69"/>
      <c r="F232" s="69"/>
      <c r="G232" s="70"/>
      <c r="H232" s="69"/>
      <c r="I232" s="70"/>
      <c r="J232" s="69"/>
      <c r="K232" s="69"/>
      <c r="L232" s="69"/>
      <c r="M232" s="69"/>
      <c r="N232" s="69"/>
      <c r="O232" s="69"/>
      <c r="P232" s="69"/>
      <c r="Q232" s="69"/>
      <c r="R232" s="69"/>
      <c r="S232" s="69"/>
      <c r="T232" s="69"/>
      <c r="U232" s="69"/>
      <c r="V232" s="69"/>
      <c r="W232" s="69"/>
      <c r="X232" s="69"/>
      <c r="Y232" s="106"/>
      <c r="Z232" s="69"/>
      <c r="AA232" s="69"/>
      <c r="AB232" s="69"/>
      <c r="AC232" s="69"/>
      <c r="AD232" s="69"/>
      <c r="AE232" s="69"/>
      <c r="AF232" s="69"/>
      <c r="AG232" s="69"/>
      <c r="AH232" s="69"/>
      <c r="AI232" s="69"/>
      <c r="AJ232" s="69"/>
      <c r="AK232" s="69"/>
      <c r="AL232" s="69"/>
    </row>
    <row r="233" ht="15.75" customHeight="1" spans="1:38">
      <c r="A233" s="163"/>
      <c r="B233" s="69"/>
      <c r="C233" s="69"/>
      <c r="D233" s="69"/>
      <c r="E233" s="69"/>
      <c r="F233" s="69"/>
      <c r="G233" s="70"/>
      <c r="H233" s="69"/>
      <c r="I233" s="70"/>
      <c r="J233" s="69"/>
      <c r="K233" s="69"/>
      <c r="L233" s="69"/>
      <c r="M233" s="69"/>
      <c r="N233" s="69"/>
      <c r="O233" s="69"/>
      <c r="P233" s="69"/>
      <c r="Q233" s="69"/>
      <c r="R233" s="69"/>
      <c r="S233" s="69"/>
      <c r="T233" s="69"/>
      <c r="U233" s="69"/>
      <c r="V233" s="69"/>
      <c r="W233" s="69"/>
      <c r="X233" s="69"/>
      <c r="Y233" s="106"/>
      <c r="Z233" s="69"/>
      <c r="AA233" s="69"/>
      <c r="AB233" s="69"/>
      <c r="AC233" s="69"/>
      <c r="AD233" s="69"/>
      <c r="AE233" s="69"/>
      <c r="AF233" s="69"/>
      <c r="AG233" s="69"/>
      <c r="AH233" s="69"/>
      <c r="AI233" s="69"/>
      <c r="AJ233" s="69"/>
      <c r="AK233" s="69"/>
      <c r="AL233" s="69"/>
    </row>
    <row r="234" ht="15.75" customHeight="1" spans="1:38">
      <c r="A234" s="163"/>
      <c r="B234" s="69"/>
      <c r="C234" s="69"/>
      <c r="D234" s="69"/>
      <c r="E234" s="69"/>
      <c r="F234" s="69"/>
      <c r="G234" s="70"/>
      <c r="H234" s="69"/>
      <c r="I234" s="70"/>
      <c r="J234" s="69"/>
      <c r="K234" s="69"/>
      <c r="L234" s="69"/>
      <c r="M234" s="69"/>
      <c r="N234" s="69"/>
      <c r="O234" s="69"/>
      <c r="P234" s="69"/>
      <c r="Q234" s="69"/>
      <c r="R234" s="69"/>
      <c r="S234" s="69"/>
      <c r="T234" s="69"/>
      <c r="U234" s="69"/>
      <c r="V234" s="69"/>
      <c r="W234" s="69"/>
      <c r="X234" s="69"/>
      <c r="Y234" s="106"/>
      <c r="Z234" s="69"/>
      <c r="AA234" s="69"/>
      <c r="AB234" s="69"/>
      <c r="AC234" s="69"/>
      <c r="AD234" s="69"/>
      <c r="AE234" s="69"/>
      <c r="AF234" s="69"/>
      <c r="AG234" s="69"/>
      <c r="AH234" s="69"/>
      <c r="AI234" s="69"/>
      <c r="AJ234" s="69"/>
      <c r="AK234" s="69"/>
      <c r="AL234" s="69"/>
    </row>
    <row r="235" ht="15.75" customHeight="1" spans="1:38">
      <c r="A235" s="163"/>
      <c r="B235" s="69"/>
      <c r="C235" s="69"/>
      <c r="D235" s="69"/>
      <c r="E235" s="69"/>
      <c r="F235" s="69"/>
      <c r="G235" s="70"/>
      <c r="H235" s="69"/>
      <c r="I235" s="70"/>
      <c r="J235" s="69"/>
      <c r="K235" s="69"/>
      <c r="L235" s="69"/>
      <c r="M235" s="69"/>
      <c r="N235" s="69"/>
      <c r="O235" s="69"/>
      <c r="P235" s="69"/>
      <c r="Q235" s="69"/>
      <c r="R235" s="69"/>
      <c r="S235" s="69"/>
      <c r="T235" s="69"/>
      <c r="U235" s="69"/>
      <c r="V235" s="69"/>
      <c r="W235" s="69"/>
      <c r="X235" s="69"/>
      <c r="Y235" s="106"/>
      <c r="Z235" s="69"/>
      <c r="AA235" s="69"/>
      <c r="AB235" s="69"/>
      <c r="AC235" s="69"/>
      <c r="AD235" s="69"/>
      <c r="AE235" s="69"/>
      <c r="AF235" s="69"/>
      <c r="AG235" s="69"/>
      <c r="AH235" s="69"/>
      <c r="AI235" s="69"/>
      <c r="AJ235" s="69"/>
      <c r="AK235" s="69"/>
      <c r="AL235" s="69"/>
    </row>
    <row r="236" ht="15.75" customHeight="1" spans="1:38">
      <c r="A236" s="163"/>
      <c r="B236" s="69"/>
      <c r="C236" s="69"/>
      <c r="D236" s="69"/>
      <c r="E236" s="69"/>
      <c r="F236" s="69"/>
      <c r="G236" s="70"/>
      <c r="H236" s="69"/>
      <c r="I236" s="70"/>
      <c r="J236" s="69"/>
      <c r="K236" s="69"/>
      <c r="L236" s="69"/>
      <c r="M236" s="69"/>
      <c r="N236" s="69"/>
      <c r="O236" s="69"/>
      <c r="P236" s="69"/>
      <c r="Q236" s="69"/>
      <c r="R236" s="69"/>
      <c r="S236" s="69"/>
      <c r="T236" s="69"/>
      <c r="U236" s="69"/>
      <c r="V236" s="69"/>
      <c r="W236" s="69"/>
      <c r="X236" s="69"/>
      <c r="Y236" s="106"/>
      <c r="Z236" s="69"/>
      <c r="AA236" s="69"/>
      <c r="AB236" s="69"/>
      <c r="AC236" s="69"/>
      <c r="AD236" s="69"/>
      <c r="AE236" s="69"/>
      <c r="AF236" s="69"/>
      <c r="AG236" s="69"/>
      <c r="AH236" s="69"/>
      <c r="AI236" s="69"/>
      <c r="AJ236" s="69"/>
      <c r="AK236" s="69"/>
      <c r="AL236" s="69"/>
    </row>
    <row r="237" ht="15.75" customHeight="1" spans="1:38">
      <c r="A237" s="163"/>
      <c r="B237" s="69"/>
      <c r="C237" s="69"/>
      <c r="D237" s="69"/>
      <c r="E237" s="69"/>
      <c r="F237" s="69"/>
      <c r="G237" s="70"/>
      <c r="H237" s="69"/>
      <c r="I237" s="70"/>
      <c r="J237" s="69"/>
      <c r="K237" s="69"/>
      <c r="L237" s="69"/>
      <c r="M237" s="69"/>
      <c r="N237" s="69"/>
      <c r="O237" s="69"/>
      <c r="P237" s="69"/>
      <c r="Q237" s="69"/>
      <c r="R237" s="69"/>
      <c r="S237" s="69"/>
      <c r="T237" s="69"/>
      <c r="U237" s="69"/>
      <c r="V237" s="69"/>
      <c r="W237" s="69"/>
      <c r="X237" s="69"/>
      <c r="Y237" s="106"/>
      <c r="Z237" s="69"/>
      <c r="AA237" s="69"/>
      <c r="AB237" s="69"/>
      <c r="AC237" s="69"/>
      <c r="AD237" s="69"/>
      <c r="AE237" s="69"/>
      <c r="AF237" s="69"/>
      <c r="AG237" s="69"/>
      <c r="AH237" s="69"/>
      <c r="AI237" s="69"/>
      <c r="AJ237" s="69"/>
      <c r="AK237" s="69"/>
      <c r="AL237" s="69"/>
    </row>
    <row r="238" ht="15.75" customHeight="1" spans="1:38">
      <c r="A238" s="163"/>
      <c r="B238" s="69"/>
      <c r="C238" s="69"/>
      <c r="D238" s="69"/>
      <c r="E238" s="69"/>
      <c r="F238" s="69"/>
      <c r="G238" s="70"/>
      <c r="H238" s="69"/>
      <c r="I238" s="70"/>
      <c r="J238" s="69"/>
      <c r="K238" s="69"/>
      <c r="L238" s="69"/>
      <c r="M238" s="69"/>
      <c r="N238" s="69"/>
      <c r="O238" s="69"/>
      <c r="P238" s="69"/>
      <c r="Q238" s="69"/>
      <c r="R238" s="69"/>
      <c r="S238" s="69"/>
      <c r="T238" s="69"/>
      <c r="U238" s="69"/>
      <c r="V238" s="69"/>
      <c r="W238" s="69"/>
      <c r="X238" s="69"/>
      <c r="Y238" s="106"/>
      <c r="Z238" s="69"/>
      <c r="AA238" s="69"/>
      <c r="AB238" s="69"/>
      <c r="AC238" s="69"/>
      <c r="AD238" s="69"/>
      <c r="AE238" s="69"/>
      <c r="AF238" s="69"/>
      <c r="AG238" s="69"/>
      <c r="AH238" s="69"/>
      <c r="AI238" s="69"/>
      <c r="AJ238" s="69"/>
      <c r="AK238" s="69"/>
      <c r="AL238" s="69"/>
    </row>
    <row r="239" ht="15.75" customHeight="1" spans="1:38">
      <c r="A239" s="163"/>
      <c r="B239" s="69"/>
      <c r="C239" s="69"/>
      <c r="D239" s="69"/>
      <c r="E239" s="69"/>
      <c r="F239" s="69"/>
      <c r="G239" s="70"/>
      <c r="H239" s="69"/>
      <c r="I239" s="70"/>
      <c r="J239" s="69"/>
      <c r="K239" s="69"/>
      <c r="L239" s="69"/>
      <c r="M239" s="69"/>
      <c r="N239" s="69"/>
      <c r="O239" s="69"/>
      <c r="P239" s="69"/>
      <c r="Q239" s="69"/>
      <c r="R239" s="69"/>
      <c r="S239" s="69"/>
      <c r="T239" s="69"/>
      <c r="U239" s="69"/>
      <c r="V239" s="69"/>
      <c r="W239" s="69"/>
      <c r="X239" s="69"/>
      <c r="Y239" s="106"/>
      <c r="Z239" s="69"/>
      <c r="AA239" s="69"/>
      <c r="AB239" s="69"/>
      <c r="AC239" s="69"/>
      <c r="AD239" s="69"/>
      <c r="AE239" s="69"/>
      <c r="AF239" s="69"/>
      <c r="AG239" s="69"/>
      <c r="AH239" s="69"/>
      <c r="AI239" s="69"/>
      <c r="AJ239" s="69"/>
      <c r="AK239" s="69"/>
      <c r="AL239" s="69"/>
    </row>
    <row r="240" ht="15.75" customHeight="1" spans="1:38">
      <c r="A240" s="163"/>
      <c r="B240" s="69"/>
      <c r="C240" s="69"/>
      <c r="D240" s="69"/>
      <c r="E240" s="69"/>
      <c r="F240" s="69"/>
      <c r="G240" s="70"/>
      <c r="H240" s="69"/>
      <c r="I240" s="70"/>
      <c r="J240" s="69"/>
      <c r="K240" s="69"/>
      <c r="L240" s="69"/>
      <c r="M240" s="69"/>
      <c r="N240" s="69"/>
      <c r="O240" s="69"/>
      <c r="P240" s="69"/>
      <c r="Q240" s="69"/>
      <c r="R240" s="69"/>
      <c r="S240" s="69"/>
      <c r="T240" s="69"/>
      <c r="U240" s="69"/>
      <c r="V240" s="69"/>
      <c r="W240" s="69"/>
      <c r="X240" s="69"/>
      <c r="Y240" s="106"/>
      <c r="Z240" s="69"/>
      <c r="AA240" s="69"/>
      <c r="AB240" s="69"/>
      <c r="AC240" s="69"/>
      <c r="AD240" s="69"/>
      <c r="AE240" s="69"/>
      <c r="AF240" s="69"/>
      <c r="AG240" s="69"/>
      <c r="AH240" s="69"/>
      <c r="AI240" s="69"/>
      <c r="AJ240" s="69"/>
      <c r="AK240" s="69"/>
      <c r="AL240" s="69"/>
    </row>
    <row r="241" ht="15.75" customHeight="1" spans="1:38">
      <c r="A241" s="163"/>
      <c r="B241" s="69"/>
      <c r="C241" s="69"/>
      <c r="D241" s="69"/>
      <c r="E241" s="69"/>
      <c r="F241" s="69"/>
      <c r="G241" s="70"/>
      <c r="H241" s="69"/>
      <c r="I241" s="70"/>
      <c r="J241" s="69"/>
      <c r="K241" s="69"/>
      <c r="L241" s="69"/>
      <c r="M241" s="69"/>
      <c r="N241" s="69"/>
      <c r="O241" s="69"/>
      <c r="P241" s="69"/>
      <c r="Q241" s="69"/>
      <c r="R241" s="69"/>
      <c r="S241" s="69"/>
      <c r="T241" s="69"/>
      <c r="U241" s="69"/>
      <c r="V241" s="69"/>
      <c r="W241" s="69"/>
      <c r="X241" s="69"/>
      <c r="Y241" s="106"/>
      <c r="Z241" s="69"/>
      <c r="AA241" s="69"/>
      <c r="AB241" s="69"/>
      <c r="AC241" s="69"/>
      <c r="AD241" s="69"/>
      <c r="AE241" s="69"/>
      <c r="AF241" s="69"/>
      <c r="AG241" s="69"/>
      <c r="AH241" s="69"/>
      <c r="AI241" s="69"/>
      <c r="AJ241" s="69"/>
      <c r="AK241" s="69"/>
      <c r="AL241" s="69"/>
    </row>
    <row r="242" ht="15.75" customHeight="1" spans="1:38">
      <c r="A242" s="163"/>
      <c r="B242" s="69"/>
      <c r="C242" s="69"/>
      <c r="D242" s="69"/>
      <c r="E242" s="69"/>
      <c r="F242" s="69"/>
      <c r="G242" s="70"/>
      <c r="H242" s="69"/>
      <c r="I242" s="70"/>
      <c r="J242" s="69"/>
      <c r="K242" s="69"/>
      <c r="L242" s="69"/>
      <c r="M242" s="69"/>
      <c r="N242" s="69"/>
      <c r="O242" s="69"/>
      <c r="P242" s="69"/>
      <c r="Q242" s="69"/>
      <c r="R242" s="69"/>
      <c r="S242" s="69"/>
      <c r="T242" s="69"/>
      <c r="U242" s="69"/>
      <c r="V242" s="69"/>
      <c r="W242" s="69"/>
      <c r="X242" s="69"/>
      <c r="Y242" s="106"/>
      <c r="Z242" s="69"/>
      <c r="AA242" s="69"/>
      <c r="AB242" s="69"/>
      <c r="AC242" s="69"/>
      <c r="AD242" s="69"/>
      <c r="AE242" s="69"/>
      <c r="AF242" s="69"/>
      <c r="AG242" s="69"/>
      <c r="AH242" s="69"/>
      <c r="AI242" s="69"/>
      <c r="AJ242" s="69"/>
      <c r="AK242" s="69"/>
      <c r="AL242" s="69"/>
    </row>
    <row r="243" ht="15.75" customHeight="1" spans="1:38">
      <c r="A243" s="163"/>
      <c r="B243" s="69"/>
      <c r="C243" s="69"/>
      <c r="D243" s="69"/>
      <c r="E243" s="69"/>
      <c r="F243" s="69"/>
      <c r="G243" s="70"/>
      <c r="H243" s="69"/>
      <c r="I243" s="70"/>
      <c r="J243" s="69"/>
      <c r="K243" s="69"/>
      <c r="L243" s="69"/>
      <c r="M243" s="69"/>
      <c r="N243" s="69"/>
      <c r="O243" s="69"/>
      <c r="P243" s="69"/>
      <c r="Q243" s="69"/>
      <c r="R243" s="69"/>
      <c r="S243" s="69"/>
      <c r="T243" s="69"/>
      <c r="U243" s="69"/>
      <c r="V243" s="69"/>
      <c r="W243" s="69"/>
      <c r="X243" s="69"/>
      <c r="Y243" s="106"/>
      <c r="Z243" s="69"/>
      <c r="AA243" s="69"/>
      <c r="AB243" s="69"/>
      <c r="AC243" s="69"/>
      <c r="AD243" s="69"/>
      <c r="AE243" s="69"/>
      <c r="AF243" s="69"/>
      <c r="AG243" s="69"/>
      <c r="AH243" s="69"/>
      <c r="AI243" s="69"/>
      <c r="AJ243" s="69"/>
      <c r="AK243" s="69"/>
      <c r="AL243" s="69"/>
    </row>
    <row r="244" ht="15.75" customHeight="1" spans="1:38">
      <c r="A244" s="163"/>
      <c r="B244" s="69"/>
      <c r="C244" s="69"/>
      <c r="D244" s="69"/>
      <c r="E244" s="69"/>
      <c r="F244" s="69"/>
      <c r="G244" s="70"/>
      <c r="H244" s="69"/>
      <c r="I244" s="70"/>
      <c r="J244" s="69"/>
      <c r="K244" s="69"/>
      <c r="L244" s="69"/>
      <c r="M244" s="69"/>
      <c r="N244" s="69"/>
      <c r="O244" s="69"/>
      <c r="P244" s="69"/>
      <c r="Q244" s="69"/>
      <c r="R244" s="69"/>
      <c r="S244" s="69"/>
      <c r="T244" s="69"/>
      <c r="U244" s="69"/>
      <c r="V244" s="69"/>
      <c r="W244" s="69"/>
      <c r="X244" s="69"/>
      <c r="Y244" s="106"/>
      <c r="Z244" s="69"/>
      <c r="AA244" s="69"/>
      <c r="AB244" s="69"/>
      <c r="AC244" s="69"/>
      <c r="AD244" s="69"/>
      <c r="AE244" s="69"/>
      <c r="AF244" s="69"/>
      <c r="AG244" s="69"/>
      <c r="AH244" s="69"/>
      <c r="AI244" s="69"/>
      <c r="AJ244" s="69"/>
      <c r="AK244" s="69"/>
      <c r="AL244" s="69"/>
    </row>
    <row r="245" ht="15.75" customHeight="1" spans="1:38">
      <c r="A245" s="163"/>
      <c r="B245" s="69"/>
      <c r="C245" s="69"/>
      <c r="D245" s="69"/>
      <c r="E245" s="69"/>
      <c r="F245" s="69"/>
      <c r="G245" s="70"/>
      <c r="H245" s="69"/>
      <c r="I245" s="70"/>
      <c r="J245" s="69"/>
      <c r="K245" s="69"/>
      <c r="L245" s="69"/>
      <c r="M245" s="69"/>
      <c r="N245" s="69"/>
      <c r="O245" s="69"/>
      <c r="P245" s="69"/>
      <c r="Q245" s="69"/>
      <c r="R245" s="69"/>
      <c r="S245" s="69"/>
      <c r="T245" s="69"/>
      <c r="U245" s="69"/>
      <c r="V245" s="69"/>
      <c r="W245" s="69"/>
      <c r="X245" s="69"/>
      <c r="Y245" s="106"/>
      <c r="Z245" s="69"/>
      <c r="AA245" s="69"/>
      <c r="AB245" s="69"/>
      <c r="AC245" s="69"/>
      <c r="AD245" s="69"/>
      <c r="AE245" s="69"/>
      <c r="AF245" s="69"/>
      <c r="AG245" s="69"/>
      <c r="AH245" s="69"/>
      <c r="AI245" s="69"/>
      <c r="AJ245" s="69"/>
      <c r="AK245" s="69"/>
      <c r="AL245" s="69"/>
    </row>
    <row r="246" ht="15.75" customHeight="1" spans="1:38">
      <c r="A246" s="163"/>
      <c r="B246" s="69"/>
      <c r="C246" s="69"/>
      <c r="D246" s="69"/>
      <c r="E246" s="69"/>
      <c r="F246" s="69"/>
      <c r="G246" s="70"/>
      <c r="H246" s="69"/>
      <c r="I246" s="70"/>
      <c r="J246" s="69"/>
      <c r="K246" s="69"/>
      <c r="L246" s="69"/>
      <c r="M246" s="69"/>
      <c r="N246" s="69"/>
      <c r="O246" s="69"/>
      <c r="P246" s="69"/>
      <c r="Q246" s="69"/>
      <c r="R246" s="69"/>
      <c r="S246" s="69"/>
      <c r="T246" s="69"/>
      <c r="U246" s="69"/>
      <c r="V246" s="69"/>
      <c r="W246" s="69"/>
      <c r="X246" s="69"/>
      <c r="Y246" s="106"/>
      <c r="Z246" s="69"/>
      <c r="AA246" s="69"/>
      <c r="AB246" s="69"/>
      <c r="AC246" s="69"/>
      <c r="AD246" s="69"/>
      <c r="AE246" s="69"/>
      <c r="AF246" s="69"/>
      <c r="AG246" s="69"/>
      <c r="AH246" s="69"/>
      <c r="AI246" s="69"/>
      <c r="AJ246" s="69"/>
      <c r="AK246" s="69"/>
      <c r="AL246" s="69"/>
    </row>
    <row r="247" ht="15.75" customHeight="1" spans="1:38">
      <c r="A247" s="172"/>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row>
    <row r="248" ht="15.75" customHeight="1" spans="1:38">
      <c r="A248" s="172"/>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row>
    <row r="249" ht="15.75" customHeight="1" spans="1:38">
      <c r="A249" s="172"/>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row>
    <row r="250" ht="15.75" customHeight="1" spans="1:38">
      <c r="A250" s="172"/>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row>
    <row r="251" ht="15.75" customHeight="1" spans="1:38">
      <c r="A251" s="172"/>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row>
    <row r="252" ht="15.75" customHeight="1" spans="1:38">
      <c r="A252" s="172"/>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row>
    <row r="253" ht="15.75" customHeight="1" spans="1:38">
      <c r="A253" s="172"/>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row>
    <row r="254" ht="15.75" customHeight="1" spans="1:38">
      <c r="A254" s="172"/>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row>
    <row r="255" ht="15.75" customHeight="1" spans="1:38">
      <c r="A255" s="172"/>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row>
    <row r="256" ht="15.75" customHeight="1" spans="1:38">
      <c r="A256" s="172"/>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row>
    <row r="257" ht="15.75" customHeight="1" spans="1:38">
      <c r="A257" s="172"/>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row>
    <row r="258" ht="15.75" customHeight="1" spans="1:38">
      <c r="A258" s="172"/>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row>
    <row r="259" ht="15.75" customHeight="1" spans="1:38">
      <c r="A259" s="172"/>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row>
    <row r="260" ht="15.75" customHeight="1" spans="1:38">
      <c r="A260" s="172"/>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row>
    <row r="261" ht="15.75" customHeight="1" spans="1:38">
      <c r="A261" s="172"/>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row>
    <row r="262" ht="15.75" customHeight="1" spans="1:38">
      <c r="A262" s="172"/>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row>
    <row r="263" ht="15.75" customHeight="1" spans="1:38">
      <c r="A263" s="172"/>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row>
    <row r="264" ht="15.75" customHeight="1" spans="1:38">
      <c r="A264" s="172"/>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row>
    <row r="265" ht="15.75" customHeight="1" spans="1:38">
      <c r="A265" s="172"/>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row>
    <row r="266" ht="15.75" customHeight="1" spans="1:38">
      <c r="A266" s="172"/>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row>
    <row r="267" ht="15.75" customHeight="1" spans="1:38">
      <c r="A267" s="172"/>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row>
    <row r="268" ht="15.75" customHeight="1" spans="1:38">
      <c r="A268" s="172"/>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row>
    <row r="269" ht="15.75" customHeight="1" spans="1:38">
      <c r="A269" s="172"/>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row>
    <row r="270" ht="15.75" customHeight="1" spans="1:38">
      <c r="A270" s="172"/>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row>
    <row r="271" ht="15.75" customHeight="1" spans="1:38">
      <c r="A271" s="172"/>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row>
    <row r="272" ht="15.75" customHeight="1" spans="1:38">
      <c r="A272" s="172"/>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row>
    <row r="273" ht="15.75" customHeight="1" spans="1:38">
      <c r="A273" s="172"/>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row>
    <row r="274" ht="15.75" customHeight="1" spans="1:38">
      <c r="A274" s="172"/>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row>
    <row r="275" ht="15.75" customHeight="1" spans="1:38">
      <c r="A275" s="172"/>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row>
    <row r="276" ht="15.75" customHeight="1" spans="1:38">
      <c r="A276" s="172"/>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row>
    <row r="277" ht="15.75" customHeight="1" spans="1:38">
      <c r="A277" s="172"/>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row>
    <row r="278" ht="15.75" customHeight="1" spans="1:38">
      <c r="A278" s="172"/>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row>
    <row r="279" ht="15.75" customHeight="1" spans="1:38">
      <c r="A279" s="172"/>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row>
    <row r="280" ht="15.75" customHeight="1" spans="1:38">
      <c r="A280" s="172"/>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row>
    <row r="281" ht="15.75" customHeight="1" spans="1:38">
      <c r="A281" s="172"/>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row>
    <row r="282" ht="15.75" customHeight="1" spans="1:38">
      <c r="A282" s="172"/>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row>
    <row r="283" ht="15.75" customHeight="1" spans="1:38">
      <c r="A283" s="17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row>
    <row r="284" ht="15.75" customHeight="1" spans="1:38">
      <c r="A284" s="172"/>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row>
    <row r="285" ht="15.75" customHeight="1" spans="1:38">
      <c r="A285" s="172"/>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row>
    <row r="286" ht="15.75" customHeight="1" spans="1:38">
      <c r="A286" s="172"/>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row>
    <row r="287" ht="15.75" customHeight="1" spans="1:38">
      <c r="A287" s="172"/>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row>
    <row r="288" ht="15.75" customHeight="1" spans="1:38">
      <c r="A288" s="172"/>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row>
    <row r="289" ht="15.75" customHeight="1" spans="1:38">
      <c r="A289" s="172"/>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row>
    <row r="290" ht="15.75" customHeight="1" spans="1:38">
      <c r="A290" s="172"/>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row>
    <row r="291" ht="15.75" customHeight="1" spans="1:38">
      <c r="A291" s="172"/>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row>
    <row r="292" ht="15.75" customHeight="1" spans="1:38">
      <c r="A292" s="172"/>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row>
    <row r="293" ht="15.75" customHeight="1" spans="1:38">
      <c r="A293" s="172"/>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row>
    <row r="294" ht="15.75" customHeight="1" spans="1:38">
      <c r="A294" s="172"/>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row>
    <row r="295" ht="15.75" customHeight="1" spans="1:38">
      <c r="A295" s="172"/>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row>
    <row r="296" ht="15.75" customHeight="1" spans="1:38">
      <c r="A296" s="172"/>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row>
    <row r="297" ht="15.75" customHeight="1" spans="1:38">
      <c r="A297" s="172"/>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row>
    <row r="298" ht="15.75" customHeight="1" spans="1:38">
      <c r="A298" s="172"/>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row>
    <row r="299" ht="15.75" customHeight="1" spans="1:38">
      <c r="A299" s="172"/>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row>
    <row r="300" ht="15.75" customHeight="1" spans="1:38">
      <c r="A300" s="172"/>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row>
    <row r="301" ht="15.75" customHeight="1" spans="1:38">
      <c r="A301" s="172"/>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row>
    <row r="302" ht="15.75" customHeight="1" spans="1:38">
      <c r="A302" s="172"/>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row>
    <row r="303" ht="15.75" customHeight="1" spans="1:38">
      <c r="A303" s="172"/>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row>
    <row r="304" ht="15.75" customHeight="1" spans="1:38">
      <c r="A304" s="172"/>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row>
    <row r="305" ht="15.75" customHeight="1" spans="1:38">
      <c r="A305" s="172"/>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row>
    <row r="306" ht="15.75" customHeight="1" spans="1:38">
      <c r="A306" s="172"/>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row>
    <row r="307" ht="15.75" customHeight="1" spans="1:38">
      <c r="A307" s="172"/>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row>
    <row r="308" ht="15.75" customHeight="1" spans="1:38">
      <c r="A308" s="172"/>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row>
    <row r="309" ht="15.75" customHeight="1" spans="1:38">
      <c r="A309" s="172"/>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row>
    <row r="310" ht="15.75" customHeight="1" spans="1:38">
      <c r="A310" s="172"/>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row>
    <row r="311" ht="15.75" customHeight="1" spans="1:38">
      <c r="A311" s="172"/>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row>
    <row r="312" ht="15.75" customHeight="1" spans="1:38">
      <c r="A312" s="172"/>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row>
    <row r="313" ht="15.75" customHeight="1" spans="1:38">
      <c r="A313" s="172"/>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row>
    <row r="314" ht="15.75" customHeight="1" spans="1:38">
      <c r="A314" s="172"/>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row>
    <row r="315" ht="15.75" customHeight="1" spans="1:38">
      <c r="A315" s="172"/>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row>
    <row r="316" ht="15.75" customHeight="1" spans="1:38">
      <c r="A316" s="172"/>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row>
    <row r="317" ht="15.75" customHeight="1" spans="1:38">
      <c r="A317" s="172"/>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row>
    <row r="318" ht="15.75" customHeight="1" spans="1:38">
      <c r="A318" s="172"/>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row>
    <row r="319" ht="15.75" customHeight="1" spans="1:38">
      <c r="A319" s="172"/>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row>
    <row r="320" ht="15.75" customHeight="1" spans="1:38">
      <c r="A320" s="172"/>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row>
    <row r="321" ht="15.75" customHeight="1" spans="1:38">
      <c r="A321" s="172"/>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row>
    <row r="322" ht="15.75" customHeight="1" spans="1:38">
      <c r="A322" s="172"/>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row>
    <row r="323" ht="15.75" customHeight="1" spans="1:38">
      <c r="A323" s="172"/>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row>
    <row r="324" ht="15.75" customHeight="1" spans="1:38">
      <c r="A324" s="172"/>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row>
    <row r="325" ht="15.75" customHeight="1" spans="1:38">
      <c r="A325" s="172"/>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row>
    <row r="326" ht="15.75" customHeight="1" spans="1:38">
      <c r="A326" s="172"/>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row>
    <row r="327" ht="15.75" customHeight="1" spans="1:38">
      <c r="A327" s="172"/>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row>
    <row r="328" ht="15.75" customHeight="1" spans="1:38">
      <c r="A328" s="172"/>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row>
    <row r="329" ht="15.75" customHeight="1" spans="1:38">
      <c r="A329" s="172"/>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row>
    <row r="330" ht="15.75" customHeight="1" spans="1:38">
      <c r="A330" s="172"/>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row>
    <row r="331" ht="15.75" customHeight="1" spans="1:38">
      <c r="A331" s="172"/>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row>
    <row r="332" ht="15.75" customHeight="1" spans="1:38">
      <c r="A332" s="172"/>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row>
    <row r="333" ht="15.75" customHeight="1" spans="1:38">
      <c r="A333" s="172"/>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row>
    <row r="334" ht="15.75" customHeight="1" spans="1:38">
      <c r="A334" s="172"/>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row>
    <row r="335" ht="15.75" customHeight="1" spans="1:38">
      <c r="A335" s="172"/>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row>
    <row r="336" ht="15.75" customHeight="1" spans="1:38">
      <c r="A336" s="172"/>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row>
    <row r="337" ht="15.75" customHeight="1" spans="1:38">
      <c r="A337" s="172"/>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row>
    <row r="338" ht="15.75" customHeight="1" spans="1:38">
      <c r="A338" s="172"/>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row>
    <row r="339" ht="15.75" customHeight="1" spans="1:38">
      <c r="A339" s="172"/>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row>
    <row r="340" ht="15.75" customHeight="1" spans="1:38">
      <c r="A340" s="172"/>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row>
    <row r="341" ht="15.75" customHeight="1" spans="1:38">
      <c r="A341" s="172"/>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row>
    <row r="342" ht="15.75" customHeight="1" spans="1:38">
      <c r="A342" s="172"/>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row>
    <row r="343" ht="15.75" customHeight="1" spans="1:38">
      <c r="A343" s="172"/>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row>
    <row r="344" ht="15.75" customHeight="1" spans="1:38">
      <c r="A344" s="172"/>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row>
    <row r="345" ht="15.75" customHeight="1" spans="1:38">
      <c r="A345" s="172"/>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row>
    <row r="346" ht="15.75" customHeight="1" spans="1:38">
      <c r="A346" s="172"/>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row>
    <row r="347" ht="15.75" customHeight="1" spans="1:38">
      <c r="A347" s="172"/>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row>
    <row r="348" ht="15.75" customHeight="1" spans="1:38">
      <c r="A348" s="172"/>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row>
    <row r="349" ht="15.75" customHeight="1" spans="1:38">
      <c r="A349" s="172"/>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row>
    <row r="350" ht="15.75" customHeight="1" spans="1:38">
      <c r="A350" s="172"/>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row>
    <row r="351" ht="15.75" customHeight="1" spans="1:38">
      <c r="A351" s="172"/>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row>
    <row r="352" ht="15.75" customHeight="1" spans="1:38">
      <c r="A352" s="172"/>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row>
    <row r="353" ht="15.75" customHeight="1" spans="1:38">
      <c r="A353" s="172"/>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row>
    <row r="354" ht="15.75" customHeight="1" spans="1:38">
      <c r="A354" s="172"/>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row>
    <row r="355" ht="15.75" customHeight="1" spans="1:38">
      <c r="A355" s="172"/>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row>
    <row r="356" ht="15.75" customHeight="1" spans="1:38">
      <c r="A356" s="172"/>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row>
    <row r="357" ht="15.75" customHeight="1" spans="1:38">
      <c r="A357" s="172"/>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row>
    <row r="358" ht="15.75" customHeight="1" spans="1:38">
      <c r="A358" s="172"/>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row>
    <row r="359" ht="15.75" customHeight="1" spans="1:38">
      <c r="A359" s="172"/>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row>
    <row r="360" ht="15.75" customHeight="1" spans="1:38">
      <c r="A360" s="172"/>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row>
    <row r="361" ht="15.75" customHeight="1" spans="1:38">
      <c r="A361" s="172"/>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row>
    <row r="362" ht="15.75" customHeight="1" spans="1:38">
      <c r="A362" s="172"/>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row>
    <row r="363" ht="15.75" customHeight="1" spans="1:38">
      <c r="A363" s="172"/>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row>
    <row r="364" ht="15.75" customHeight="1" spans="1:38">
      <c r="A364" s="172"/>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row>
    <row r="365" ht="15.75" customHeight="1" spans="1:38">
      <c r="A365" s="172"/>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row>
    <row r="366" ht="15.75" customHeight="1" spans="1:38">
      <c r="A366" s="172"/>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row>
    <row r="367" ht="15.75" customHeight="1" spans="1:38">
      <c r="A367" s="172"/>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row>
    <row r="368" ht="15.75" customHeight="1" spans="1:38">
      <c r="A368" s="172"/>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row>
    <row r="369" ht="15.75" customHeight="1" spans="1:38">
      <c r="A369" s="172"/>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row>
    <row r="370" ht="15.75" customHeight="1" spans="1:38">
      <c r="A370" s="172"/>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row>
    <row r="371" ht="15.75" customHeight="1" spans="1:38">
      <c r="A371" s="172"/>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row>
    <row r="372" ht="15.75" customHeight="1" spans="1:38">
      <c r="A372" s="172"/>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row>
    <row r="373" ht="15.75" customHeight="1" spans="1:38">
      <c r="A373" s="172"/>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row>
    <row r="374" ht="15.75" customHeight="1" spans="1:38">
      <c r="A374" s="172"/>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row>
    <row r="375" ht="15.75" customHeight="1" spans="1:38">
      <c r="A375" s="172"/>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row>
    <row r="376" ht="15.75" customHeight="1" spans="1:38">
      <c r="A376" s="172"/>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row>
    <row r="377" ht="15.75" customHeight="1" spans="1:38">
      <c r="A377" s="172"/>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row>
    <row r="378" ht="15.75" customHeight="1" spans="1:38">
      <c r="A378" s="172"/>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row>
    <row r="379" ht="15.75" customHeight="1" spans="1:38">
      <c r="A379" s="172"/>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row>
    <row r="380" ht="15.75" customHeight="1" spans="1:38">
      <c r="A380" s="172"/>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row>
    <row r="381" ht="15.75" customHeight="1" spans="1:38">
      <c r="A381" s="172"/>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row>
    <row r="382" ht="15.75" customHeight="1" spans="1:38">
      <c r="A382" s="172"/>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row>
    <row r="383" ht="15.75" customHeight="1" spans="1:38">
      <c r="A383" s="172"/>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row>
    <row r="384" ht="15.75" customHeight="1" spans="1:38">
      <c r="A384" s="172"/>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row>
    <row r="385" ht="15.75" customHeight="1" spans="1:38">
      <c r="A385" s="172"/>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row>
    <row r="386" ht="15.75" customHeight="1" spans="1:38">
      <c r="A386" s="172"/>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row>
    <row r="387" ht="15.75" customHeight="1" spans="1:38">
      <c r="A387" s="172"/>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row>
    <row r="388" ht="15.75" customHeight="1" spans="1:38">
      <c r="A388" s="172"/>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row>
    <row r="389" ht="15.75" customHeight="1" spans="1:38">
      <c r="A389" s="172"/>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row>
    <row r="390" ht="15.75" customHeight="1" spans="1:38">
      <c r="A390" s="172"/>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row>
    <row r="391" ht="15.75" customHeight="1" spans="1:38">
      <c r="A391" s="172"/>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row>
    <row r="392" ht="15.75" customHeight="1" spans="1:38">
      <c r="A392" s="172"/>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row>
    <row r="393" ht="15.75" customHeight="1" spans="1:38">
      <c r="A393" s="172"/>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row>
    <row r="394" ht="15.75" customHeight="1" spans="1:38">
      <c r="A394" s="172"/>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row>
    <row r="395" ht="15.75" customHeight="1" spans="1:38">
      <c r="A395" s="172"/>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row>
    <row r="396" ht="15.75" customHeight="1" spans="1:38">
      <c r="A396" s="172"/>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row>
    <row r="397" ht="15.75" customHeight="1" spans="1:38">
      <c r="A397" s="172"/>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row>
    <row r="398" ht="15.75" customHeight="1" spans="1:38">
      <c r="A398" s="172"/>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row>
    <row r="399" ht="15.75" customHeight="1" spans="1:38">
      <c r="A399" s="172"/>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row>
    <row r="400" ht="15.75" customHeight="1" spans="1:38">
      <c r="A400" s="172"/>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row>
    <row r="401" ht="15.75" customHeight="1" spans="1:38">
      <c r="A401" s="172"/>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row>
    <row r="402" ht="15.75" customHeight="1" spans="1:38">
      <c r="A402" s="172"/>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row>
    <row r="403" ht="15.75" customHeight="1" spans="1:38">
      <c r="A403" s="172"/>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row>
    <row r="404" ht="15.75" customHeight="1" spans="1:38">
      <c r="A404" s="172"/>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row>
    <row r="405" ht="15.75" customHeight="1" spans="1:38">
      <c r="A405" s="172"/>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row>
    <row r="406" ht="15.75" customHeight="1" spans="1:38">
      <c r="A406" s="172"/>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row>
    <row r="407" ht="15.75" customHeight="1" spans="1:38">
      <c r="A407" s="172"/>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row>
    <row r="408" ht="15.75" customHeight="1" spans="1:38">
      <c r="A408" s="172"/>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row>
    <row r="409" ht="15.75" customHeight="1" spans="1:38">
      <c r="A409" s="172"/>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row>
    <row r="410" ht="15.75" customHeight="1" spans="1:38">
      <c r="A410" s="172"/>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row>
    <row r="411" ht="15.75" customHeight="1" spans="1:38">
      <c r="A411" s="172"/>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row>
    <row r="412" ht="15.75" customHeight="1" spans="1:38">
      <c r="A412" s="172"/>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row>
    <row r="413" ht="15.75" customHeight="1" spans="1:38">
      <c r="A413" s="172"/>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row>
    <row r="414" ht="15.75" customHeight="1" spans="1:38">
      <c r="A414" s="172"/>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row>
    <row r="415" ht="15.75" customHeight="1" spans="1:38">
      <c r="A415" s="172"/>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row>
    <row r="416" ht="15.75" customHeight="1" spans="1:38">
      <c r="A416" s="172"/>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row>
    <row r="417" ht="15.75" customHeight="1" spans="1:38">
      <c r="A417" s="172"/>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row>
    <row r="418" ht="15.75" customHeight="1" spans="1:38">
      <c r="A418" s="172"/>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row>
    <row r="419" ht="15.75" customHeight="1" spans="1:38">
      <c r="A419" s="172"/>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row>
    <row r="420" ht="15.75" customHeight="1" spans="1:38">
      <c r="A420" s="172"/>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row>
    <row r="421" ht="15.75" customHeight="1" spans="1:38">
      <c r="A421" s="172"/>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row>
    <row r="422" ht="15.75" customHeight="1" spans="1:38">
      <c r="A422" s="172"/>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row>
    <row r="423" ht="15.75" customHeight="1" spans="1:38">
      <c r="A423" s="172"/>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row>
    <row r="424" ht="15.75" customHeight="1" spans="1:38">
      <c r="A424" s="172"/>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row>
    <row r="425" ht="15.75" customHeight="1" spans="1:38">
      <c r="A425" s="172"/>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row>
    <row r="426" ht="15.75" customHeight="1" spans="1:38">
      <c r="A426" s="172"/>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row>
    <row r="427" ht="15.75" customHeight="1" spans="1:38">
      <c r="A427" s="172"/>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row>
    <row r="428" ht="15.75" customHeight="1" spans="1:38">
      <c r="A428" s="172"/>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row>
    <row r="429" ht="15.75" customHeight="1" spans="1:38">
      <c r="A429" s="172"/>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row>
    <row r="430" ht="15.75" customHeight="1" spans="1:38">
      <c r="A430" s="172"/>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row>
    <row r="431" ht="15.75" customHeight="1" spans="1:38">
      <c r="A431" s="172"/>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row>
    <row r="432" ht="15.75" customHeight="1" spans="1:38">
      <c r="A432" s="172"/>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row>
    <row r="433" ht="15.75" customHeight="1" spans="1:38">
      <c r="A433" s="172"/>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row>
    <row r="434" ht="15.75" customHeight="1" spans="1:38">
      <c r="A434" s="172"/>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row>
    <row r="435" ht="15.75" customHeight="1" spans="1:38">
      <c r="A435" s="172"/>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row>
    <row r="436" ht="15.75" customHeight="1" spans="1:38">
      <c r="A436" s="172"/>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row>
    <row r="437" ht="15.75" customHeight="1" spans="1:38">
      <c r="A437" s="172"/>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row>
    <row r="438" ht="15.75" customHeight="1" spans="1:38">
      <c r="A438" s="172"/>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row>
    <row r="439" ht="15.75" customHeight="1" spans="1:38">
      <c r="A439" s="172"/>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row>
    <row r="440" ht="15.75" customHeight="1" spans="1:38">
      <c r="A440" s="172"/>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row>
    <row r="441" ht="15.75" customHeight="1" spans="1:38">
      <c r="A441" s="172"/>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row>
    <row r="442" ht="15.75" customHeight="1" spans="1:38">
      <c r="A442" s="172"/>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row>
    <row r="443" ht="15.75" customHeight="1" spans="1:38">
      <c r="A443" s="172"/>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row>
    <row r="444" ht="15.75" customHeight="1" spans="1:38">
      <c r="A444" s="172"/>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row>
    <row r="445" ht="15.75" customHeight="1" spans="1:38">
      <c r="A445" s="172"/>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row>
    <row r="446" ht="15.75" customHeight="1" spans="1:38">
      <c r="A446" s="172"/>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row>
    <row r="447" ht="15.75" customHeight="1" spans="1:38">
      <c r="A447" s="172"/>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row>
    <row r="448" ht="15.75" customHeight="1" spans="1:38">
      <c r="A448" s="172"/>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row>
    <row r="449" ht="15.75" customHeight="1" spans="1:38">
      <c r="A449" s="172"/>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row>
    <row r="450" ht="15.75" customHeight="1" spans="1:38">
      <c r="A450" s="172"/>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row>
    <row r="451" ht="15.75" customHeight="1" spans="1:38">
      <c r="A451" s="172"/>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row>
    <row r="452" ht="15.75" customHeight="1" spans="1:38">
      <c r="A452" s="172"/>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row>
    <row r="453" ht="15.75" customHeight="1" spans="1:38">
      <c r="A453" s="172"/>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row>
    <row r="454" ht="15.75" customHeight="1" spans="1:38">
      <c r="A454" s="172"/>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row>
    <row r="455" ht="15.75" customHeight="1" spans="1:38">
      <c r="A455" s="172"/>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row>
    <row r="456" ht="15.75" customHeight="1" spans="1:38">
      <c r="A456" s="172"/>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row>
    <row r="457" ht="15.75" customHeight="1" spans="1:38">
      <c r="A457" s="172"/>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row>
    <row r="458" ht="15.75" customHeight="1" spans="1:38">
      <c r="A458" s="172"/>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row>
    <row r="459" ht="15.75" customHeight="1" spans="1:38">
      <c r="A459" s="172"/>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row>
    <row r="460" ht="15.75" customHeight="1" spans="1:38">
      <c r="A460" s="172"/>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row>
    <row r="461" ht="15.75" customHeight="1" spans="1:38">
      <c r="A461" s="172"/>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row>
    <row r="462" ht="15.75" customHeight="1" spans="1:38">
      <c r="A462" s="172"/>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row>
    <row r="463" ht="15.75" customHeight="1" spans="1:38">
      <c r="A463" s="172"/>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row>
    <row r="464" ht="15.75" customHeight="1" spans="1:38">
      <c r="A464" s="172"/>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row>
    <row r="465" ht="15.75" customHeight="1" spans="1:38">
      <c r="A465" s="172"/>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row>
    <row r="466" ht="15.75" customHeight="1" spans="1:38">
      <c r="A466" s="172"/>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row>
    <row r="467" ht="15.75" customHeight="1" spans="1:38">
      <c r="A467" s="172"/>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row>
    <row r="468" ht="15.75" customHeight="1" spans="1:38">
      <c r="A468" s="172"/>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row>
    <row r="469" ht="15.75" customHeight="1" spans="1:38">
      <c r="A469" s="172"/>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row>
    <row r="470" ht="15.75" customHeight="1" spans="1:38">
      <c r="A470" s="172"/>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row>
    <row r="471" ht="15.75" customHeight="1" spans="1:38">
      <c r="A471" s="172"/>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row>
    <row r="472" ht="15.75" customHeight="1" spans="1:38">
      <c r="A472" s="172"/>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row>
    <row r="473" ht="15.75" customHeight="1" spans="1:38">
      <c r="A473" s="172"/>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row>
    <row r="474" ht="15.75" customHeight="1" spans="1:38">
      <c r="A474" s="172"/>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row>
    <row r="475" ht="15.75" customHeight="1" spans="1:38">
      <c r="A475" s="172"/>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row>
    <row r="476" ht="15.75" customHeight="1" spans="1:38">
      <c r="A476" s="172"/>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row>
    <row r="477" ht="15.75" customHeight="1" spans="1:38">
      <c r="A477" s="172"/>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row>
    <row r="478" ht="15.75" customHeight="1" spans="1:38">
      <c r="A478" s="172"/>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row>
    <row r="479" ht="15.75" customHeight="1" spans="1:38">
      <c r="A479" s="172"/>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row>
    <row r="480" ht="15.75" customHeight="1" spans="1:38">
      <c r="A480" s="172"/>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row>
    <row r="481" ht="15.75" customHeight="1" spans="1:38">
      <c r="A481" s="172"/>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row>
    <row r="482" ht="15.75" customHeight="1" spans="1:38">
      <c r="A482" s="172"/>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row>
    <row r="483" ht="15.75" customHeight="1" spans="1:38">
      <c r="A483" s="172"/>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row>
    <row r="484" ht="15.75" customHeight="1" spans="1:38">
      <c r="A484" s="172"/>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row>
    <row r="485" ht="15.75" customHeight="1" spans="1:38">
      <c r="A485" s="172"/>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row>
    <row r="486" ht="15.75" customHeight="1" spans="1:38">
      <c r="A486" s="172"/>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row>
    <row r="487" ht="15.75" customHeight="1" spans="1:38">
      <c r="A487" s="172"/>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row>
    <row r="488" ht="15.75" customHeight="1" spans="1:38">
      <c r="A488" s="172"/>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row>
    <row r="489" ht="15.75" customHeight="1" spans="1:38">
      <c r="A489" s="172"/>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row>
    <row r="490" ht="15.75" customHeight="1" spans="1:38">
      <c r="A490" s="172"/>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row>
    <row r="491" ht="15.75" customHeight="1" spans="1:38">
      <c r="A491" s="172"/>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row>
    <row r="492" ht="15.75" customHeight="1" spans="1:38">
      <c r="A492" s="172"/>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row>
    <row r="493" ht="15.75" customHeight="1" spans="1:38">
      <c r="A493" s="172"/>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row>
    <row r="494" ht="15.75" customHeight="1" spans="1:38">
      <c r="A494" s="172"/>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row>
    <row r="495" ht="15.75" customHeight="1" spans="1:38">
      <c r="A495" s="172"/>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row>
    <row r="496" ht="15.75" customHeight="1" spans="1:38">
      <c r="A496" s="172"/>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row>
    <row r="497" ht="15.75" customHeight="1" spans="1:38">
      <c r="A497" s="172"/>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row>
    <row r="498" ht="15.75" customHeight="1" spans="1:38">
      <c r="A498" s="172"/>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row>
    <row r="499" ht="15.75" customHeight="1" spans="1:38">
      <c r="A499" s="172"/>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row>
    <row r="500" ht="15.75" customHeight="1" spans="1:38">
      <c r="A500" s="172"/>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row>
    <row r="501" ht="15.75" customHeight="1" spans="1:38">
      <c r="A501" s="172"/>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row>
    <row r="502" ht="15.75" customHeight="1" spans="1:38">
      <c r="A502" s="172"/>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row>
    <row r="503" ht="15.75" customHeight="1" spans="1:38">
      <c r="A503" s="172"/>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row>
    <row r="504" ht="15.75" customHeight="1" spans="1:38">
      <c r="A504" s="172"/>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row>
    <row r="505" ht="15.75" customHeight="1" spans="1:38">
      <c r="A505" s="172"/>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row>
    <row r="506" ht="15.75" customHeight="1" spans="1:38">
      <c r="A506" s="172"/>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row>
    <row r="507" ht="15.75" customHeight="1" spans="1:38">
      <c r="A507" s="172"/>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row>
    <row r="508" ht="15.75" customHeight="1" spans="1:38">
      <c r="A508" s="172"/>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row>
    <row r="509" ht="15.75" customHeight="1" spans="1:38">
      <c r="A509" s="172"/>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row>
    <row r="510" ht="15.75" customHeight="1" spans="1:38">
      <c r="A510" s="172"/>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row>
    <row r="511" ht="15.75" customHeight="1" spans="1:38">
      <c r="A511" s="172"/>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row>
    <row r="512" ht="15.75" customHeight="1" spans="1:38">
      <c r="A512" s="172"/>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row>
    <row r="513" ht="15.75" customHeight="1" spans="1:38">
      <c r="A513" s="172"/>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row>
    <row r="514" ht="15.75" customHeight="1" spans="1:38">
      <c r="A514" s="172"/>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row>
    <row r="515" ht="15.75" customHeight="1" spans="1:38">
      <c r="A515" s="172"/>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row>
    <row r="516" ht="15.75" customHeight="1" spans="1:38">
      <c r="A516" s="172"/>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row>
    <row r="517" ht="15.75" customHeight="1" spans="1:38">
      <c r="A517" s="172"/>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row>
    <row r="518" ht="15.75" customHeight="1" spans="1:38">
      <c r="A518" s="172"/>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row>
    <row r="519" ht="15.75" customHeight="1" spans="1:38">
      <c r="A519" s="172"/>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row>
    <row r="520" ht="15.75" customHeight="1" spans="1:38">
      <c r="A520" s="172"/>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row>
    <row r="521" ht="15.75" customHeight="1" spans="1:38">
      <c r="A521" s="172"/>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row>
    <row r="522" ht="15.75" customHeight="1" spans="1:38">
      <c r="A522" s="172"/>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row>
    <row r="523" ht="15.75" customHeight="1" spans="1:38">
      <c r="A523" s="172"/>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row>
    <row r="524" ht="15.75" customHeight="1" spans="1:38">
      <c r="A524" s="172"/>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row>
    <row r="525" ht="15.75" customHeight="1" spans="1:38">
      <c r="A525" s="172"/>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row>
    <row r="526" ht="15.75" customHeight="1" spans="1:38">
      <c r="A526" s="172"/>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row>
    <row r="527" ht="15.75" customHeight="1" spans="1:38">
      <c r="A527" s="172"/>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row>
    <row r="528" ht="15.75" customHeight="1" spans="1:38">
      <c r="A528" s="172"/>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row>
    <row r="529" ht="15.75" customHeight="1" spans="1:38">
      <c r="A529" s="172"/>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row>
    <row r="530" ht="15.75" customHeight="1" spans="1:38">
      <c r="A530" s="172"/>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row>
    <row r="531" ht="15.75" customHeight="1" spans="1:38">
      <c r="A531" s="172"/>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row>
    <row r="532" ht="15.75" customHeight="1" spans="1:38">
      <c r="A532" s="172"/>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row>
    <row r="533" ht="15.75" customHeight="1" spans="1:38">
      <c r="A533" s="172"/>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row>
    <row r="534" ht="15.75" customHeight="1" spans="1:38">
      <c r="A534" s="172"/>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row>
    <row r="535" ht="15.75" customHeight="1" spans="1:38">
      <c r="A535" s="172"/>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row>
    <row r="536" ht="15.75" customHeight="1" spans="1:38">
      <c r="A536" s="172"/>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row>
    <row r="537" ht="15.75" customHeight="1" spans="1:38">
      <c r="A537" s="172"/>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row>
    <row r="538" ht="15.75" customHeight="1" spans="1:38">
      <c r="A538" s="172"/>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row>
    <row r="539" ht="15.75" customHeight="1" spans="1:38">
      <c r="A539" s="172"/>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row>
    <row r="540" ht="15.75" customHeight="1" spans="1:38">
      <c r="A540" s="172"/>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row>
    <row r="541" ht="15.75" customHeight="1" spans="1:38">
      <c r="A541" s="172"/>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row>
    <row r="542" ht="15.75" customHeight="1" spans="1:38">
      <c r="A542" s="172"/>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row>
    <row r="543" ht="15.75" customHeight="1" spans="1:38">
      <c r="A543" s="172"/>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row>
    <row r="544" ht="15.75" customHeight="1" spans="1:38">
      <c r="A544" s="172"/>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row>
    <row r="545" ht="15.75" customHeight="1" spans="1:38">
      <c r="A545" s="172"/>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row>
    <row r="546" ht="15.75" customHeight="1" spans="1:38">
      <c r="A546" s="172"/>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row>
    <row r="547" ht="15.75" customHeight="1" spans="1:38">
      <c r="A547" s="172"/>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row>
    <row r="548" ht="15.75" customHeight="1" spans="1:38">
      <c r="A548" s="172"/>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row>
    <row r="549" ht="15.75" customHeight="1" spans="1:38">
      <c r="A549" s="172"/>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row>
    <row r="550" ht="15.75" customHeight="1" spans="1:38">
      <c r="A550" s="172"/>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row>
    <row r="551" ht="15.75" customHeight="1" spans="1:38">
      <c r="A551" s="172"/>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row>
    <row r="552" ht="15.75" customHeight="1" spans="1:38">
      <c r="A552" s="172"/>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row>
    <row r="553" ht="15.75" customHeight="1" spans="1:38">
      <c r="A553" s="172"/>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row>
    <row r="554" ht="15.75" customHeight="1" spans="1:38">
      <c r="A554" s="172"/>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row>
    <row r="555" ht="15.75" customHeight="1" spans="1:38">
      <c r="A555" s="172"/>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row>
    <row r="556" ht="15.75" customHeight="1" spans="1:38">
      <c r="A556" s="172"/>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row>
    <row r="557" ht="15.75" customHeight="1" spans="1:38">
      <c r="A557" s="172"/>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row>
    <row r="558" ht="15.75" customHeight="1" spans="1:38">
      <c r="A558" s="172"/>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row>
    <row r="559" ht="15.75" customHeight="1" spans="1:38">
      <c r="A559" s="172"/>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row>
    <row r="560" ht="15.75" customHeight="1" spans="1:38">
      <c r="A560" s="172"/>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row>
    <row r="561" ht="15.75" customHeight="1" spans="1:38">
      <c r="A561" s="172"/>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row>
    <row r="562" ht="15.75" customHeight="1" spans="1:38">
      <c r="A562" s="172"/>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row>
    <row r="563" ht="15.75" customHeight="1" spans="1:38">
      <c r="A563" s="172"/>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row>
    <row r="564" ht="15.75" customHeight="1" spans="1:38">
      <c r="A564" s="172"/>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row>
    <row r="565" ht="15.75" customHeight="1" spans="1:38">
      <c r="A565" s="172"/>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row>
    <row r="566" ht="15.75" customHeight="1" spans="1:38">
      <c r="A566" s="172"/>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row>
    <row r="567" ht="15.75" customHeight="1" spans="1:38">
      <c r="A567" s="172"/>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row>
    <row r="568" ht="15.75" customHeight="1" spans="1:38">
      <c r="A568" s="172"/>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row>
    <row r="569" ht="15.75" customHeight="1" spans="1:38">
      <c r="A569" s="172"/>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row>
    <row r="570" ht="15.75" customHeight="1" spans="1:38">
      <c r="A570" s="172"/>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row>
    <row r="571" ht="15.75" customHeight="1" spans="1:38">
      <c r="A571" s="172"/>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row>
    <row r="572" ht="15.75" customHeight="1" spans="1:38">
      <c r="A572" s="172"/>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row>
    <row r="573" ht="15.75" customHeight="1" spans="1:38">
      <c r="A573" s="172"/>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row>
    <row r="574" ht="15.75" customHeight="1" spans="1:38">
      <c r="A574" s="172"/>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row>
    <row r="575" ht="15.75" customHeight="1" spans="1:38">
      <c r="A575" s="172"/>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row>
    <row r="576" ht="15.75" customHeight="1" spans="1:38">
      <c r="A576" s="172"/>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row>
    <row r="577" ht="15.75" customHeight="1" spans="1:38">
      <c r="A577" s="172"/>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row>
    <row r="578" ht="15.75" customHeight="1" spans="1:38">
      <c r="A578" s="172"/>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row>
    <row r="579" ht="15.75" customHeight="1" spans="1:38">
      <c r="A579" s="172"/>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row>
    <row r="580" ht="15.75" customHeight="1" spans="1:38">
      <c r="A580" s="172"/>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row>
    <row r="581" ht="15.75" customHeight="1" spans="1:38">
      <c r="A581" s="172"/>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row>
    <row r="582" ht="15.75" customHeight="1" spans="1:38">
      <c r="A582" s="172"/>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row>
    <row r="583" ht="15.75" customHeight="1" spans="1:38">
      <c r="A583" s="172"/>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row>
    <row r="584" ht="15.75" customHeight="1" spans="1:38">
      <c r="A584" s="172"/>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row>
    <row r="585" ht="15.75" customHeight="1" spans="1:38">
      <c r="A585" s="172"/>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row>
    <row r="586" ht="15.75" customHeight="1" spans="1:38">
      <c r="A586" s="172"/>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row>
    <row r="587" ht="15.75" customHeight="1" spans="1:38">
      <c r="A587" s="172"/>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row>
    <row r="588" ht="15.75" customHeight="1" spans="1:38">
      <c r="A588" s="172"/>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row>
    <row r="589" ht="15.75" customHeight="1" spans="1:38">
      <c r="A589" s="172"/>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row>
    <row r="590" ht="15.75" customHeight="1" spans="1:38">
      <c r="A590" s="172"/>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row>
    <row r="591" ht="15.75" customHeight="1" spans="1:38">
      <c r="A591" s="172"/>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row>
    <row r="592" ht="15.75" customHeight="1" spans="1:38">
      <c r="A592" s="172"/>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row>
    <row r="593" ht="15.75" customHeight="1" spans="1:38">
      <c r="A593" s="172"/>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row>
    <row r="594" ht="15.75" customHeight="1" spans="1:38">
      <c r="A594" s="172"/>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row>
    <row r="595" ht="15.75" customHeight="1" spans="1:38">
      <c r="A595" s="172"/>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row>
    <row r="596" ht="15.75" customHeight="1" spans="1:38">
      <c r="A596" s="172"/>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row>
    <row r="597" ht="15.75" customHeight="1" spans="1:38">
      <c r="A597" s="172"/>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row>
    <row r="598" ht="15.75" customHeight="1" spans="1:38">
      <c r="A598" s="172"/>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row>
    <row r="599" ht="15.75" customHeight="1" spans="1:38">
      <c r="A599" s="172"/>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row>
    <row r="600" ht="15.75" customHeight="1" spans="1:38">
      <c r="A600" s="172"/>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row>
    <row r="601" ht="15.75" customHeight="1" spans="1:38">
      <c r="A601" s="172"/>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row>
    <row r="602" ht="15.75" customHeight="1" spans="1:38">
      <c r="A602" s="172"/>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row>
    <row r="603" ht="15.75" customHeight="1" spans="1:38">
      <c r="A603" s="172"/>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row>
    <row r="604" ht="15.75" customHeight="1" spans="1:38">
      <c r="A604" s="172"/>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row>
    <row r="605" ht="15.75" customHeight="1" spans="1:38">
      <c r="A605" s="172"/>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row>
    <row r="606" ht="15.75" customHeight="1" spans="1:38">
      <c r="A606" s="172"/>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row>
    <row r="607" ht="15.75" customHeight="1" spans="1:38">
      <c r="A607" s="172"/>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row>
    <row r="608" ht="15.75" customHeight="1" spans="1:38">
      <c r="A608" s="172"/>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row>
    <row r="609" ht="15.75" customHeight="1" spans="1:38">
      <c r="A609" s="172"/>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row>
    <row r="610" ht="15.75" customHeight="1" spans="1:38">
      <c r="A610" s="172"/>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row>
    <row r="611" ht="15.75" customHeight="1" spans="1:38">
      <c r="A611" s="172"/>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row>
    <row r="612" ht="15.75" customHeight="1" spans="1:38">
      <c r="A612" s="172"/>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row>
    <row r="613" ht="15.75" customHeight="1" spans="1:38">
      <c r="A613" s="172"/>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row>
    <row r="614" ht="15.75" customHeight="1" spans="1:38">
      <c r="A614" s="172"/>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row>
    <row r="615" ht="15.75" customHeight="1" spans="1:38">
      <c r="A615" s="172"/>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row>
    <row r="616" ht="15.75" customHeight="1" spans="1:38">
      <c r="A616" s="172"/>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row>
    <row r="617" ht="15.75" customHeight="1" spans="1:38">
      <c r="A617" s="172"/>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row>
    <row r="618" ht="15.75" customHeight="1" spans="1:38">
      <c r="A618" s="172"/>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row>
    <row r="619" ht="15.75" customHeight="1" spans="1:38">
      <c r="A619" s="172"/>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row>
    <row r="620" ht="15.75" customHeight="1" spans="1:38">
      <c r="A620" s="172"/>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row>
    <row r="621" ht="15.75" customHeight="1" spans="1:38">
      <c r="A621" s="172"/>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row>
    <row r="622" ht="15.75" customHeight="1" spans="1:38">
      <c r="A622" s="172"/>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row>
    <row r="623" ht="15.75" customHeight="1" spans="1:38">
      <c r="A623" s="172"/>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row>
    <row r="624" ht="15.75" customHeight="1" spans="1:38">
      <c r="A624" s="172"/>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row>
    <row r="625" ht="15.75" customHeight="1" spans="1:38">
      <c r="A625" s="172"/>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row>
    <row r="626" ht="15.75" customHeight="1" spans="1:38">
      <c r="A626" s="172"/>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row>
    <row r="627" ht="15.75" customHeight="1" spans="1:38">
      <c r="A627" s="172"/>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row>
    <row r="628" ht="15.75" customHeight="1" spans="1:38">
      <c r="A628" s="172"/>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row>
    <row r="629" ht="15.75" customHeight="1" spans="1:38">
      <c r="A629" s="172"/>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row>
    <row r="630" ht="15.75" customHeight="1" spans="1:38">
      <c r="A630" s="172"/>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row>
    <row r="631" ht="15.75" customHeight="1" spans="1:38">
      <c r="A631" s="172"/>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row>
    <row r="632" ht="15.75" customHeight="1" spans="1:38">
      <c r="A632" s="172"/>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row>
    <row r="633" ht="15.75" customHeight="1" spans="1:38">
      <c r="A633" s="172"/>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row>
    <row r="634" ht="15.75" customHeight="1" spans="1:38">
      <c r="A634" s="172"/>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row>
    <row r="635" ht="15.75" customHeight="1" spans="1:38">
      <c r="A635" s="172"/>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row>
    <row r="636" ht="15.75" customHeight="1" spans="1:38">
      <c r="A636" s="172"/>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row>
    <row r="637" ht="15.75" customHeight="1" spans="1:38">
      <c r="A637" s="172"/>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row>
    <row r="638" ht="15.75" customHeight="1" spans="1:38">
      <c r="A638" s="172"/>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row>
    <row r="639" ht="15.75" customHeight="1" spans="1:38">
      <c r="A639" s="172"/>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row>
    <row r="640" ht="15.75" customHeight="1" spans="1:38">
      <c r="A640" s="172"/>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row>
    <row r="641" ht="15.75" customHeight="1" spans="1:38">
      <c r="A641" s="172"/>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row>
    <row r="642" ht="15.75" customHeight="1" spans="1:38">
      <c r="A642" s="172"/>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row>
    <row r="643" ht="15.75" customHeight="1" spans="1:38">
      <c r="A643" s="172"/>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row>
    <row r="644" ht="15.75" customHeight="1" spans="1:38">
      <c r="A644" s="172"/>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row>
    <row r="645" ht="15.75" customHeight="1" spans="1:38">
      <c r="A645" s="172"/>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row>
    <row r="646" ht="15.75" customHeight="1" spans="1:38">
      <c r="A646" s="172"/>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row>
    <row r="647" ht="15.75" customHeight="1" spans="1:38">
      <c r="A647" s="172"/>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row>
    <row r="648" ht="15.75" customHeight="1" spans="1:38">
      <c r="A648" s="172"/>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row>
    <row r="649" ht="15.75" customHeight="1" spans="1:38">
      <c r="A649" s="172"/>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row>
    <row r="650" ht="15.75" customHeight="1" spans="1:38">
      <c r="A650" s="172"/>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row>
    <row r="651" ht="15.75" customHeight="1" spans="1:38">
      <c r="A651" s="172"/>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row>
    <row r="652" ht="15.75" customHeight="1" spans="1:38">
      <c r="A652" s="172"/>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row>
    <row r="653" ht="15.75" customHeight="1" spans="1:38">
      <c r="A653" s="172"/>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row>
    <row r="654" ht="15.75" customHeight="1" spans="1:38">
      <c r="A654" s="172"/>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row>
    <row r="655" ht="15.75" customHeight="1" spans="1:38">
      <c r="A655" s="172"/>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row>
    <row r="656" ht="15.75" customHeight="1" spans="1:38">
      <c r="A656" s="172"/>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row>
    <row r="657" ht="15.75" customHeight="1" spans="1:38">
      <c r="A657" s="172"/>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row>
    <row r="658" ht="15.75" customHeight="1" spans="1:38">
      <c r="A658" s="172"/>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row>
    <row r="659" ht="15.75" customHeight="1" spans="1:38">
      <c r="A659" s="172"/>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row>
    <row r="660" ht="15.75" customHeight="1" spans="1:38">
      <c r="A660" s="172"/>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row>
    <row r="661" ht="15.75" customHeight="1" spans="1:38">
      <c r="A661" s="172"/>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row>
    <row r="662" ht="15.75" customHeight="1" spans="1:38">
      <c r="A662" s="172"/>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row>
    <row r="663" ht="15.75" customHeight="1" spans="1:38">
      <c r="A663" s="172"/>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row>
    <row r="664" ht="15.75" customHeight="1" spans="1:38">
      <c r="A664" s="172"/>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row>
    <row r="665" ht="15.75" customHeight="1" spans="1:38">
      <c r="A665" s="172"/>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row>
    <row r="666" ht="15.75" customHeight="1" spans="1:38">
      <c r="A666" s="172"/>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row>
    <row r="667" ht="15.75" customHeight="1" spans="1:38">
      <c r="A667" s="172"/>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row>
    <row r="668" ht="15.75" customHeight="1" spans="1:38">
      <c r="A668" s="172"/>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row>
    <row r="669" ht="15.75" customHeight="1" spans="1:38">
      <c r="A669" s="172"/>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row>
    <row r="670" ht="15.75" customHeight="1" spans="1:38">
      <c r="A670" s="172"/>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row>
    <row r="671" ht="15.75" customHeight="1" spans="1:38">
      <c r="A671" s="172"/>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row>
    <row r="672" ht="15.75" customHeight="1" spans="1:38">
      <c r="A672" s="172"/>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row>
    <row r="673" ht="15.75" customHeight="1" spans="1:38">
      <c r="A673" s="172"/>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row>
    <row r="674" ht="15.75" customHeight="1" spans="1:38">
      <c r="A674" s="172"/>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row>
    <row r="675" ht="15.75" customHeight="1" spans="1:38">
      <c r="A675" s="172"/>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row>
    <row r="676" ht="15.75" customHeight="1" spans="1:38">
      <c r="A676" s="172"/>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row>
    <row r="677" ht="15.75" customHeight="1" spans="1:38">
      <c r="A677" s="172"/>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row>
    <row r="678" ht="15.75" customHeight="1" spans="1:38">
      <c r="A678" s="172"/>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row>
    <row r="679" ht="15.75" customHeight="1" spans="1:38">
      <c r="A679" s="172"/>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row>
    <row r="680" ht="15.75" customHeight="1" spans="1:38">
      <c r="A680" s="172"/>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row>
    <row r="681" ht="15.75" customHeight="1" spans="1:38">
      <c r="A681" s="172"/>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row>
    <row r="682" ht="15.75" customHeight="1" spans="1:38">
      <c r="A682" s="172"/>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row>
    <row r="683" ht="15.75" customHeight="1" spans="1:38">
      <c r="A683" s="172"/>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row>
    <row r="684" ht="15.75" customHeight="1" spans="1:38">
      <c r="A684" s="172"/>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row>
    <row r="685" ht="15.75" customHeight="1" spans="1:38">
      <c r="A685" s="172"/>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row>
    <row r="686" ht="15.75" customHeight="1" spans="1:38">
      <c r="A686" s="172"/>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row>
    <row r="687" ht="15.75" customHeight="1" spans="1:38">
      <c r="A687" s="172"/>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row>
    <row r="688" ht="15.75" customHeight="1" spans="1:38">
      <c r="A688" s="172"/>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row>
    <row r="689" ht="15.75" customHeight="1" spans="1:38">
      <c r="A689" s="172"/>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row>
    <row r="690" ht="15.75" customHeight="1" spans="1:38">
      <c r="A690" s="172"/>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row>
    <row r="691" ht="15.75" customHeight="1" spans="1:38">
      <c r="A691" s="172"/>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row>
    <row r="692" ht="15.75" customHeight="1" spans="1:38">
      <c r="A692" s="172"/>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row>
    <row r="693" ht="15.75" customHeight="1" spans="1:38">
      <c r="A693" s="172"/>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row>
    <row r="694" ht="15.75" customHeight="1" spans="1:38">
      <c r="A694" s="172"/>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row>
    <row r="695" ht="15.75" customHeight="1" spans="1:38">
      <c r="A695" s="172"/>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row>
    <row r="696" ht="15.75" customHeight="1" spans="1:38">
      <c r="A696" s="172"/>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row>
    <row r="697" ht="15.75" customHeight="1" spans="1:38">
      <c r="A697" s="172"/>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row>
    <row r="698" ht="15.75" customHeight="1" spans="1:38">
      <c r="A698" s="172"/>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row>
    <row r="699" ht="15.75" customHeight="1" spans="1:38">
      <c r="A699" s="172"/>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row>
    <row r="700" ht="15.75" customHeight="1" spans="1:38">
      <c r="A700" s="172"/>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row>
    <row r="701" ht="15.75" customHeight="1" spans="1:38">
      <c r="A701" s="172"/>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row>
    <row r="702" ht="15.75" customHeight="1" spans="1:38">
      <c r="A702" s="172"/>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row>
    <row r="703" ht="15.75" customHeight="1" spans="1:38">
      <c r="A703" s="172"/>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row>
    <row r="704" ht="15.75" customHeight="1" spans="1:38">
      <c r="A704" s="172"/>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row>
    <row r="705" ht="15.75" customHeight="1" spans="1:38">
      <c r="A705" s="172"/>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row>
    <row r="706" ht="15.75" customHeight="1" spans="1:38">
      <c r="A706" s="172"/>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row>
    <row r="707" ht="15.75" customHeight="1" spans="1:38">
      <c r="A707" s="172"/>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row>
    <row r="708" ht="15.75" customHeight="1" spans="1:38">
      <c r="A708" s="172"/>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row>
    <row r="709" ht="15.75" customHeight="1" spans="1:38">
      <c r="A709" s="172"/>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row>
    <row r="710" ht="15.75" customHeight="1" spans="1:38">
      <c r="A710" s="172"/>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row>
    <row r="711" ht="15.75" customHeight="1" spans="1:38">
      <c r="A711" s="172"/>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row>
    <row r="712" ht="15.75" customHeight="1" spans="1:38">
      <c r="A712" s="172"/>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row>
    <row r="713" ht="15.75" customHeight="1" spans="1:38">
      <c r="A713" s="172"/>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row>
    <row r="714" ht="15.75" customHeight="1" spans="1:38">
      <c r="A714" s="172"/>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row>
    <row r="715" ht="15.75" customHeight="1" spans="1:38">
      <c r="A715" s="172"/>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row>
    <row r="716" ht="15.75" customHeight="1" spans="1:38">
      <c r="A716" s="172"/>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row>
    <row r="717" ht="15.75" customHeight="1" spans="1:38">
      <c r="A717" s="172"/>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row>
    <row r="718" ht="15.75" customHeight="1" spans="1:38">
      <c r="A718" s="172"/>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row>
    <row r="719" ht="15.75" customHeight="1" spans="1:38">
      <c r="A719" s="172"/>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row>
    <row r="720" ht="15.75" customHeight="1" spans="1:38">
      <c r="A720" s="172"/>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row>
    <row r="721" ht="15.75" customHeight="1" spans="1:38">
      <c r="A721" s="172"/>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row>
    <row r="722" ht="15.75" customHeight="1" spans="1:38">
      <c r="A722" s="172"/>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row>
    <row r="723" ht="15.75" customHeight="1" spans="1:38">
      <c r="A723" s="172"/>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row>
    <row r="724" ht="15.75" customHeight="1" spans="1:38">
      <c r="A724" s="172"/>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row>
    <row r="725" ht="15.75" customHeight="1" spans="1:38">
      <c r="A725" s="172"/>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row>
    <row r="726" ht="15.75" customHeight="1" spans="1:38">
      <c r="A726" s="172"/>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row>
    <row r="727" ht="15.75" customHeight="1" spans="1:38">
      <c r="A727" s="172"/>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row>
    <row r="728" ht="15.75" customHeight="1" spans="1:38">
      <c r="A728" s="172"/>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row>
    <row r="729" ht="15.75" customHeight="1" spans="1:38">
      <c r="A729" s="172"/>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row>
    <row r="730" ht="15.75" customHeight="1" spans="1:38">
      <c r="A730" s="172"/>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row>
    <row r="731" ht="15.75" customHeight="1" spans="1:38">
      <c r="A731" s="172"/>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row>
    <row r="732" ht="15.75" customHeight="1" spans="1:38">
      <c r="A732" s="172"/>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row>
    <row r="733" ht="15.75" customHeight="1" spans="1:38">
      <c r="A733" s="172"/>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row>
    <row r="734" ht="15.75" customHeight="1" spans="1:38">
      <c r="A734" s="172"/>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row>
    <row r="735" ht="15.75" customHeight="1" spans="1:38">
      <c r="A735" s="172"/>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row>
    <row r="736" ht="15.75" customHeight="1" spans="1:38">
      <c r="A736" s="172"/>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row>
    <row r="737" ht="15.75" customHeight="1" spans="1:38">
      <c r="A737" s="172"/>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row>
    <row r="738" ht="15.75" customHeight="1" spans="1:38">
      <c r="A738" s="172"/>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row>
    <row r="739" ht="15.75" customHeight="1" spans="1:38">
      <c r="A739" s="172"/>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row>
    <row r="740" ht="15.75" customHeight="1" spans="1:38">
      <c r="A740" s="172"/>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row>
    <row r="741" ht="15.75" customHeight="1" spans="1:38">
      <c r="A741" s="172"/>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row>
    <row r="742" ht="15.75" customHeight="1" spans="1:38">
      <c r="A742" s="172"/>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row>
    <row r="743" ht="15.75" customHeight="1" spans="1:38">
      <c r="A743" s="172"/>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row>
    <row r="744" ht="15.75" customHeight="1" spans="1:38">
      <c r="A744" s="172"/>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row>
    <row r="745" ht="15.75" customHeight="1" spans="1:38">
      <c r="A745" s="172"/>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row>
    <row r="746" ht="15.75" customHeight="1" spans="1:38">
      <c r="A746" s="172"/>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row>
    <row r="747" ht="15.75" customHeight="1" spans="1:38">
      <c r="A747" s="172"/>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row>
    <row r="748" ht="15.75" customHeight="1" spans="1:38">
      <c r="A748" s="172"/>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row>
    <row r="749" ht="15.75" customHeight="1" spans="1:38">
      <c r="A749" s="172"/>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row>
    <row r="750" ht="15.75" customHeight="1" spans="1:38">
      <c r="A750" s="172"/>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row>
    <row r="751" ht="15.75" customHeight="1" spans="1:38">
      <c r="A751" s="172"/>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row>
    <row r="752" ht="15.75" customHeight="1" spans="1:38">
      <c r="A752" s="172"/>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row>
    <row r="753" ht="15.75" customHeight="1" spans="1:38">
      <c r="A753" s="172"/>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row>
    <row r="754" ht="15.75" customHeight="1" spans="1:38">
      <c r="A754" s="172"/>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row>
    <row r="755" ht="15.75" customHeight="1" spans="1:38">
      <c r="A755" s="172"/>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row>
    <row r="756" ht="15.75" customHeight="1" spans="1:38">
      <c r="A756" s="172"/>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row>
    <row r="757" ht="15.75" customHeight="1" spans="1:38">
      <c r="A757" s="172"/>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row>
    <row r="758" ht="15.75" customHeight="1" spans="1:38">
      <c r="A758" s="172"/>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row>
    <row r="759" ht="15.75" customHeight="1" spans="1:38">
      <c r="A759" s="172"/>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row>
    <row r="760" ht="15.75" customHeight="1" spans="1:38">
      <c r="A760" s="172"/>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row>
    <row r="761" ht="15.75" customHeight="1" spans="1:38">
      <c r="A761" s="172"/>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row>
    <row r="762" ht="15.75" customHeight="1" spans="1:38">
      <c r="A762" s="172"/>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row>
    <row r="763" ht="15.75" customHeight="1" spans="1:38">
      <c r="A763" s="172"/>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row>
    <row r="764" ht="15.75" customHeight="1" spans="1:38">
      <c r="A764" s="172"/>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row>
    <row r="765" ht="15.75" customHeight="1" spans="1:38">
      <c r="A765" s="172"/>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row>
    <row r="766" ht="15.75" customHeight="1" spans="1:38">
      <c r="A766" s="172"/>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row>
    <row r="767" ht="15.75" customHeight="1" spans="1:38">
      <c r="A767" s="172"/>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row>
    <row r="768" ht="15.75" customHeight="1" spans="1:38">
      <c r="A768" s="172"/>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row>
    <row r="769" ht="15.75" customHeight="1" spans="1:38">
      <c r="A769" s="172"/>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row>
    <row r="770" ht="15.75" customHeight="1" spans="1:38">
      <c r="A770" s="172"/>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row>
    <row r="771" ht="15.75" customHeight="1" spans="1:38">
      <c r="A771" s="172"/>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row>
    <row r="772" ht="15.75" customHeight="1" spans="1:38">
      <c r="A772" s="172"/>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row>
    <row r="773" ht="15.75" customHeight="1" spans="1:38">
      <c r="A773" s="172"/>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row>
    <row r="774" ht="15.75" customHeight="1" spans="1:38">
      <c r="A774" s="172"/>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row>
    <row r="775" ht="15.75" customHeight="1" spans="1:38">
      <c r="A775" s="172"/>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row>
    <row r="776" ht="15.75" customHeight="1" spans="1:38">
      <c r="A776" s="172"/>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row>
    <row r="777" ht="15.75" customHeight="1" spans="1:38">
      <c r="A777" s="172"/>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row>
    <row r="778" ht="15.75" customHeight="1" spans="1:38">
      <c r="A778" s="172"/>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row>
    <row r="779" ht="15.75" customHeight="1" spans="1:38">
      <c r="A779" s="172"/>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row>
    <row r="780" ht="15.75" customHeight="1" spans="1:38">
      <c r="A780" s="172"/>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row>
    <row r="781" ht="15.75" customHeight="1" spans="1:38">
      <c r="A781" s="172"/>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row>
    <row r="782" ht="15.75" customHeight="1" spans="1:38">
      <c r="A782" s="172"/>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row>
    <row r="783" ht="15.75" customHeight="1" spans="1:38">
      <c r="A783" s="172"/>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row>
    <row r="784" ht="15.75" customHeight="1" spans="1:38">
      <c r="A784" s="172"/>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row>
    <row r="785" ht="15.75" customHeight="1" spans="1:38">
      <c r="A785" s="172"/>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row>
    <row r="786" ht="15.75" customHeight="1" spans="1:38">
      <c r="A786" s="172"/>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row>
    <row r="787" ht="15.75" customHeight="1" spans="1:38">
      <c r="A787" s="172"/>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row>
    <row r="788" ht="15.75" customHeight="1" spans="1:38">
      <c r="A788" s="172"/>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row>
    <row r="789" ht="15.75" customHeight="1" spans="1:38">
      <c r="A789" s="172"/>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row>
    <row r="790" ht="15.75" customHeight="1" spans="1:38">
      <c r="A790" s="172"/>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row>
    <row r="791" ht="15.75" customHeight="1" spans="1:38">
      <c r="A791" s="172"/>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row>
    <row r="792" ht="15.75" customHeight="1" spans="1:38">
      <c r="A792" s="172"/>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row>
    <row r="793" ht="15.75" customHeight="1" spans="1:38">
      <c r="A793" s="172"/>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row>
    <row r="794" ht="15.75" customHeight="1" spans="1:38">
      <c r="A794" s="172"/>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row>
    <row r="795" ht="15.75" customHeight="1" spans="1:38">
      <c r="A795" s="172"/>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row>
    <row r="796" ht="15.75" customHeight="1" spans="1:38">
      <c r="A796" s="172"/>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row>
    <row r="797" ht="15.75" customHeight="1" spans="1:38">
      <c r="A797" s="172"/>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row>
    <row r="798" ht="15.75" customHeight="1" spans="1:38">
      <c r="A798" s="172"/>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row>
    <row r="799" ht="15.75" customHeight="1" spans="1:38">
      <c r="A799" s="172"/>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row>
    <row r="800" ht="15.75" customHeight="1" spans="1:38">
      <c r="A800" s="172"/>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row>
    <row r="801" ht="15.75" customHeight="1" spans="1:38">
      <c r="A801" s="172"/>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row>
    <row r="802" ht="15.75" customHeight="1" spans="1:38">
      <c r="A802" s="172"/>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row>
    <row r="803" ht="15.75" customHeight="1" spans="1:38">
      <c r="A803" s="172"/>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row>
    <row r="804" ht="15.75" customHeight="1" spans="1:38">
      <c r="A804" s="172"/>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row>
    <row r="805" ht="15.75" customHeight="1" spans="1:38">
      <c r="A805" s="172"/>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row>
    <row r="806" ht="15.75" customHeight="1" spans="1:38">
      <c r="A806" s="172"/>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row>
    <row r="807" ht="15.75" customHeight="1" spans="1:38">
      <c r="A807" s="172"/>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row>
    <row r="808" ht="15.75" customHeight="1" spans="1:38">
      <c r="A808" s="172"/>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row>
    <row r="809" ht="15.75" customHeight="1" spans="1:38">
      <c r="A809" s="172"/>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row>
    <row r="810" ht="15.75" customHeight="1" spans="1:38">
      <c r="A810" s="172"/>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row>
    <row r="811" ht="15.75" customHeight="1" spans="1:38">
      <c r="A811" s="172"/>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row>
    <row r="812" ht="15.75" customHeight="1" spans="1:38">
      <c r="A812" s="172"/>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row>
    <row r="813" ht="15.75" customHeight="1" spans="1:38">
      <c r="A813" s="172"/>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row>
    <row r="814" ht="15.75" customHeight="1" spans="1:38">
      <c r="A814" s="172"/>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row>
    <row r="815" ht="15.75" customHeight="1" spans="1:38">
      <c r="A815" s="172"/>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row>
    <row r="816" ht="15.75" customHeight="1" spans="1:38">
      <c r="A816" s="172"/>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row>
    <row r="817" ht="15.75" customHeight="1" spans="1:38">
      <c r="A817" s="172"/>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row>
    <row r="818" ht="15.75" customHeight="1" spans="1:38">
      <c r="A818" s="172"/>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row>
    <row r="819" ht="15.75" customHeight="1" spans="1:38">
      <c r="A819" s="172"/>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row>
    <row r="820" ht="15.75" customHeight="1" spans="1:38">
      <c r="A820" s="172"/>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row>
    <row r="821" ht="15.75" customHeight="1" spans="1:38">
      <c r="A821" s="172"/>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row>
    <row r="822" ht="15.75" customHeight="1" spans="1:38">
      <c r="A822" s="172"/>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row>
    <row r="823" ht="15.75" customHeight="1" spans="1:38">
      <c r="A823" s="172"/>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row>
    <row r="824" ht="15.75" customHeight="1" spans="1:38">
      <c r="A824" s="172"/>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row>
    <row r="825" ht="15.75" customHeight="1" spans="1:38">
      <c r="A825" s="172"/>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row>
    <row r="826" ht="15.75" customHeight="1" spans="1:38">
      <c r="A826" s="172"/>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row>
    <row r="827" ht="15.75" customHeight="1" spans="1:38">
      <c r="A827" s="172"/>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row>
    <row r="828" ht="15.75" customHeight="1" spans="1:38">
      <c r="A828" s="172"/>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row>
    <row r="829" ht="15.75" customHeight="1" spans="1:38">
      <c r="A829" s="172"/>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row>
    <row r="830" ht="15.75" customHeight="1" spans="1:38">
      <c r="A830" s="172"/>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row>
    <row r="831" ht="15.75" customHeight="1" spans="1:38">
      <c r="A831" s="172"/>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row>
    <row r="832" ht="15.75" customHeight="1" spans="1:38">
      <c r="A832" s="172"/>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row>
    <row r="833" ht="15.75" customHeight="1" spans="1:38">
      <c r="A833" s="172"/>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row>
    <row r="834" ht="15.75" customHeight="1" spans="1:38">
      <c r="A834" s="172"/>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row>
    <row r="835" ht="15.75" customHeight="1" spans="1:38">
      <c r="A835" s="172"/>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row>
    <row r="836" ht="15.75" customHeight="1" spans="1:38">
      <c r="A836" s="172"/>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row>
    <row r="837" ht="15.75" customHeight="1" spans="1:38">
      <c r="A837" s="172"/>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row>
    <row r="838" ht="15.75" customHeight="1" spans="1:38">
      <c r="A838" s="172"/>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row>
    <row r="839" ht="15.75" customHeight="1" spans="1:38">
      <c r="A839" s="172"/>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row>
    <row r="840" ht="15.75" customHeight="1" spans="1:38">
      <c r="A840" s="172"/>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row>
    <row r="841" ht="15.75" customHeight="1" spans="1:38">
      <c r="A841" s="172"/>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row>
    <row r="842" ht="15.75" customHeight="1" spans="1:38">
      <c r="A842" s="172"/>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row>
    <row r="843" ht="15.75" customHeight="1" spans="1:38">
      <c r="A843" s="172"/>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row>
    <row r="844" ht="15.75" customHeight="1" spans="1:38">
      <c r="A844" s="172"/>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row>
    <row r="845" ht="15.75" customHeight="1" spans="1:38">
      <c r="A845" s="172"/>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row>
    <row r="846" ht="15.75" customHeight="1" spans="1:38">
      <c r="A846" s="172"/>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row>
    <row r="847" ht="15.75" customHeight="1" spans="1:38">
      <c r="A847" s="172"/>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row>
    <row r="848" ht="15.75" customHeight="1" spans="1:38">
      <c r="A848" s="172"/>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row>
    <row r="849" ht="15.75" customHeight="1" spans="1:38">
      <c r="A849" s="172"/>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row>
    <row r="850" ht="15.75" customHeight="1" spans="1:38">
      <c r="A850" s="172"/>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row>
    <row r="851" ht="15.75" customHeight="1" spans="1:38">
      <c r="A851" s="172"/>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row>
    <row r="852" ht="15.75" customHeight="1" spans="1:38">
      <c r="A852" s="172"/>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row>
    <row r="853" ht="15.75" customHeight="1" spans="1:38">
      <c r="A853" s="172"/>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row>
    <row r="854" ht="15.75" customHeight="1" spans="1:38">
      <c r="A854" s="172"/>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row>
    <row r="855" ht="15.75" customHeight="1" spans="1:38">
      <c r="A855" s="172"/>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row>
    <row r="856" ht="15.75" customHeight="1" spans="1:38">
      <c r="A856" s="172"/>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row>
    <row r="857" ht="15.75" customHeight="1" spans="1:38">
      <c r="A857" s="172"/>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row>
    <row r="858" ht="15.75" customHeight="1" spans="1:38">
      <c r="A858" s="172"/>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row>
    <row r="859" ht="15.75" customHeight="1" spans="1:38">
      <c r="A859" s="172"/>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row>
    <row r="860" ht="15.75" customHeight="1" spans="1:38">
      <c r="A860" s="172"/>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row>
    <row r="861" ht="15.75" customHeight="1" spans="1:38">
      <c r="A861" s="172"/>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row>
    <row r="862" ht="15.75" customHeight="1" spans="1:38">
      <c r="A862" s="172"/>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row>
    <row r="863" ht="15.75" customHeight="1" spans="1:38">
      <c r="A863" s="172"/>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row>
    <row r="864" ht="15.75" customHeight="1" spans="1:38">
      <c r="A864" s="172"/>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row>
    <row r="865" ht="15.75" customHeight="1" spans="1:38">
      <c r="A865" s="172"/>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row>
    <row r="866" ht="15.75" customHeight="1" spans="1:38">
      <c r="A866" s="172"/>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row>
    <row r="867" ht="15.75" customHeight="1" spans="1:38">
      <c r="A867" s="172"/>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row>
    <row r="868" ht="15.75" customHeight="1" spans="1:38">
      <c r="A868" s="172"/>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row>
    <row r="869" ht="15.75" customHeight="1" spans="1:38">
      <c r="A869" s="172"/>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row>
    <row r="870" ht="15.75" customHeight="1" spans="1:38">
      <c r="A870" s="172"/>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row>
    <row r="871" ht="15.75" customHeight="1" spans="1:38">
      <c r="A871" s="172"/>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row>
    <row r="872" ht="15.75" customHeight="1" spans="1:38">
      <c r="A872" s="172"/>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row>
    <row r="873" ht="15.75" customHeight="1" spans="1:38">
      <c r="A873" s="172"/>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row>
    <row r="874" ht="15.75" customHeight="1" spans="1:38">
      <c r="A874" s="172"/>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row>
    <row r="875" ht="15.75" customHeight="1" spans="1:38">
      <c r="A875" s="172"/>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row>
    <row r="876" ht="15.75" customHeight="1" spans="1:38">
      <c r="A876" s="172"/>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row>
    <row r="877" ht="15.75" customHeight="1" spans="1:38">
      <c r="A877" s="172"/>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row>
    <row r="878" ht="15.75" customHeight="1" spans="1:38">
      <c r="A878" s="172"/>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row>
    <row r="879" ht="15.75" customHeight="1" spans="1:38">
      <c r="A879" s="172"/>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row>
    <row r="880" ht="15.75" customHeight="1" spans="1:38">
      <c r="A880" s="172"/>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row>
    <row r="881" ht="15.75" customHeight="1" spans="1:38">
      <c r="A881" s="172"/>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row>
    <row r="882" ht="15.75" customHeight="1" spans="1:38">
      <c r="A882" s="172"/>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row>
    <row r="883" ht="15.75" customHeight="1" spans="1:38">
      <c r="A883" s="172"/>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row>
    <row r="884" ht="15.75" customHeight="1" spans="1:38">
      <c r="A884" s="172"/>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row>
    <row r="885" ht="15.75" customHeight="1" spans="1:38">
      <c r="A885" s="172"/>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row>
    <row r="886" ht="15.75" customHeight="1" spans="1:38">
      <c r="A886" s="172"/>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row>
    <row r="887" ht="15.75" customHeight="1" spans="1:38">
      <c r="A887" s="172"/>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row>
    <row r="888" ht="15.75" customHeight="1" spans="1:38">
      <c r="A888" s="172"/>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row>
    <row r="889" ht="15.75" customHeight="1" spans="1:38">
      <c r="A889" s="172"/>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row>
    <row r="890" ht="15.75" customHeight="1" spans="1:38">
      <c r="A890" s="172"/>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row>
    <row r="891" ht="15.75" customHeight="1" spans="1:38">
      <c r="A891" s="172"/>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row>
    <row r="892" ht="15.75" customHeight="1" spans="1:38">
      <c r="A892" s="172"/>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row>
    <row r="893" ht="15.75" customHeight="1" spans="1:38">
      <c r="A893" s="172"/>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row>
    <row r="894" ht="15.75" customHeight="1" spans="1:38">
      <c r="A894" s="172"/>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row>
    <row r="895" ht="15.75" customHeight="1" spans="1:38">
      <c r="A895" s="172"/>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row>
    <row r="896" ht="15.75" customHeight="1" spans="1:38">
      <c r="A896" s="172"/>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row>
    <row r="897" ht="15.75" customHeight="1" spans="1:38">
      <c r="A897" s="172"/>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row>
    <row r="898" ht="15.75" customHeight="1" spans="1:38">
      <c r="A898" s="172"/>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row>
    <row r="899" ht="15.75" customHeight="1" spans="1:38">
      <c r="A899" s="172"/>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row>
    <row r="900" ht="15.75" customHeight="1" spans="1:38">
      <c r="A900" s="172"/>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row>
    <row r="901" ht="15.75" customHeight="1" spans="1:38">
      <c r="A901" s="172"/>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row>
    <row r="902" ht="15.75" customHeight="1" spans="1:38">
      <c r="A902" s="172"/>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row>
    <row r="903" ht="15.75" customHeight="1" spans="1:38">
      <c r="A903" s="172"/>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row>
    <row r="904" ht="15.75" customHeight="1" spans="1:38">
      <c r="A904" s="172"/>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row>
    <row r="905" ht="15.75" customHeight="1" spans="1:38">
      <c r="A905" s="172"/>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row>
    <row r="906" ht="15.75" customHeight="1" spans="1:38">
      <c r="A906" s="172"/>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row>
    <row r="907" ht="15.75" customHeight="1" spans="1:38">
      <c r="A907" s="172"/>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row>
    <row r="908" ht="15.75" customHeight="1" spans="1:38">
      <c r="A908" s="172"/>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row>
    <row r="909" ht="15.75" customHeight="1" spans="1:38">
      <c r="A909" s="172"/>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row>
    <row r="910" ht="15.75" customHeight="1" spans="1:38">
      <c r="A910" s="172"/>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row>
    <row r="911" ht="15.75" customHeight="1" spans="1:38">
      <c r="A911" s="172"/>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row>
    <row r="912" ht="15.75" customHeight="1" spans="1:38">
      <c r="A912" s="172"/>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row>
    <row r="913" ht="15.75" customHeight="1" spans="1:38">
      <c r="A913" s="172"/>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row>
    <row r="914" ht="15.75" customHeight="1" spans="1:38">
      <c r="A914" s="172"/>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row>
    <row r="915" ht="15.75" customHeight="1" spans="1:38">
      <c r="A915" s="172"/>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row>
    <row r="916" ht="15.75" customHeight="1" spans="1:38">
      <c r="A916" s="172"/>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row>
    <row r="917" ht="15.75" customHeight="1" spans="1:38">
      <c r="A917" s="172"/>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row>
    <row r="918" ht="15.75" customHeight="1" spans="1:38">
      <c r="A918" s="172"/>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row>
    <row r="919" ht="15.75" customHeight="1" spans="1:38">
      <c r="A919" s="172"/>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row>
    <row r="920" ht="15.75" customHeight="1" spans="1:38">
      <c r="A920" s="172"/>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row>
    <row r="921" ht="15.75" customHeight="1" spans="1:38">
      <c r="A921" s="172"/>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row>
    <row r="922" ht="15.75" customHeight="1" spans="1:38">
      <c r="A922" s="172"/>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row>
    <row r="923" ht="15.75" customHeight="1" spans="1:38">
      <c r="A923" s="172"/>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row>
    <row r="924" ht="15.75" customHeight="1" spans="1:38">
      <c r="A924" s="172"/>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row>
    <row r="925" ht="15.75" customHeight="1" spans="1:38">
      <c r="A925" s="172"/>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row>
    <row r="926" ht="15.75" customHeight="1" spans="1:38">
      <c r="A926" s="172"/>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row>
    <row r="927" ht="15.75" customHeight="1" spans="1:38">
      <c r="A927" s="172"/>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row>
    <row r="928" ht="15.75" customHeight="1" spans="1:38">
      <c r="A928" s="172"/>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row>
    <row r="929" ht="15.75" customHeight="1" spans="1:38">
      <c r="A929" s="172"/>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row>
    <row r="930" ht="15.75" customHeight="1" spans="1:38">
      <c r="A930" s="172"/>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row>
    <row r="931" ht="15.75" customHeight="1" spans="1:38">
      <c r="A931" s="172"/>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row>
    <row r="932" ht="15.75" customHeight="1" spans="1:38">
      <c r="A932" s="172"/>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row>
    <row r="933" ht="15.75" customHeight="1" spans="1:38">
      <c r="A933" s="172"/>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row>
    <row r="934" ht="15.75" customHeight="1" spans="1:38">
      <c r="A934" s="172"/>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row>
    <row r="935" ht="15.75" customHeight="1" spans="1:38">
      <c r="A935" s="172"/>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row>
    <row r="936" ht="15.75" customHeight="1" spans="1:38">
      <c r="A936" s="172"/>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row>
    <row r="937" ht="15.75" customHeight="1" spans="1:38">
      <c r="A937" s="172"/>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row>
    <row r="938" ht="15.75" customHeight="1" spans="1:38">
      <c r="A938" s="172"/>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row>
    <row r="939" ht="15.75" customHeight="1" spans="1:38">
      <c r="A939" s="172"/>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row>
    <row r="940" ht="15.75" customHeight="1" spans="1:38">
      <c r="A940" s="172"/>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row>
    <row r="941" ht="15.75" customHeight="1" spans="1:38">
      <c r="A941" s="172"/>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row>
    <row r="942" ht="15.75" customHeight="1" spans="1:38">
      <c r="A942" s="172"/>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row>
    <row r="943" ht="15.75" customHeight="1" spans="1:38">
      <c r="A943" s="172"/>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row>
    <row r="944" ht="15.75" customHeight="1" spans="1:38">
      <c r="A944" s="172"/>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row>
    <row r="945" ht="15.75" customHeight="1" spans="1:38">
      <c r="A945" s="172"/>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row>
    <row r="946" ht="15.75" customHeight="1" spans="1:38">
      <c r="A946" s="172"/>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row>
    <row r="947" ht="15.75" customHeight="1" spans="1:38">
      <c r="A947" s="172"/>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row>
    <row r="948" ht="15.75" customHeight="1" spans="1:38">
      <c r="A948" s="172"/>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row>
    <row r="949" ht="15.75" customHeight="1" spans="1:38">
      <c r="A949" s="172"/>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row>
    <row r="950" ht="15.75" customHeight="1" spans="1:38">
      <c r="A950" s="172"/>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row>
    <row r="951" ht="15.75" customHeight="1" spans="1:38">
      <c r="A951" s="172"/>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row>
    <row r="952" ht="15.75" customHeight="1" spans="1:38">
      <c r="A952" s="172"/>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row>
    <row r="953" ht="15.75" customHeight="1" spans="1:38">
      <c r="A953" s="172"/>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row>
    <row r="954" ht="15.75" customHeight="1" spans="1:38">
      <c r="A954" s="172"/>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row>
    <row r="955" ht="15.75" customHeight="1" spans="1:38">
      <c r="A955" s="172"/>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row>
    <row r="956" ht="15.75" customHeight="1" spans="1:38">
      <c r="A956" s="172"/>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row>
    <row r="957" ht="15.75" customHeight="1" spans="1:38">
      <c r="A957" s="172"/>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row>
    <row r="958" ht="15.75" customHeight="1" spans="1:38">
      <c r="A958" s="172"/>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row>
    <row r="959" ht="15.75" customHeight="1" spans="1:38">
      <c r="A959" s="172"/>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row>
    <row r="960" ht="15.75" customHeight="1" spans="1:38">
      <c r="A960" s="172"/>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row>
    <row r="961" ht="15.75" customHeight="1" spans="1:38">
      <c r="A961" s="172"/>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row>
    <row r="962" ht="15.75" customHeight="1" spans="1:38">
      <c r="A962" s="172"/>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row>
    <row r="963" ht="15.75" customHeight="1" spans="1:38">
      <c r="A963" s="172"/>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row>
    <row r="964" ht="15.75" customHeight="1" spans="1:38">
      <c r="A964" s="172"/>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row>
    <row r="965" ht="15.75" customHeight="1" spans="1:38">
      <c r="A965" s="172"/>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row>
    <row r="966" ht="15.75" customHeight="1" spans="1:38">
      <c r="A966" s="172"/>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row>
    <row r="967" ht="15.75" customHeight="1" spans="1:38">
      <c r="A967" s="172"/>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row>
    <row r="968" ht="15.75" customHeight="1" spans="1:38">
      <c r="A968" s="172"/>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row>
    <row r="969" ht="15.75" customHeight="1" spans="1:38">
      <c r="A969" s="172"/>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row>
    <row r="970" ht="15.75" customHeight="1" spans="1:38">
      <c r="A970" s="172"/>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row>
    <row r="971" ht="15.75" customHeight="1" spans="1:38">
      <c r="A971" s="172"/>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row>
    <row r="972" ht="15.75" customHeight="1" spans="1:38">
      <c r="A972" s="172"/>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row>
    <row r="973" ht="15.75" customHeight="1" spans="1:38">
      <c r="A973" s="172"/>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row>
    <row r="974" ht="15.75" customHeight="1" spans="1:38">
      <c r="A974" s="172"/>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row>
    <row r="975" ht="15.75" customHeight="1" spans="1:38">
      <c r="A975" s="172"/>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row>
    <row r="976" ht="15.75" customHeight="1" spans="1:38">
      <c r="A976" s="172"/>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row>
    <row r="977" ht="15.75" customHeight="1" spans="1:38">
      <c r="A977" s="172"/>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row>
    <row r="978" ht="15.75" customHeight="1" spans="1:38">
      <c r="A978" s="172"/>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row>
    <row r="979" ht="15.75" customHeight="1" spans="1:38">
      <c r="A979" s="172"/>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row>
    <row r="980" ht="15.75" customHeight="1" spans="1:38">
      <c r="A980" s="172"/>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row>
    <row r="981" ht="15.75" customHeight="1" spans="1:38">
      <c r="A981" s="172"/>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row>
    <row r="982" ht="15.75" customHeight="1" spans="1:38">
      <c r="A982" s="172"/>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row>
    <row r="983" ht="15.75" customHeight="1" spans="1:38">
      <c r="A983" s="172"/>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row>
    <row r="984" ht="15.75" customHeight="1" spans="1:38">
      <c r="A984" s="172"/>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row>
    <row r="985" ht="15.75" customHeight="1" spans="1:38">
      <c r="A985" s="172"/>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row>
    <row r="986" ht="15.75" customHeight="1" spans="1:38">
      <c r="A986" s="172"/>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row>
    <row r="987" ht="15.75" customHeight="1" spans="1:38">
      <c r="A987" s="172"/>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row>
    <row r="988" ht="15.75" customHeight="1" spans="1:38">
      <c r="A988" s="172"/>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row>
    <row r="989" ht="15.75" customHeight="1" spans="1:38">
      <c r="A989" s="172"/>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row>
    <row r="990" ht="15.75" customHeight="1" spans="1:38">
      <c r="A990" s="172"/>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row>
    <row r="991" ht="15.75" customHeight="1" spans="1:38">
      <c r="A991" s="172"/>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row>
    <row r="992" ht="15.75" customHeight="1" spans="1:38">
      <c r="A992" s="172"/>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row>
    <row r="993" ht="15.75" customHeight="1" spans="1:38">
      <c r="A993" s="172"/>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row>
    <row r="994" ht="15.75" customHeight="1" spans="1:38">
      <c r="A994" s="172"/>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row>
    <row r="995" ht="15.75" customHeight="1" spans="1:38">
      <c r="A995" s="172"/>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row>
    <row r="996" ht="15.75" customHeight="1" spans="1:38">
      <c r="A996" s="172"/>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row>
    <row r="997" ht="15.75" customHeight="1" spans="1:38">
      <c r="A997" s="172"/>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row>
    <row r="998" ht="15.75" customHeight="1" spans="1:38">
      <c r="A998" s="172"/>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row>
    <row r="999" ht="15.75" customHeight="1" spans="1:38">
      <c r="A999" s="172"/>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row>
    <row r="1000" ht="15.75" customHeight="1" spans="1:38">
      <c r="A1000" s="172"/>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row>
  </sheetData>
  <mergeCells count="1">
    <mergeCell ref="O1:AB1"/>
  </mergeCells>
  <pageMargins left="0.7" right="0.7" top="0.75" bottom="0.75" header="0" footer="0"/>
  <pageSetup paperSize="1" orientation="portrait"/>
  <headerFooter>
    <oddFooter>&amp;C000000000000&amp;P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1000"/>
  <sheetViews>
    <sheetView showGridLines="0" workbookViewId="0">
      <selection activeCell="B1" sqref="B$1:B$1048576"/>
    </sheetView>
  </sheetViews>
  <sheetFormatPr defaultColWidth="12.5714285714286" defaultRowHeight="15" customHeight="1"/>
  <cols>
    <col min="1" max="1" width="19.4285714285714" customWidth="1"/>
    <col min="2" max="2" width="18.4285714285714" style="139" customWidth="1"/>
    <col min="3" max="3" width="15.4285714285714" customWidth="1"/>
    <col min="4" max="4" width="19.4285714285714" customWidth="1"/>
    <col min="5" max="5" width="16.2857142857143" customWidth="1"/>
    <col min="6" max="9" width="15" customWidth="1"/>
    <col min="10" max="10" width="7.71428571428571" customWidth="1"/>
    <col min="11" max="11" width="15.2857142857143" customWidth="1"/>
    <col min="12" max="12" width="18.4285714285714" customWidth="1"/>
    <col min="13" max="14" width="16.7142857142857" customWidth="1"/>
    <col min="15" max="15" width="11.1428571428571" customWidth="1"/>
    <col min="16" max="16" width="14.7142857142857" customWidth="1"/>
    <col min="17" max="17" width="11.8571428571429" customWidth="1"/>
    <col min="18" max="18" width="13" customWidth="1"/>
    <col min="19" max="21" width="15" customWidth="1"/>
    <col min="22" max="22" width="12.8571428571429" customWidth="1"/>
    <col min="23" max="23" width="14.4285714285714" customWidth="1"/>
    <col min="24" max="40" width="19.1428571428571" customWidth="1"/>
    <col min="41" max="41" width="11.4285714285714" customWidth="1"/>
    <col min="42" max="51" width="9.14285714285714" customWidth="1"/>
  </cols>
  <sheetData>
    <row r="1" ht="15.75" customHeight="1" spans="1:51">
      <c r="A1" s="26" t="s">
        <v>189</v>
      </c>
      <c r="B1" s="140" t="s">
        <v>116</v>
      </c>
      <c r="C1" s="26" t="s">
        <v>156</v>
      </c>
      <c r="D1" s="26" t="s">
        <v>152</v>
      </c>
      <c r="E1" s="26" t="s">
        <v>190</v>
      </c>
      <c r="F1" s="26" t="s">
        <v>154</v>
      </c>
      <c r="G1" s="26" t="s">
        <v>155</v>
      </c>
      <c r="H1" s="26" t="s">
        <v>133</v>
      </c>
      <c r="I1" s="26" t="s">
        <v>157</v>
      </c>
      <c r="J1" s="26" t="s">
        <v>40</v>
      </c>
      <c r="K1" s="26" t="s">
        <v>191</v>
      </c>
      <c r="L1" s="26" t="s">
        <v>159</v>
      </c>
      <c r="M1" s="71" t="s">
        <v>192</v>
      </c>
      <c r="N1" s="26" t="s">
        <v>193</v>
      </c>
      <c r="O1" s="72"/>
      <c r="P1" s="73" t="s">
        <v>162</v>
      </c>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34"/>
      <c r="AP1" s="135"/>
      <c r="AQ1" s="69"/>
      <c r="AR1" s="69"/>
      <c r="AS1" s="69"/>
      <c r="AT1" s="69"/>
      <c r="AU1" s="69"/>
      <c r="AV1" s="69"/>
      <c r="AW1" s="69"/>
      <c r="AX1" s="69"/>
      <c r="AY1" s="69"/>
    </row>
    <row r="2" ht="15.75" customHeight="1" spans="1:51">
      <c r="A2" s="27"/>
      <c r="B2" s="141"/>
      <c r="C2" s="29"/>
      <c r="D2" s="27"/>
      <c r="E2" s="27"/>
      <c r="F2" s="27"/>
      <c r="G2" s="27"/>
      <c r="H2" s="27"/>
      <c r="I2" s="27"/>
      <c r="J2" s="29"/>
      <c r="K2" s="164"/>
      <c r="L2" s="75"/>
      <c r="M2" s="76"/>
      <c r="N2" s="77"/>
      <c r="O2" s="78">
        <v>0.7</v>
      </c>
      <c r="P2" s="79" t="s">
        <v>163</v>
      </c>
      <c r="Q2" s="129" t="s">
        <v>164</v>
      </c>
      <c r="R2" s="129" t="s">
        <v>165</v>
      </c>
      <c r="S2" s="129" t="s">
        <v>166</v>
      </c>
      <c r="T2" s="129" t="s">
        <v>167</v>
      </c>
      <c r="U2" s="130" t="s">
        <v>168</v>
      </c>
      <c r="V2" s="79" t="s">
        <v>169</v>
      </c>
      <c r="W2" s="130" t="s">
        <v>170</v>
      </c>
      <c r="X2" s="131" t="s">
        <v>194</v>
      </c>
      <c r="Y2" s="131" t="s">
        <v>195</v>
      </c>
      <c r="Z2" s="131" t="s">
        <v>196</v>
      </c>
      <c r="AA2" s="131" t="s">
        <v>197</v>
      </c>
      <c r="AB2" s="131" t="s">
        <v>198</v>
      </c>
      <c r="AC2" s="131" t="s">
        <v>199</v>
      </c>
      <c r="AD2" s="131" t="s">
        <v>200</v>
      </c>
      <c r="AE2" s="131" t="s">
        <v>201</v>
      </c>
      <c r="AF2" s="131" t="s">
        <v>202</v>
      </c>
      <c r="AG2" s="131" t="s">
        <v>203</v>
      </c>
      <c r="AH2" s="131" t="s">
        <v>204</v>
      </c>
      <c r="AI2" s="131" t="s">
        <v>205</v>
      </c>
      <c r="AJ2" s="131" t="s">
        <v>206</v>
      </c>
      <c r="AK2" s="131" t="s">
        <v>207</v>
      </c>
      <c r="AL2" s="131" t="s">
        <v>208</v>
      </c>
      <c r="AM2" s="131" t="s">
        <v>209</v>
      </c>
      <c r="AN2" s="131" t="s">
        <v>210</v>
      </c>
      <c r="AO2" s="131" t="s">
        <v>44</v>
      </c>
      <c r="AP2" s="135"/>
      <c r="AQ2" s="69"/>
      <c r="AR2" s="69"/>
      <c r="AS2" s="69"/>
      <c r="AT2" s="69"/>
      <c r="AU2" s="69"/>
      <c r="AV2" s="69"/>
      <c r="AW2" s="69"/>
      <c r="AX2" s="69"/>
      <c r="AY2" s="69"/>
    </row>
    <row r="3" ht="15.75" customHeight="1" spans="1:51">
      <c r="A3" s="142" t="s">
        <v>211</v>
      </c>
      <c r="B3" s="143">
        <v>45078</v>
      </c>
      <c r="C3" s="32">
        <f t="shared" ref="C3:C25" si="0">(D3+E3+F3+G3+H3)</f>
        <v>353000</v>
      </c>
      <c r="D3" s="32">
        <v>353000</v>
      </c>
      <c r="E3" s="33"/>
      <c r="F3" s="33"/>
      <c r="G3" s="33"/>
      <c r="H3" s="33"/>
      <c r="I3" s="33">
        <f>'Détail Dépenses'!Y51</f>
        <v>289000</v>
      </c>
      <c r="J3" s="80">
        <f t="shared" ref="J3:J32" si="1">I3/C3</f>
        <v>0.818696883852691</v>
      </c>
      <c r="K3" s="85">
        <f t="shared" ref="K3:K32" si="2">D3-I3</f>
        <v>64000</v>
      </c>
      <c r="L3" s="81">
        <v>64000</v>
      </c>
      <c r="M3" s="81">
        <f t="shared" ref="M3:M28" si="3">L3-K3</f>
        <v>0</v>
      </c>
      <c r="N3" s="82">
        <f>L3</f>
        <v>64000</v>
      </c>
      <c r="O3" s="83"/>
      <c r="P3" s="84">
        <f>11500</f>
        <v>11500</v>
      </c>
      <c r="Q3" s="84"/>
      <c r="R3" s="84">
        <f>16500</f>
        <v>16500</v>
      </c>
      <c r="S3" s="84">
        <f>25000</f>
        <v>25000</v>
      </c>
      <c r="T3" s="84"/>
      <c r="U3" s="84"/>
      <c r="V3" s="84">
        <v>9000</v>
      </c>
      <c r="W3" s="84"/>
      <c r="X3" s="84"/>
      <c r="Y3" s="84"/>
      <c r="Z3" s="84"/>
      <c r="AA3" s="84">
        <v>2000</v>
      </c>
      <c r="AB3" s="84"/>
      <c r="AC3" s="84"/>
      <c r="AD3" s="84"/>
      <c r="AE3" s="84"/>
      <c r="AF3" s="84"/>
      <c r="AG3" s="84"/>
      <c r="AH3" s="84"/>
      <c r="AI3" s="84"/>
      <c r="AJ3" s="84"/>
      <c r="AK3" s="84"/>
      <c r="AL3" s="84"/>
      <c r="AM3" s="84"/>
      <c r="AN3" s="84"/>
      <c r="AO3" s="136">
        <f t="shared" ref="AO3:AO32" si="4">SUM(AA3:AN3)</f>
        <v>2000</v>
      </c>
      <c r="AP3" s="133"/>
      <c r="AQ3" s="69"/>
      <c r="AR3" s="69"/>
      <c r="AS3" s="69"/>
      <c r="AT3" s="69"/>
      <c r="AU3" s="69"/>
      <c r="AV3" s="69"/>
      <c r="AW3" s="69"/>
      <c r="AX3" s="69"/>
      <c r="AY3" s="69"/>
    </row>
    <row r="4" ht="15.75" customHeight="1" spans="1:51">
      <c r="A4" s="146" t="s">
        <v>145</v>
      </c>
      <c r="B4" s="147">
        <v>45079</v>
      </c>
      <c r="C4" s="36">
        <f t="shared" si="0"/>
        <v>504250</v>
      </c>
      <c r="D4" s="36">
        <v>504250</v>
      </c>
      <c r="E4" s="38"/>
      <c r="F4" s="38"/>
      <c r="G4" s="38"/>
      <c r="H4" s="38"/>
      <c r="I4" s="38">
        <f>'Détail Dépenses'!Y52</f>
        <v>43300</v>
      </c>
      <c r="J4" s="24">
        <f t="shared" si="1"/>
        <v>0.0858701041150223</v>
      </c>
      <c r="K4" s="85">
        <f t="shared" si="2"/>
        <v>460950</v>
      </c>
      <c r="L4" s="85">
        <v>461000</v>
      </c>
      <c r="M4" s="85">
        <f t="shared" si="3"/>
        <v>50</v>
      </c>
      <c r="N4" s="86">
        <f t="shared" ref="N4:N32" si="5">N3+L4</f>
        <v>525000</v>
      </c>
      <c r="O4" s="87"/>
      <c r="P4" s="88">
        <f>35500</f>
        <v>35500</v>
      </c>
      <c r="Q4" s="88">
        <f>37500</f>
        <v>37500</v>
      </c>
      <c r="R4" s="88"/>
      <c r="S4" s="88"/>
      <c r="T4" s="88"/>
      <c r="U4" s="88"/>
      <c r="V4" s="88">
        <f>11000</f>
        <v>11000</v>
      </c>
      <c r="W4" s="88"/>
      <c r="X4" s="88"/>
      <c r="Y4" s="88"/>
      <c r="Z4" s="88"/>
      <c r="AA4" s="88">
        <v>2000</v>
      </c>
      <c r="AB4" s="88"/>
      <c r="AC4" s="88"/>
      <c r="AD4" s="88"/>
      <c r="AE4" s="88"/>
      <c r="AF4" s="88"/>
      <c r="AG4" s="88"/>
      <c r="AH4" s="88"/>
      <c r="AI4" s="88"/>
      <c r="AJ4" s="88"/>
      <c r="AK4" s="88"/>
      <c r="AL4" s="88"/>
      <c r="AM4" s="88"/>
      <c r="AN4" s="88"/>
      <c r="AO4" s="137">
        <f t="shared" si="4"/>
        <v>2000</v>
      </c>
      <c r="AP4" s="133"/>
      <c r="AQ4" s="69"/>
      <c r="AR4" s="69"/>
      <c r="AS4" s="69"/>
      <c r="AT4" s="69"/>
      <c r="AU4" s="69"/>
      <c r="AV4" s="69"/>
      <c r="AW4" s="69"/>
      <c r="AX4" s="69"/>
      <c r="AY4" s="69"/>
    </row>
    <row r="5" ht="15.75" customHeight="1" spans="1:51">
      <c r="A5" s="146" t="s">
        <v>139</v>
      </c>
      <c r="B5" s="147">
        <v>45080</v>
      </c>
      <c r="C5" s="36">
        <f t="shared" si="0"/>
        <v>549500</v>
      </c>
      <c r="D5" s="36">
        <v>549500</v>
      </c>
      <c r="E5" s="38"/>
      <c r="F5" s="38"/>
      <c r="G5" s="38"/>
      <c r="H5" s="38"/>
      <c r="I5" s="38">
        <f>'Détail Dépenses'!Y53</f>
        <v>274550</v>
      </c>
      <c r="J5" s="24">
        <f t="shared" si="1"/>
        <v>0.499636032757052</v>
      </c>
      <c r="K5" s="85">
        <f t="shared" si="2"/>
        <v>274950</v>
      </c>
      <c r="L5" s="85">
        <v>275000</v>
      </c>
      <c r="M5" s="85">
        <f t="shared" si="3"/>
        <v>50</v>
      </c>
      <c r="N5" s="86">
        <f t="shared" si="5"/>
        <v>800000</v>
      </c>
      <c r="O5" s="87"/>
      <c r="P5" s="88"/>
      <c r="Q5" s="88">
        <f>2000</f>
        <v>2000</v>
      </c>
      <c r="R5" s="88">
        <f>48000</f>
        <v>48000</v>
      </c>
      <c r="S5" s="88"/>
      <c r="T5" s="88"/>
      <c r="U5" s="88"/>
      <c r="V5" s="88">
        <f>4000+1500+2000</f>
        <v>7500</v>
      </c>
      <c r="W5" s="88"/>
      <c r="X5" s="88"/>
      <c r="Y5" s="88"/>
      <c r="Z5" s="88"/>
      <c r="AA5" s="88">
        <v>2000</v>
      </c>
      <c r="AB5" s="88"/>
      <c r="AC5" s="88"/>
      <c r="AD5" s="88"/>
      <c r="AE5" s="88"/>
      <c r="AF5" s="88"/>
      <c r="AG5" s="88"/>
      <c r="AH5" s="88"/>
      <c r="AI5" s="88"/>
      <c r="AJ5" s="88"/>
      <c r="AK5" s="88"/>
      <c r="AL5" s="88"/>
      <c r="AM5" s="88"/>
      <c r="AN5" s="88"/>
      <c r="AO5" s="137">
        <f t="shared" si="4"/>
        <v>2000</v>
      </c>
      <c r="AP5" s="133"/>
      <c r="AQ5" s="69"/>
      <c r="AR5" s="69"/>
      <c r="AS5" s="69"/>
      <c r="AT5" s="69"/>
      <c r="AU5" s="69"/>
      <c r="AV5" s="69"/>
      <c r="AW5" s="69"/>
      <c r="AX5" s="69"/>
      <c r="AY5" s="69"/>
    </row>
    <row r="6" ht="15.75" customHeight="1" spans="1:51">
      <c r="A6" s="144" t="s">
        <v>140</v>
      </c>
      <c r="B6" s="145">
        <v>45081</v>
      </c>
      <c r="C6" s="41">
        <f t="shared" si="0"/>
        <v>214500</v>
      </c>
      <c r="D6" s="41">
        <v>214500</v>
      </c>
      <c r="E6" s="42"/>
      <c r="F6" s="42"/>
      <c r="G6" s="42"/>
      <c r="H6" s="42"/>
      <c r="I6" s="42">
        <f>'Détail Dépenses'!Y54</f>
        <v>344650</v>
      </c>
      <c r="J6" s="89">
        <f t="shared" si="1"/>
        <v>1.60675990675991</v>
      </c>
      <c r="K6" s="85">
        <f t="shared" si="2"/>
        <v>-130150</v>
      </c>
      <c r="L6" s="90">
        <f>111200-241800</f>
        <v>-130600</v>
      </c>
      <c r="M6" s="90">
        <f t="shared" si="3"/>
        <v>-450</v>
      </c>
      <c r="N6" s="86">
        <f t="shared" si="5"/>
        <v>669400</v>
      </c>
      <c r="O6" s="92"/>
      <c r="P6" s="93"/>
      <c r="Q6" s="93"/>
      <c r="R6" s="93"/>
      <c r="S6" s="93"/>
      <c r="T6" s="93"/>
      <c r="U6" s="93"/>
      <c r="V6" s="93">
        <v>9000</v>
      </c>
      <c r="W6" s="93"/>
      <c r="X6" s="93"/>
      <c r="Y6" s="93"/>
      <c r="Z6" s="93"/>
      <c r="AA6" s="93">
        <v>1000</v>
      </c>
      <c r="AB6" s="93"/>
      <c r="AC6" s="93"/>
      <c r="AD6" s="93"/>
      <c r="AE6" s="93"/>
      <c r="AF6" s="93"/>
      <c r="AG6" s="93"/>
      <c r="AH6" s="93"/>
      <c r="AI6" s="93"/>
      <c r="AJ6" s="93"/>
      <c r="AK6" s="93"/>
      <c r="AL6" s="93"/>
      <c r="AM6" s="93"/>
      <c r="AN6" s="93">
        <v>1000</v>
      </c>
      <c r="AO6" s="138">
        <f t="shared" si="4"/>
        <v>2000</v>
      </c>
      <c r="AP6" s="133"/>
      <c r="AQ6" s="69"/>
      <c r="AR6" s="69"/>
      <c r="AS6" s="69"/>
      <c r="AT6" s="69"/>
      <c r="AU6" s="69"/>
      <c r="AV6" s="69"/>
      <c r="AW6" s="69"/>
      <c r="AX6" s="69"/>
      <c r="AY6" s="69"/>
    </row>
    <row r="7" ht="15.75" customHeight="1" spans="1:51">
      <c r="A7" s="142" t="s">
        <v>141</v>
      </c>
      <c r="B7" s="143">
        <v>45082</v>
      </c>
      <c r="C7" s="173">
        <f t="shared" si="0"/>
        <v>162500</v>
      </c>
      <c r="D7" s="32">
        <v>162500</v>
      </c>
      <c r="E7" s="33"/>
      <c r="F7" s="33"/>
      <c r="G7" s="33"/>
      <c r="H7" s="33"/>
      <c r="I7" s="33">
        <f>'Détail Dépenses'!Y55</f>
        <v>132725</v>
      </c>
      <c r="J7" s="80">
        <f t="shared" si="1"/>
        <v>0.816769230769231</v>
      </c>
      <c r="K7" s="85">
        <f t="shared" si="2"/>
        <v>29775</v>
      </c>
      <c r="L7" s="81">
        <v>30000</v>
      </c>
      <c r="M7" s="81">
        <f t="shared" si="3"/>
        <v>225</v>
      </c>
      <c r="N7" s="86">
        <f t="shared" si="5"/>
        <v>699400</v>
      </c>
      <c r="O7" s="83"/>
      <c r="P7" s="84">
        <v>5000</v>
      </c>
      <c r="Q7" s="194"/>
      <c r="R7" s="84">
        <v>16000</v>
      </c>
      <c r="S7" s="84"/>
      <c r="T7" s="84">
        <f>27000</f>
        <v>27000</v>
      </c>
      <c r="U7" s="84"/>
      <c r="V7" s="84">
        <v>9500</v>
      </c>
      <c r="W7" s="84"/>
      <c r="X7" s="84">
        <v>7500</v>
      </c>
      <c r="Y7" s="84"/>
      <c r="Z7" s="84"/>
      <c r="AA7" s="84">
        <v>2000</v>
      </c>
      <c r="AB7" s="84"/>
      <c r="AC7" s="84"/>
      <c r="AD7" s="84"/>
      <c r="AE7" s="84"/>
      <c r="AF7" s="84"/>
      <c r="AG7" s="84"/>
      <c r="AH7" s="84"/>
      <c r="AI7" s="84"/>
      <c r="AJ7" s="84"/>
      <c r="AK7" s="84"/>
      <c r="AL7" s="84"/>
      <c r="AM7" s="84"/>
      <c r="AN7" s="84">
        <v>1000</v>
      </c>
      <c r="AO7" s="136">
        <f t="shared" si="4"/>
        <v>3000</v>
      </c>
      <c r="AP7" s="133"/>
      <c r="AQ7" s="69"/>
      <c r="AR7" s="69"/>
      <c r="AS7" s="69"/>
      <c r="AT7" s="69"/>
      <c r="AU7" s="69"/>
      <c r="AV7" s="69"/>
      <c r="AW7" s="69"/>
      <c r="AX7" s="69"/>
      <c r="AY7" s="69"/>
    </row>
    <row r="8" ht="15.75" customHeight="1" spans="1:51">
      <c r="A8" s="146" t="s">
        <v>142</v>
      </c>
      <c r="B8" s="147">
        <v>45083</v>
      </c>
      <c r="C8" s="32">
        <f t="shared" si="0"/>
        <v>311750</v>
      </c>
      <c r="D8" s="37">
        <v>311750</v>
      </c>
      <c r="E8" s="38"/>
      <c r="F8" s="38"/>
      <c r="G8" s="38"/>
      <c r="H8" s="38"/>
      <c r="I8" s="38">
        <f>'Détail Dépenses'!Y56</f>
        <v>212350</v>
      </c>
      <c r="J8" s="24">
        <f t="shared" si="1"/>
        <v>0.681154771451484</v>
      </c>
      <c r="K8" s="85">
        <f t="shared" si="2"/>
        <v>99400</v>
      </c>
      <c r="L8" s="85">
        <v>99400</v>
      </c>
      <c r="M8" s="85">
        <f t="shared" si="3"/>
        <v>0</v>
      </c>
      <c r="N8" s="86">
        <f t="shared" si="5"/>
        <v>798800</v>
      </c>
      <c r="O8" s="87"/>
      <c r="P8" s="88"/>
      <c r="Q8" s="88"/>
      <c r="R8" s="88"/>
      <c r="S8" s="88"/>
      <c r="T8" s="88"/>
      <c r="U8" s="88"/>
      <c r="V8" s="88">
        <v>13500</v>
      </c>
      <c r="W8" s="88"/>
      <c r="X8" s="88"/>
      <c r="Y8" s="88"/>
      <c r="Z8" s="88"/>
      <c r="AA8" s="88">
        <v>1500</v>
      </c>
      <c r="AB8" s="88">
        <v>1500</v>
      </c>
      <c r="AC8" s="88"/>
      <c r="AD8" s="88">
        <v>500</v>
      </c>
      <c r="AE8" s="88"/>
      <c r="AF8" s="88">
        <v>500</v>
      </c>
      <c r="AG8" s="88">
        <v>500</v>
      </c>
      <c r="AH8" s="88"/>
      <c r="AI8" s="88"/>
      <c r="AJ8" s="88"/>
      <c r="AK8" s="88"/>
      <c r="AL8" s="88"/>
      <c r="AM8" s="88"/>
      <c r="AN8" s="88">
        <v>1500</v>
      </c>
      <c r="AO8" s="137">
        <f t="shared" si="4"/>
        <v>6000</v>
      </c>
      <c r="AP8" s="133"/>
      <c r="AQ8" s="69"/>
      <c r="AR8" s="69"/>
      <c r="AS8" s="69"/>
      <c r="AT8" s="69"/>
      <c r="AU8" s="69"/>
      <c r="AV8" s="69"/>
      <c r="AW8" s="69"/>
      <c r="AX8" s="69"/>
      <c r="AY8" s="69"/>
    </row>
    <row r="9" ht="15.75" customHeight="1" spans="1:51">
      <c r="A9" s="146" t="s">
        <v>143</v>
      </c>
      <c r="B9" s="147">
        <v>45084</v>
      </c>
      <c r="C9" s="36">
        <f t="shared" si="0"/>
        <v>520000</v>
      </c>
      <c r="D9" s="36">
        <v>520000</v>
      </c>
      <c r="E9" s="38"/>
      <c r="F9" s="38"/>
      <c r="G9" s="38"/>
      <c r="H9" s="38"/>
      <c r="I9" s="38">
        <f>'Détail Dépenses'!Y57</f>
        <v>260850</v>
      </c>
      <c r="J9" s="24">
        <f t="shared" si="1"/>
        <v>0.501634615384615</v>
      </c>
      <c r="K9" s="85">
        <f t="shared" si="2"/>
        <v>259150</v>
      </c>
      <c r="L9" s="85">
        <f>310000-50000</f>
        <v>260000</v>
      </c>
      <c r="M9" s="85">
        <f t="shared" si="3"/>
        <v>850</v>
      </c>
      <c r="N9" s="86">
        <f t="shared" si="5"/>
        <v>1058800</v>
      </c>
      <c r="O9" s="87"/>
      <c r="P9" s="88"/>
      <c r="Q9" s="88"/>
      <c r="R9" s="88">
        <v>19500</v>
      </c>
      <c r="S9" s="88"/>
      <c r="T9" s="88"/>
      <c r="U9" s="88"/>
      <c r="V9" s="88">
        <f>30000+5000+5000</f>
        <v>40000</v>
      </c>
      <c r="W9" s="88"/>
      <c r="X9" s="88"/>
      <c r="Y9" s="88"/>
      <c r="Z9" s="88">
        <v>91000</v>
      </c>
      <c r="AA9" s="88"/>
      <c r="AB9" s="88"/>
      <c r="AC9" s="88"/>
      <c r="AD9" s="88"/>
      <c r="AE9" s="88">
        <v>5000</v>
      </c>
      <c r="AF9" s="88"/>
      <c r="AG9" s="88"/>
      <c r="AH9" s="88"/>
      <c r="AI9" s="88"/>
      <c r="AJ9" s="88"/>
      <c r="AK9" s="88"/>
      <c r="AL9" s="88"/>
      <c r="AM9" s="88"/>
      <c r="AN9" s="88">
        <v>500</v>
      </c>
      <c r="AO9" s="137">
        <f t="shared" si="4"/>
        <v>5500</v>
      </c>
      <c r="AP9" s="133"/>
      <c r="AQ9" s="69"/>
      <c r="AR9" s="69"/>
      <c r="AS9" s="69"/>
      <c r="AT9" s="69"/>
      <c r="AU9" s="69"/>
      <c r="AV9" s="69"/>
      <c r="AW9" s="69"/>
      <c r="AX9" s="69"/>
      <c r="AY9" s="69"/>
    </row>
    <row r="10" ht="15.75" customHeight="1" spans="1:51">
      <c r="A10" s="146" t="s">
        <v>144</v>
      </c>
      <c r="B10" s="147">
        <v>45085</v>
      </c>
      <c r="C10" s="36">
        <f t="shared" si="0"/>
        <v>437250</v>
      </c>
      <c r="D10" s="174">
        <v>437250</v>
      </c>
      <c r="E10" s="38"/>
      <c r="F10" s="38"/>
      <c r="G10" s="38"/>
      <c r="H10" s="38"/>
      <c r="I10" s="38">
        <f>'Détail Dépenses'!Y58</f>
        <v>123250</v>
      </c>
      <c r="J10" s="24">
        <f t="shared" si="1"/>
        <v>0.281875357347055</v>
      </c>
      <c r="K10" s="85">
        <f t="shared" si="2"/>
        <v>314000</v>
      </c>
      <c r="L10" s="85">
        <v>314000</v>
      </c>
      <c r="M10" s="85">
        <f t="shared" si="3"/>
        <v>0</v>
      </c>
      <c r="N10" s="86">
        <f t="shared" si="5"/>
        <v>1372800</v>
      </c>
      <c r="O10" s="87"/>
      <c r="P10" s="88">
        <f>9500</f>
        <v>9500</v>
      </c>
      <c r="Q10" s="88"/>
      <c r="R10" s="88"/>
      <c r="S10" s="88">
        <f>11000</f>
        <v>11000</v>
      </c>
      <c r="T10" s="88"/>
      <c r="U10" s="88"/>
      <c r="V10" s="88">
        <f>13500</f>
        <v>13500</v>
      </c>
      <c r="W10" s="88"/>
      <c r="X10" s="88"/>
      <c r="Y10" s="88">
        <v>90500</v>
      </c>
      <c r="Z10" s="88">
        <v>40000</v>
      </c>
      <c r="AA10" s="88">
        <v>2000</v>
      </c>
      <c r="AB10" s="88"/>
      <c r="AC10" s="88"/>
      <c r="AD10" s="88"/>
      <c r="AE10" s="88"/>
      <c r="AF10" s="88"/>
      <c r="AG10" s="88"/>
      <c r="AH10" s="88"/>
      <c r="AI10" s="88"/>
      <c r="AJ10" s="88"/>
      <c r="AK10" s="88"/>
      <c r="AL10" s="88"/>
      <c r="AM10" s="88"/>
      <c r="AN10" s="88">
        <v>1000</v>
      </c>
      <c r="AO10" s="137">
        <f t="shared" si="4"/>
        <v>3000</v>
      </c>
      <c r="AP10" s="133"/>
      <c r="AQ10" s="69"/>
      <c r="AR10" s="69"/>
      <c r="AS10" s="69"/>
      <c r="AT10" s="69"/>
      <c r="AU10" s="69"/>
      <c r="AV10" s="69"/>
      <c r="AW10" s="69"/>
      <c r="AX10" s="69"/>
      <c r="AY10" s="69"/>
    </row>
    <row r="11" ht="15.75" customHeight="1" spans="1:51">
      <c r="A11" s="146" t="s">
        <v>145</v>
      </c>
      <c r="B11" s="147">
        <v>45086</v>
      </c>
      <c r="C11" s="41">
        <f t="shared" si="0"/>
        <v>1019500</v>
      </c>
      <c r="D11" s="174">
        <v>1019500</v>
      </c>
      <c r="E11" s="38"/>
      <c r="F11" s="38"/>
      <c r="G11" s="38"/>
      <c r="H11" s="38"/>
      <c r="I11" s="38">
        <f>'Détail Dépenses'!Y59</f>
        <v>159075</v>
      </c>
      <c r="J11" s="24">
        <f t="shared" si="1"/>
        <v>0.156032368808239</v>
      </c>
      <c r="K11" s="85">
        <f t="shared" si="2"/>
        <v>860425</v>
      </c>
      <c r="L11" s="85">
        <v>860000</v>
      </c>
      <c r="M11" s="85">
        <f t="shared" si="3"/>
        <v>-425</v>
      </c>
      <c r="N11" s="86">
        <f t="shared" si="5"/>
        <v>2232800</v>
      </c>
      <c r="O11" s="87"/>
      <c r="P11" s="88"/>
      <c r="Q11" s="88">
        <f>47000</f>
        <v>47000</v>
      </c>
      <c r="R11" s="88"/>
      <c r="S11" s="88"/>
      <c r="T11" s="88"/>
      <c r="U11" s="88"/>
      <c r="V11" s="88">
        <f>6000</f>
        <v>6000</v>
      </c>
      <c r="W11" s="88"/>
      <c r="X11" s="88"/>
      <c r="Y11" s="88">
        <f>50000</f>
        <v>50000</v>
      </c>
      <c r="Z11" s="88"/>
      <c r="AA11" s="88">
        <f>2500</f>
        <v>2500</v>
      </c>
      <c r="AB11" s="88"/>
      <c r="AC11" s="88"/>
      <c r="AD11" s="88"/>
      <c r="AE11" s="88"/>
      <c r="AF11" s="88"/>
      <c r="AG11" s="88"/>
      <c r="AH11" s="88"/>
      <c r="AI11" s="88"/>
      <c r="AJ11" s="88"/>
      <c r="AK11" s="88"/>
      <c r="AL11" s="88"/>
      <c r="AM11" s="88"/>
      <c r="AN11" s="88">
        <f>1500</f>
        <v>1500</v>
      </c>
      <c r="AO11" s="137">
        <f t="shared" si="4"/>
        <v>4000</v>
      </c>
      <c r="AP11" s="133"/>
      <c r="AQ11" s="69"/>
      <c r="AR11" s="69"/>
      <c r="AS11" s="69"/>
      <c r="AT11" s="69"/>
      <c r="AU11" s="69"/>
      <c r="AV11" s="69"/>
      <c r="AW11" s="69"/>
      <c r="AX11" s="69"/>
      <c r="AY11" s="69"/>
    </row>
    <row r="12" ht="15.75" customHeight="1" spans="1:51">
      <c r="A12" s="146" t="s">
        <v>139</v>
      </c>
      <c r="B12" s="147">
        <v>45087</v>
      </c>
      <c r="C12" s="173">
        <f t="shared" si="0"/>
        <v>1153500</v>
      </c>
      <c r="D12" s="174">
        <v>1153500</v>
      </c>
      <c r="E12" s="38"/>
      <c r="F12" s="38"/>
      <c r="G12" s="38"/>
      <c r="H12" s="38"/>
      <c r="I12" s="38">
        <f>'Détail Dépenses'!Y60</f>
        <v>168050</v>
      </c>
      <c r="J12" s="24">
        <f t="shared" si="1"/>
        <v>0.145687039445167</v>
      </c>
      <c r="K12" s="85">
        <f t="shared" si="2"/>
        <v>985450</v>
      </c>
      <c r="L12" s="85">
        <f>995500-10000</f>
        <v>985500</v>
      </c>
      <c r="M12" s="85">
        <f t="shared" si="3"/>
        <v>50</v>
      </c>
      <c r="N12" s="86">
        <f t="shared" si="5"/>
        <v>3218300</v>
      </c>
      <c r="O12" s="87"/>
      <c r="P12" s="88">
        <v>5500</v>
      </c>
      <c r="Q12" s="88"/>
      <c r="R12" s="88">
        <v>46500</v>
      </c>
      <c r="S12" s="88">
        <v>55000</v>
      </c>
      <c r="T12" s="88"/>
      <c r="U12" s="88">
        <v>11000</v>
      </c>
      <c r="V12" s="88">
        <v>5000</v>
      </c>
      <c r="W12" s="88"/>
      <c r="X12" s="88"/>
      <c r="Y12" s="88">
        <v>172000</v>
      </c>
      <c r="Z12" s="88"/>
      <c r="AA12" s="88">
        <v>2500</v>
      </c>
      <c r="AB12" s="88">
        <v>1500</v>
      </c>
      <c r="AC12" s="88"/>
      <c r="AD12" s="88"/>
      <c r="AE12" s="88"/>
      <c r="AF12" s="88"/>
      <c r="AG12" s="88"/>
      <c r="AH12" s="88"/>
      <c r="AI12" s="88"/>
      <c r="AJ12" s="88"/>
      <c r="AK12" s="88"/>
      <c r="AL12" s="88"/>
      <c r="AM12" s="88"/>
      <c r="AN12" s="88">
        <f>1000</f>
        <v>1000</v>
      </c>
      <c r="AO12" s="137">
        <f t="shared" si="4"/>
        <v>5000</v>
      </c>
      <c r="AP12" s="133"/>
      <c r="AQ12" s="69"/>
      <c r="AR12" s="69"/>
      <c r="AS12" s="69"/>
      <c r="AT12" s="69"/>
      <c r="AU12" s="69"/>
      <c r="AV12" s="69"/>
      <c r="AW12" s="69"/>
      <c r="AX12" s="69"/>
      <c r="AY12" s="69"/>
    </row>
    <row r="13" ht="15.75" customHeight="1" spans="1:51">
      <c r="A13" s="144" t="s">
        <v>140</v>
      </c>
      <c r="B13" s="145">
        <v>45088</v>
      </c>
      <c r="C13" s="32">
        <f t="shared" si="0"/>
        <v>942250</v>
      </c>
      <c r="D13" s="44">
        <f>950750-8500</f>
        <v>942250</v>
      </c>
      <c r="E13" s="42"/>
      <c r="F13" s="42"/>
      <c r="G13" s="42"/>
      <c r="H13" s="42"/>
      <c r="I13" s="42">
        <f>'Détail Dépenses'!Y61</f>
        <v>1425850</v>
      </c>
      <c r="J13" s="89">
        <f t="shared" si="1"/>
        <v>1.51323958609711</v>
      </c>
      <c r="K13" s="85">
        <f t="shared" si="2"/>
        <v>-483600</v>
      </c>
      <c r="L13" s="90">
        <f>727600-831500-160000-10000-120000-90000</f>
        <v>-483900</v>
      </c>
      <c r="M13" s="90">
        <f t="shared" si="3"/>
        <v>-300</v>
      </c>
      <c r="N13" s="86">
        <f t="shared" si="5"/>
        <v>2734400</v>
      </c>
      <c r="O13" s="92"/>
      <c r="P13" s="93"/>
      <c r="Q13" s="93"/>
      <c r="R13" s="93">
        <v>49000</v>
      </c>
      <c r="S13" s="93">
        <f>8500+60000</f>
        <v>68500</v>
      </c>
      <c r="T13" s="93"/>
      <c r="U13" s="93"/>
      <c r="V13" s="93">
        <f>8500+9500+4500</f>
        <v>22500</v>
      </c>
      <c r="W13" s="93"/>
      <c r="X13" s="93"/>
      <c r="Y13" s="93">
        <v>81500</v>
      </c>
      <c r="Z13" s="93"/>
      <c r="AA13" s="93">
        <v>2000</v>
      </c>
      <c r="AB13" s="93"/>
      <c r="AC13" s="93"/>
      <c r="AD13" s="93"/>
      <c r="AE13" s="93"/>
      <c r="AF13" s="93"/>
      <c r="AG13" s="93"/>
      <c r="AH13" s="93"/>
      <c r="AI13" s="93"/>
      <c r="AJ13" s="93"/>
      <c r="AK13" s="93"/>
      <c r="AL13" s="93"/>
      <c r="AM13" s="93"/>
      <c r="AN13" s="93"/>
      <c r="AO13" s="138">
        <f t="shared" si="4"/>
        <v>2000</v>
      </c>
      <c r="AP13" s="133"/>
      <c r="AQ13" s="69"/>
      <c r="AR13" s="69"/>
      <c r="AS13" s="69"/>
      <c r="AT13" s="69"/>
      <c r="AU13" s="69"/>
      <c r="AV13" s="69"/>
      <c r="AW13" s="69"/>
      <c r="AX13" s="69"/>
      <c r="AY13" s="69"/>
    </row>
    <row r="14" ht="15.75" customHeight="1" spans="1:51">
      <c r="A14" s="142" t="s">
        <v>141</v>
      </c>
      <c r="B14" s="143">
        <v>45089</v>
      </c>
      <c r="C14" s="36">
        <f t="shared" si="0"/>
        <v>376500</v>
      </c>
      <c r="D14" s="32">
        <v>376500</v>
      </c>
      <c r="E14" s="33"/>
      <c r="F14" s="33"/>
      <c r="G14" s="33"/>
      <c r="H14" s="33"/>
      <c r="I14" s="33">
        <f>'Détail Dépenses'!Y62</f>
        <v>191225</v>
      </c>
      <c r="J14" s="80">
        <f t="shared" si="1"/>
        <v>0.507901726427623</v>
      </c>
      <c r="K14" s="85">
        <f t="shared" si="2"/>
        <v>185275</v>
      </c>
      <c r="L14" s="81">
        <v>185200</v>
      </c>
      <c r="M14" s="81">
        <f t="shared" si="3"/>
        <v>-75</v>
      </c>
      <c r="N14" s="86">
        <f t="shared" si="5"/>
        <v>2919600</v>
      </c>
      <c r="O14" s="83"/>
      <c r="P14" s="84">
        <f>8000</f>
        <v>8000</v>
      </c>
      <c r="Q14" s="84">
        <f>5000</f>
        <v>5000</v>
      </c>
      <c r="R14" s="84">
        <v>17500</v>
      </c>
      <c r="S14" s="84"/>
      <c r="T14" s="84"/>
      <c r="U14" s="84"/>
      <c r="V14" s="84"/>
      <c r="W14" s="84"/>
      <c r="X14" s="84"/>
      <c r="Y14" s="84">
        <v>151000</v>
      </c>
      <c r="Z14" s="84"/>
      <c r="AA14" s="84">
        <f>500</f>
        <v>500</v>
      </c>
      <c r="AB14" s="84"/>
      <c r="AC14" s="84"/>
      <c r="AD14" s="84"/>
      <c r="AE14" s="84"/>
      <c r="AF14" s="84"/>
      <c r="AG14" s="84"/>
      <c r="AH14" s="84"/>
      <c r="AI14" s="84"/>
      <c r="AJ14" s="84"/>
      <c r="AK14" s="84"/>
      <c r="AL14" s="84"/>
      <c r="AM14" s="84"/>
      <c r="AN14" s="84">
        <f>6000</f>
        <v>6000</v>
      </c>
      <c r="AO14" s="136">
        <f t="shared" si="4"/>
        <v>6500</v>
      </c>
      <c r="AP14" s="133"/>
      <c r="AQ14" s="69"/>
      <c r="AR14" s="69"/>
      <c r="AS14" s="69"/>
      <c r="AT14" s="69"/>
      <c r="AU14" s="69"/>
      <c r="AV14" s="69"/>
      <c r="AW14" s="69"/>
      <c r="AX14" s="69"/>
      <c r="AY14" s="69"/>
    </row>
    <row r="15" ht="15.75" customHeight="1" spans="1:51">
      <c r="A15" s="146" t="s">
        <v>142</v>
      </c>
      <c r="B15" s="147">
        <v>45090</v>
      </c>
      <c r="C15" s="36">
        <f t="shared" si="0"/>
        <v>417000</v>
      </c>
      <c r="D15" s="37">
        <v>417000</v>
      </c>
      <c r="E15" s="38"/>
      <c r="F15" s="38"/>
      <c r="G15" s="38"/>
      <c r="H15" s="38"/>
      <c r="I15" s="38">
        <f>'Détail Dépenses'!Y63</f>
        <v>127000</v>
      </c>
      <c r="J15" s="24">
        <f t="shared" si="1"/>
        <v>0.304556354916067</v>
      </c>
      <c r="K15" s="85">
        <f t="shared" si="2"/>
        <v>290000</v>
      </c>
      <c r="L15" s="85">
        <v>290000</v>
      </c>
      <c r="M15" s="85">
        <f t="shared" si="3"/>
        <v>0</v>
      </c>
      <c r="N15" s="86">
        <f t="shared" si="5"/>
        <v>3209600</v>
      </c>
      <c r="O15" s="87"/>
      <c r="P15" s="88">
        <v>5000</v>
      </c>
      <c r="Q15" s="88"/>
      <c r="R15" s="88"/>
      <c r="S15" s="88"/>
      <c r="T15" s="88"/>
      <c r="U15" s="88"/>
      <c r="V15" s="88">
        <f>1500+5000</f>
        <v>6500</v>
      </c>
      <c r="W15" s="88"/>
      <c r="X15" s="88"/>
      <c r="Y15" s="88">
        <v>78000</v>
      </c>
      <c r="Z15" s="88"/>
      <c r="AA15" s="88"/>
      <c r="AB15" s="88"/>
      <c r="AC15" s="88"/>
      <c r="AD15" s="88"/>
      <c r="AE15" s="88"/>
      <c r="AF15" s="88"/>
      <c r="AG15" s="88"/>
      <c r="AH15" s="88"/>
      <c r="AI15" s="88"/>
      <c r="AJ15" s="88"/>
      <c r="AK15" s="88"/>
      <c r="AL15" s="88"/>
      <c r="AM15" s="88"/>
      <c r="AN15" s="88">
        <f>1500</f>
        <v>1500</v>
      </c>
      <c r="AO15" s="137">
        <f t="shared" si="4"/>
        <v>1500</v>
      </c>
      <c r="AP15" s="133"/>
      <c r="AQ15" s="69"/>
      <c r="AR15" s="69"/>
      <c r="AS15" s="69"/>
      <c r="AT15" s="69"/>
      <c r="AU15" s="69"/>
      <c r="AV15" s="69"/>
      <c r="AW15" s="69"/>
      <c r="AX15" s="69"/>
      <c r="AY15" s="69"/>
    </row>
    <row r="16" ht="15.75" customHeight="1" spans="1:51">
      <c r="A16" s="146" t="s">
        <v>143</v>
      </c>
      <c r="B16" s="147">
        <v>45091</v>
      </c>
      <c r="C16" s="41">
        <f t="shared" si="0"/>
        <v>997250</v>
      </c>
      <c r="D16" s="174">
        <f>1022750-25500</f>
        <v>997250</v>
      </c>
      <c r="E16" s="38"/>
      <c r="F16" s="38"/>
      <c r="G16" s="38"/>
      <c r="H16" s="38"/>
      <c r="I16" s="38">
        <f>'Détail Dépenses'!Y64</f>
        <v>410925</v>
      </c>
      <c r="J16" s="24">
        <f t="shared" si="1"/>
        <v>0.412058159939835</v>
      </c>
      <c r="K16" s="85">
        <f t="shared" si="2"/>
        <v>586325</v>
      </c>
      <c r="L16" s="85">
        <f>714900-80000-50000</f>
        <v>584900</v>
      </c>
      <c r="M16" s="85">
        <f t="shared" si="3"/>
        <v>-1425</v>
      </c>
      <c r="N16" s="86">
        <f t="shared" si="5"/>
        <v>3794500</v>
      </c>
      <c r="O16" s="87"/>
      <c r="P16" s="88">
        <v>10500</v>
      </c>
      <c r="Q16" s="88"/>
      <c r="R16" s="88">
        <v>24000</v>
      </c>
      <c r="S16" s="88">
        <v>8500</v>
      </c>
      <c r="T16" s="88">
        <v>24000</v>
      </c>
      <c r="U16" s="88"/>
      <c r="V16" s="88">
        <v>3000</v>
      </c>
      <c r="W16" s="88"/>
      <c r="X16" s="88"/>
      <c r="Y16" s="88">
        <v>86500</v>
      </c>
      <c r="Z16" s="88">
        <v>60000</v>
      </c>
      <c r="AA16" s="88"/>
      <c r="AB16" s="88"/>
      <c r="AC16" s="88">
        <v>2000</v>
      </c>
      <c r="AD16" s="88"/>
      <c r="AE16" s="88">
        <v>10000</v>
      </c>
      <c r="AF16" s="88"/>
      <c r="AG16" s="88"/>
      <c r="AH16" s="88"/>
      <c r="AI16" s="88"/>
      <c r="AJ16" s="88"/>
      <c r="AK16" s="88"/>
      <c r="AL16" s="88"/>
      <c r="AM16" s="88"/>
      <c r="AN16" s="88">
        <v>1000</v>
      </c>
      <c r="AO16" s="137">
        <f t="shared" si="4"/>
        <v>13000</v>
      </c>
      <c r="AP16" s="133"/>
      <c r="AQ16" s="69"/>
      <c r="AR16" s="69"/>
      <c r="AS16" s="69"/>
      <c r="AT16" s="69"/>
      <c r="AU16" s="69"/>
      <c r="AV16" s="69"/>
      <c r="AW16" s="69"/>
      <c r="AX16" s="69"/>
      <c r="AY16" s="69"/>
    </row>
    <row r="17" ht="15.75" customHeight="1" spans="1:51">
      <c r="A17" s="146" t="s">
        <v>144</v>
      </c>
      <c r="B17" s="147">
        <v>45092</v>
      </c>
      <c r="C17" s="173">
        <f t="shared" si="0"/>
        <v>343000</v>
      </c>
      <c r="D17" s="37">
        <v>343000</v>
      </c>
      <c r="E17" s="38"/>
      <c r="F17" s="38"/>
      <c r="G17" s="38"/>
      <c r="H17" s="38"/>
      <c r="I17" s="38">
        <f>'Détail Dépenses'!Y65</f>
        <v>275925</v>
      </c>
      <c r="J17" s="24">
        <f t="shared" si="1"/>
        <v>0.804446064139942</v>
      </c>
      <c r="K17" s="85">
        <f t="shared" si="2"/>
        <v>67075</v>
      </c>
      <c r="L17" s="85">
        <f>97000-30000</f>
        <v>67000</v>
      </c>
      <c r="M17" s="85">
        <f t="shared" si="3"/>
        <v>-75</v>
      </c>
      <c r="N17" s="86">
        <f t="shared" si="5"/>
        <v>3861500</v>
      </c>
      <c r="O17" s="87"/>
      <c r="P17" s="88">
        <v>4500</v>
      </c>
      <c r="Q17" s="88"/>
      <c r="R17" s="88"/>
      <c r="S17" s="88">
        <f>6500+9500</f>
        <v>16000</v>
      </c>
      <c r="T17" s="88"/>
      <c r="U17" s="88"/>
      <c r="V17" s="88"/>
      <c r="W17" s="88"/>
      <c r="X17" s="88"/>
      <c r="Y17" s="88">
        <v>73000</v>
      </c>
      <c r="Z17" s="88">
        <v>40000</v>
      </c>
      <c r="AA17" s="88">
        <v>2000</v>
      </c>
      <c r="AB17" s="88"/>
      <c r="AC17" s="88"/>
      <c r="AD17" s="88"/>
      <c r="AE17" s="88"/>
      <c r="AF17" s="88"/>
      <c r="AG17" s="88"/>
      <c r="AH17" s="88"/>
      <c r="AI17" s="88"/>
      <c r="AJ17" s="88"/>
      <c r="AK17" s="88"/>
      <c r="AL17" s="88"/>
      <c r="AM17" s="88"/>
      <c r="AN17" s="88"/>
      <c r="AO17" s="137">
        <f t="shared" si="4"/>
        <v>2000</v>
      </c>
      <c r="AP17" s="133"/>
      <c r="AQ17" s="69"/>
      <c r="AR17" s="69"/>
      <c r="AS17" s="69"/>
      <c r="AT17" s="69"/>
      <c r="AU17" s="69"/>
      <c r="AV17" s="69"/>
      <c r="AW17" s="69"/>
      <c r="AX17" s="69"/>
      <c r="AY17" s="69"/>
    </row>
    <row r="18" ht="15.75" customHeight="1" spans="1:51">
      <c r="A18" s="146" t="s">
        <v>145</v>
      </c>
      <c r="B18" s="147">
        <v>45093</v>
      </c>
      <c r="C18" s="32">
        <f t="shared" si="0"/>
        <v>1074250</v>
      </c>
      <c r="D18" s="174">
        <f>1074250-4000</f>
        <v>1070250</v>
      </c>
      <c r="E18" s="38"/>
      <c r="F18" s="38"/>
      <c r="G18" s="38">
        <v>4000</v>
      </c>
      <c r="H18" s="38"/>
      <c r="I18" s="38">
        <f>'Détail Dépenses'!Y66</f>
        <v>180100</v>
      </c>
      <c r="J18" s="24">
        <f t="shared" si="1"/>
        <v>0.167651850127996</v>
      </c>
      <c r="K18" s="85">
        <f t="shared" si="2"/>
        <v>890150</v>
      </c>
      <c r="L18" s="85">
        <v>890000</v>
      </c>
      <c r="M18" s="85">
        <f t="shared" si="3"/>
        <v>-150</v>
      </c>
      <c r="N18" s="86">
        <f t="shared" si="5"/>
        <v>4751500</v>
      </c>
      <c r="O18" s="87"/>
      <c r="P18" s="88">
        <f>20000+25000</f>
        <v>45000</v>
      </c>
      <c r="Q18" s="88"/>
      <c r="R18" s="88">
        <f>17000+13500+10000+69500+35500</f>
        <v>145500</v>
      </c>
      <c r="S18" s="88"/>
      <c r="T18" s="88"/>
      <c r="U18" s="88"/>
      <c r="V18" s="88">
        <f>7500+8500</f>
        <v>16000</v>
      </c>
      <c r="W18" s="88"/>
      <c r="X18" s="88"/>
      <c r="Y18" s="88">
        <v>250500</v>
      </c>
      <c r="Z18" s="88"/>
      <c r="AA18" s="88">
        <v>1000</v>
      </c>
      <c r="AB18" s="88"/>
      <c r="AC18" s="88">
        <v>2000</v>
      </c>
      <c r="AD18" s="88"/>
      <c r="AE18" s="88"/>
      <c r="AF18" s="88"/>
      <c r="AG18" s="88">
        <v>500</v>
      </c>
      <c r="AH18" s="88"/>
      <c r="AI18" s="88"/>
      <c r="AJ18" s="88"/>
      <c r="AK18" s="88"/>
      <c r="AL18" s="88"/>
      <c r="AM18" s="88"/>
      <c r="AN18" s="88">
        <v>2000</v>
      </c>
      <c r="AO18" s="137">
        <f t="shared" si="4"/>
        <v>5500</v>
      </c>
      <c r="AP18" s="133"/>
      <c r="AQ18" s="69"/>
      <c r="AR18" s="69"/>
      <c r="AS18" s="69"/>
      <c r="AT18" s="69"/>
      <c r="AU18" s="69"/>
      <c r="AV18" s="69"/>
      <c r="AW18" s="69"/>
      <c r="AX18" s="69"/>
      <c r="AY18" s="69"/>
    </row>
    <row r="19" ht="15.75" customHeight="1" spans="1:51">
      <c r="A19" s="146" t="s">
        <v>139</v>
      </c>
      <c r="B19" s="147">
        <v>45094</v>
      </c>
      <c r="C19" s="36">
        <f t="shared" si="0"/>
        <v>1124750</v>
      </c>
      <c r="D19" s="174">
        <v>1124750</v>
      </c>
      <c r="E19" s="38"/>
      <c r="F19" s="38"/>
      <c r="G19" s="38"/>
      <c r="H19" s="38"/>
      <c r="I19" s="38">
        <f>'Détail Dépenses'!Y67</f>
        <v>628400</v>
      </c>
      <c r="J19" s="24">
        <f t="shared" si="1"/>
        <v>0.558701933763058</v>
      </c>
      <c r="K19" s="85">
        <f t="shared" si="2"/>
        <v>496350</v>
      </c>
      <c r="L19" s="85">
        <f>804000-54000-200000</f>
        <v>550000</v>
      </c>
      <c r="M19" s="85">
        <f t="shared" si="3"/>
        <v>53650</v>
      </c>
      <c r="N19" s="86">
        <f t="shared" si="5"/>
        <v>5301500</v>
      </c>
      <c r="O19" s="87"/>
      <c r="P19" s="88">
        <v>2000</v>
      </c>
      <c r="Q19" s="88"/>
      <c r="R19" s="88">
        <v>30000</v>
      </c>
      <c r="S19" s="88"/>
      <c r="T19" s="88"/>
      <c r="U19" s="88"/>
      <c r="V19" s="88"/>
      <c r="W19" s="88"/>
      <c r="X19" s="88"/>
      <c r="Y19" s="88">
        <v>137000</v>
      </c>
      <c r="Z19" s="88"/>
      <c r="AA19" s="88">
        <v>2500</v>
      </c>
      <c r="AB19" s="88"/>
      <c r="AC19" s="88">
        <v>500</v>
      </c>
      <c r="AD19" s="88"/>
      <c r="AE19" s="88"/>
      <c r="AF19" s="88"/>
      <c r="AG19" s="88">
        <v>500</v>
      </c>
      <c r="AH19" s="88"/>
      <c r="AI19" s="88"/>
      <c r="AJ19" s="88"/>
      <c r="AK19" s="88"/>
      <c r="AL19" s="88"/>
      <c r="AM19" s="88"/>
      <c r="AN19" s="88">
        <v>1000</v>
      </c>
      <c r="AO19" s="137">
        <f t="shared" si="4"/>
        <v>4500</v>
      </c>
      <c r="AP19" s="133"/>
      <c r="AQ19" s="69"/>
      <c r="AR19" s="69"/>
      <c r="AS19" s="69"/>
      <c r="AT19" s="69"/>
      <c r="AU19" s="69"/>
      <c r="AV19" s="69"/>
      <c r="AW19" s="69"/>
      <c r="AX19" s="69"/>
      <c r="AY19" s="69"/>
    </row>
    <row r="20" ht="15.75" customHeight="1" spans="1:51">
      <c r="A20" s="144" t="s">
        <v>140</v>
      </c>
      <c r="B20" s="145">
        <v>45095</v>
      </c>
      <c r="C20" s="36">
        <f t="shared" si="0"/>
        <v>392500</v>
      </c>
      <c r="D20" s="41">
        <v>392500</v>
      </c>
      <c r="E20" s="42"/>
      <c r="F20" s="42"/>
      <c r="G20" s="42"/>
      <c r="H20" s="42"/>
      <c r="I20" s="42">
        <f>'Détail Dépenses'!Y68</f>
        <v>1958050</v>
      </c>
      <c r="J20" s="89">
        <f t="shared" si="1"/>
        <v>4.98866242038217</v>
      </c>
      <c r="K20" s="85">
        <f t="shared" si="2"/>
        <v>-1565550</v>
      </c>
      <c r="L20" s="90">
        <f>243000-848350-350000-70000-10000-30000-247500-150000-27500-74000-1000</f>
        <v>-1565350</v>
      </c>
      <c r="M20" s="90">
        <f t="shared" si="3"/>
        <v>200</v>
      </c>
      <c r="N20" s="86">
        <f t="shared" si="5"/>
        <v>3736150</v>
      </c>
      <c r="O20" s="92"/>
      <c r="P20" s="93"/>
      <c r="Q20" s="93"/>
      <c r="R20" s="93"/>
      <c r="S20" s="93"/>
      <c r="T20" s="93"/>
      <c r="U20" s="93"/>
      <c r="V20" s="93">
        <f>5000+3000</f>
        <v>8000</v>
      </c>
      <c r="W20" s="93"/>
      <c r="X20" s="93"/>
      <c r="Y20" s="93">
        <v>5000</v>
      </c>
      <c r="Z20" s="93"/>
      <c r="AA20" s="93">
        <v>2500</v>
      </c>
      <c r="AB20" s="93"/>
      <c r="AC20" s="93">
        <v>2000</v>
      </c>
      <c r="AD20" s="93"/>
      <c r="AE20" s="93"/>
      <c r="AF20" s="93"/>
      <c r="AG20" s="93">
        <v>500</v>
      </c>
      <c r="AH20" s="93"/>
      <c r="AI20" s="93"/>
      <c r="AJ20" s="93"/>
      <c r="AK20" s="93"/>
      <c r="AL20" s="93"/>
      <c r="AM20" s="93"/>
      <c r="AN20" s="93"/>
      <c r="AO20" s="138">
        <f t="shared" si="4"/>
        <v>5000</v>
      </c>
      <c r="AP20" s="133"/>
      <c r="AQ20" s="69"/>
      <c r="AR20" s="69"/>
      <c r="AS20" s="69"/>
      <c r="AT20" s="69"/>
      <c r="AU20" s="69"/>
      <c r="AV20" s="69"/>
      <c r="AW20" s="69"/>
      <c r="AX20" s="69"/>
      <c r="AY20" s="69"/>
    </row>
    <row r="21" ht="15.75" customHeight="1" spans="1:51">
      <c r="A21" s="142" t="s">
        <v>141</v>
      </c>
      <c r="B21" s="143">
        <v>45096</v>
      </c>
      <c r="C21" s="41">
        <f t="shared" si="0"/>
        <v>145500</v>
      </c>
      <c r="D21" s="33">
        <v>145500</v>
      </c>
      <c r="E21" s="33"/>
      <c r="F21" s="33"/>
      <c r="G21" s="33"/>
      <c r="H21" s="33"/>
      <c r="I21" s="33">
        <f>'Détail Dépenses'!Y69</f>
        <v>201125</v>
      </c>
      <c r="J21" s="80">
        <f t="shared" si="1"/>
        <v>1.38230240549828</v>
      </c>
      <c r="K21" s="85">
        <f t="shared" si="2"/>
        <v>-55625</v>
      </c>
      <c r="L21" s="81"/>
      <c r="M21" s="81">
        <f t="shared" si="3"/>
        <v>55625</v>
      </c>
      <c r="N21" s="86">
        <f t="shared" si="5"/>
        <v>3736150</v>
      </c>
      <c r="O21" s="83"/>
      <c r="P21" s="84">
        <f>5500+1500</f>
        <v>7000</v>
      </c>
      <c r="Q21" s="84">
        <v>7000</v>
      </c>
      <c r="R21" s="84"/>
      <c r="S21" s="84"/>
      <c r="T21" s="84"/>
      <c r="U21" s="84"/>
      <c r="V21" s="84">
        <v>500</v>
      </c>
      <c r="W21" s="84"/>
      <c r="X21" s="84"/>
      <c r="Y21" s="84">
        <v>72000</v>
      </c>
      <c r="Z21" s="84"/>
      <c r="AA21" s="84">
        <v>500</v>
      </c>
      <c r="AB21" s="84"/>
      <c r="AC21" s="84"/>
      <c r="AD21" s="84"/>
      <c r="AE21" s="84"/>
      <c r="AF21" s="84"/>
      <c r="AG21" s="84"/>
      <c r="AH21" s="84"/>
      <c r="AI21" s="84"/>
      <c r="AJ21" s="84"/>
      <c r="AK21" s="84"/>
      <c r="AL21" s="84"/>
      <c r="AM21" s="84"/>
      <c r="AN21" s="84">
        <v>500</v>
      </c>
      <c r="AO21" s="136">
        <f t="shared" si="4"/>
        <v>1000</v>
      </c>
      <c r="AP21" s="133"/>
      <c r="AQ21" s="69"/>
      <c r="AR21" s="69"/>
      <c r="AS21" s="69"/>
      <c r="AT21" s="69"/>
      <c r="AU21" s="69"/>
      <c r="AV21" s="69"/>
      <c r="AW21" s="69"/>
      <c r="AX21" s="69"/>
      <c r="AY21" s="69"/>
    </row>
    <row r="22" ht="15.75" customHeight="1" spans="1:51">
      <c r="A22" s="146" t="s">
        <v>142</v>
      </c>
      <c r="B22" s="147">
        <v>45097</v>
      </c>
      <c r="C22" s="173">
        <f t="shared" si="0"/>
        <v>852000</v>
      </c>
      <c r="D22" s="36">
        <f>919750-67750</f>
        <v>852000</v>
      </c>
      <c r="E22" s="38"/>
      <c r="F22" s="38"/>
      <c r="G22" s="38"/>
      <c r="H22" s="38"/>
      <c r="I22" s="38">
        <f>'Détail Dépenses'!Y70</f>
        <v>97300</v>
      </c>
      <c r="J22" s="24">
        <f t="shared" si="1"/>
        <v>0.114201877934272</v>
      </c>
      <c r="K22" s="85">
        <f t="shared" si="2"/>
        <v>754700</v>
      </c>
      <c r="L22" s="85">
        <f>766500-55000</f>
        <v>711500</v>
      </c>
      <c r="M22" s="85">
        <f t="shared" si="3"/>
        <v>-43200</v>
      </c>
      <c r="N22" s="86">
        <f t="shared" si="5"/>
        <v>4447650</v>
      </c>
      <c r="O22" s="87"/>
      <c r="P22" s="88"/>
      <c r="Q22" s="88"/>
      <c r="R22" s="88"/>
      <c r="S22" s="88"/>
      <c r="T22" s="88"/>
      <c r="U22" s="88"/>
      <c r="V22" s="88">
        <v>5000</v>
      </c>
      <c r="W22" s="88"/>
      <c r="X22" s="88"/>
      <c r="Y22" s="88">
        <v>141000</v>
      </c>
      <c r="Z22" s="88"/>
      <c r="AA22" s="88">
        <v>2000</v>
      </c>
      <c r="AB22" s="88">
        <v>1500</v>
      </c>
      <c r="AC22" s="88">
        <v>500</v>
      </c>
      <c r="AD22" s="88"/>
      <c r="AE22" s="88"/>
      <c r="AF22" s="88"/>
      <c r="AG22" s="88"/>
      <c r="AH22" s="88"/>
      <c r="AI22" s="88"/>
      <c r="AJ22" s="88"/>
      <c r="AK22" s="88"/>
      <c r="AL22" s="88"/>
      <c r="AM22" s="88"/>
      <c r="AN22" s="88"/>
      <c r="AO22" s="137">
        <f t="shared" si="4"/>
        <v>4000</v>
      </c>
      <c r="AP22" s="133"/>
      <c r="AQ22" s="69"/>
      <c r="AR22" s="69"/>
      <c r="AS22" s="69"/>
      <c r="AT22" s="69"/>
      <c r="AU22" s="69"/>
      <c r="AV22" s="69"/>
      <c r="AW22" s="69"/>
      <c r="AX22" s="69"/>
      <c r="AY22" s="69"/>
    </row>
    <row r="23" ht="15.75" customHeight="1" spans="1:51">
      <c r="A23" s="146" t="s">
        <v>143</v>
      </c>
      <c r="B23" s="147">
        <v>45098</v>
      </c>
      <c r="C23" s="32">
        <f t="shared" si="0"/>
        <v>1422250</v>
      </c>
      <c r="D23" s="174">
        <f>1422250-11500</f>
        <v>1410750</v>
      </c>
      <c r="E23" s="38"/>
      <c r="F23" s="38"/>
      <c r="G23" s="38">
        <v>11500</v>
      </c>
      <c r="H23" s="38"/>
      <c r="I23" s="38">
        <f>'Détail Dépenses'!Y71</f>
        <v>185750</v>
      </c>
      <c r="J23" s="24">
        <f t="shared" si="1"/>
        <v>0.13060291791176</v>
      </c>
      <c r="K23" s="85">
        <f t="shared" si="2"/>
        <v>1225000</v>
      </c>
      <c r="L23" s="85">
        <v>1225500</v>
      </c>
      <c r="M23" s="85">
        <f t="shared" si="3"/>
        <v>500</v>
      </c>
      <c r="N23" s="86">
        <f t="shared" si="5"/>
        <v>5673150</v>
      </c>
      <c r="O23" s="87"/>
      <c r="P23" s="88">
        <v>11000</v>
      </c>
      <c r="Q23" s="88"/>
      <c r="R23" s="88">
        <v>18000</v>
      </c>
      <c r="S23" s="88">
        <v>29500</v>
      </c>
      <c r="T23" s="88"/>
      <c r="U23" s="88"/>
      <c r="V23" s="88">
        <v>6500</v>
      </c>
      <c r="W23" s="88"/>
      <c r="X23" s="88"/>
      <c r="Y23" s="88">
        <v>171000</v>
      </c>
      <c r="Z23" s="88">
        <v>16500</v>
      </c>
      <c r="AA23" s="88"/>
      <c r="AB23" s="88"/>
      <c r="AC23" s="88"/>
      <c r="AD23" s="88"/>
      <c r="AE23" s="88"/>
      <c r="AF23" s="88"/>
      <c r="AG23" s="88">
        <v>500</v>
      </c>
      <c r="AH23" s="88"/>
      <c r="AI23" s="88">
        <v>500</v>
      </c>
      <c r="AJ23" s="88"/>
      <c r="AK23" s="88"/>
      <c r="AL23" s="88"/>
      <c r="AM23" s="88"/>
      <c r="AN23" s="88">
        <v>1500</v>
      </c>
      <c r="AO23" s="137">
        <f t="shared" si="4"/>
        <v>2500</v>
      </c>
      <c r="AP23" s="133"/>
      <c r="AQ23" s="69"/>
      <c r="AR23" s="69"/>
      <c r="AS23" s="69"/>
      <c r="AT23" s="69"/>
      <c r="AU23" s="69"/>
      <c r="AV23" s="69"/>
      <c r="AW23" s="69"/>
      <c r="AX23" s="69"/>
      <c r="AY23" s="69"/>
    </row>
    <row r="24" ht="15.75" customHeight="1" spans="1:51">
      <c r="A24" s="146" t="s">
        <v>144</v>
      </c>
      <c r="B24" s="147">
        <v>45099</v>
      </c>
      <c r="C24" s="36">
        <f t="shared" si="0"/>
        <v>493000</v>
      </c>
      <c r="D24" s="36">
        <f>493000-8500</f>
        <v>484500</v>
      </c>
      <c r="E24" s="38"/>
      <c r="F24" s="38"/>
      <c r="G24" s="38">
        <f>3000+5500</f>
        <v>8500</v>
      </c>
      <c r="H24" s="38"/>
      <c r="I24" s="38">
        <f>'Détail Dépenses'!Y72</f>
        <v>247700</v>
      </c>
      <c r="J24" s="24">
        <f t="shared" si="1"/>
        <v>0.502434077079107</v>
      </c>
      <c r="K24" s="85">
        <f t="shared" si="2"/>
        <v>236800</v>
      </c>
      <c r="L24" s="85">
        <v>236500</v>
      </c>
      <c r="M24" s="85">
        <f t="shared" si="3"/>
        <v>-300</v>
      </c>
      <c r="N24" s="86">
        <f t="shared" si="5"/>
        <v>5909650</v>
      </c>
      <c r="O24" s="87"/>
      <c r="P24" s="88">
        <v>14500</v>
      </c>
      <c r="Q24" s="88">
        <v>78500</v>
      </c>
      <c r="R24" s="88"/>
      <c r="S24" s="88"/>
      <c r="T24" s="88"/>
      <c r="U24" s="88">
        <v>4000</v>
      </c>
      <c r="V24" s="88"/>
      <c r="W24" s="88"/>
      <c r="X24" s="88"/>
      <c r="Y24" s="88">
        <v>53000</v>
      </c>
      <c r="Z24" s="88">
        <v>40000</v>
      </c>
      <c r="AA24" s="88">
        <v>2500</v>
      </c>
      <c r="AB24" s="88"/>
      <c r="AC24" s="88">
        <v>500</v>
      </c>
      <c r="AD24" s="88"/>
      <c r="AE24" s="88"/>
      <c r="AF24" s="88"/>
      <c r="AG24" s="88">
        <v>500</v>
      </c>
      <c r="AH24" s="88"/>
      <c r="AI24" s="88"/>
      <c r="AJ24" s="88"/>
      <c r="AK24" s="88"/>
      <c r="AL24" s="88"/>
      <c r="AM24" s="88"/>
      <c r="AN24" s="88"/>
      <c r="AO24" s="137">
        <f t="shared" si="4"/>
        <v>3500</v>
      </c>
      <c r="AP24" s="133"/>
      <c r="AQ24" s="69"/>
      <c r="AR24" s="69"/>
      <c r="AS24" s="69"/>
      <c r="AT24" s="69"/>
      <c r="AU24" s="69"/>
      <c r="AV24" s="69"/>
      <c r="AW24" s="69"/>
      <c r="AX24" s="69"/>
      <c r="AY24" s="69"/>
    </row>
    <row r="25" ht="15.75" customHeight="1" spans="1:51">
      <c r="A25" s="146" t="s">
        <v>145</v>
      </c>
      <c r="B25" s="147">
        <v>45100</v>
      </c>
      <c r="C25" s="36">
        <f t="shared" si="0"/>
        <v>654250</v>
      </c>
      <c r="D25" s="36">
        <f>654250-11000</f>
        <v>643250</v>
      </c>
      <c r="E25" s="38"/>
      <c r="F25" s="38"/>
      <c r="G25" s="38">
        <f>6000+5000</f>
        <v>11000</v>
      </c>
      <c r="H25" s="38"/>
      <c r="I25" s="38">
        <f>'Détail Dépenses'!Y73</f>
        <v>257950</v>
      </c>
      <c r="J25" s="24">
        <f t="shared" si="1"/>
        <v>0.394268246083301</v>
      </c>
      <c r="K25" s="85">
        <f t="shared" si="2"/>
        <v>385300</v>
      </c>
      <c r="L25" s="85">
        <f>555000-170000</f>
        <v>385000</v>
      </c>
      <c r="M25" s="85">
        <f t="shared" si="3"/>
        <v>-300</v>
      </c>
      <c r="N25" s="86">
        <f t="shared" si="5"/>
        <v>6294650</v>
      </c>
      <c r="O25" s="87"/>
      <c r="P25" s="88">
        <v>75000</v>
      </c>
      <c r="Q25" s="88"/>
      <c r="R25" s="88"/>
      <c r="S25" s="88"/>
      <c r="T25" s="88"/>
      <c r="U25" s="88"/>
      <c r="V25" s="88">
        <v>7000</v>
      </c>
      <c r="W25" s="88"/>
      <c r="X25" s="88"/>
      <c r="Y25" s="88">
        <v>86000</v>
      </c>
      <c r="Z25" s="88"/>
      <c r="AA25" s="88">
        <v>2000</v>
      </c>
      <c r="AB25" s="88"/>
      <c r="AC25" s="88"/>
      <c r="AD25" s="88"/>
      <c r="AE25" s="88"/>
      <c r="AF25" s="88"/>
      <c r="AG25" s="88">
        <v>500</v>
      </c>
      <c r="AH25" s="88"/>
      <c r="AI25" s="88"/>
      <c r="AJ25" s="88"/>
      <c r="AK25" s="88"/>
      <c r="AL25" s="88"/>
      <c r="AM25" s="88"/>
      <c r="AN25" s="88">
        <v>2000</v>
      </c>
      <c r="AO25" s="137">
        <f t="shared" si="4"/>
        <v>4500</v>
      </c>
      <c r="AP25" s="133"/>
      <c r="AQ25" s="69"/>
      <c r="AR25" s="69"/>
      <c r="AS25" s="69"/>
      <c r="AT25" s="69"/>
      <c r="AU25" s="69"/>
      <c r="AV25" s="69"/>
      <c r="AW25" s="69"/>
      <c r="AX25" s="69"/>
      <c r="AY25" s="69"/>
    </row>
    <row r="26" ht="15.75" customHeight="1" spans="1:51">
      <c r="A26" s="146" t="s">
        <v>139</v>
      </c>
      <c r="B26" s="147">
        <v>45101</v>
      </c>
      <c r="C26" s="41">
        <v>977750</v>
      </c>
      <c r="D26" s="38">
        <v>977750</v>
      </c>
      <c r="E26" s="38"/>
      <c r="F26" s="38"/>
      <c r="G26" s="38"/>
      <c r="H26" s="38"/>
      <c r="I26" s="38">
        <f>'Détail Dépenses'!Y74</f>
        <v>164500</v>
      </c>
      <c r="J26" s="24">
        <f t="shared" si="1"/>
        <v>0.168243416006137</v>
      </c>
      <c r="K26" s="85">
        <f t="shared" si="2"/>
        <v>813250</v>
      </c>
      <c r="L26" s="85">
        <v>813500</v>
      </c>
      <c r="M26" s="85">
        <f t="shared" si="3"/>
        <v>250</v>
      </c>
      <c r="N26" s="86">
        <f t="shared" si="5"/>
        <v>7108150</v>
      </c>
      <c r="O26" s="87"/>
      <c r="P26" s="88">
        <v>19000</v>
      </c>
      <c r="Q26" s="88"/>
      <c r="R26" s="88"/>
      <c r="S26" s="88"/>
      <c r="T26" s="88"/>
      <c r="U26" s="88"/>
      <c r="V26" s="88">
        <v>10500</v>
      </c>
      <c r="W26" s="88"/>
      <c r="X26" s="88"/>
      <c r="Y26" s="88">
        <v>47500</v>
      </c>
      <c r="Z26" s="88"/>
      <c r="AA26" s="88">
        <v>2500</v>
      </c>
      <c r="AB26" s="88"/>
      <c r="AC26" s="88">
        <v>500</v>
      </c>
      <c r="AD26" s="88"/>
      <c r="AE26" s="88"/>
      <c r="AF26" s="88"/>
      <c r="AG26" s="88">
        <v>500</v>
      </c>
      <c r="AH26" s="88">
        <v>500</v>
      </c>
      <c r="AI26" s="88"/>
      <c r="AJ26" s="88"/>
      <c r="AK26" s="88"/>
      <c r="AL26" s="88"/>
      <c r="AM26" s="88"/>
      <c r="AN26" s="88">
        <v>2000</v>
      </c>
      <c r="AO26" s="137">
        <f t="shared" si="4"/>
        <v>6000</v>
      </c>
      <c r="AP26" s="133"/>
      <c r="AQ26" s="69"/>
      <c r="AR26" s="69"/>
      <c r="AS26" s="69"/>
      <c r="AT26" s="69"/>
      <c r="AU26" s="69"/>
      <c r="AV26" s="69"/>
      <c r="AW26" s="69"/>
      <c r="AX26" s="69"/>
      <c r="AY26" s="69"/>
    </row>
    <row r="27" ht="15.75" customHeight="1" spans="1:51">
      <c r="A27" s="144" t="s">
        <v>140</v>
      </c>
      <c r="B27" s="145">
        <v>45102</v>
      </c>
      <c r="C27" s="173">
        <f t="shared" ref="C27:C32" si="6">(D27+E27+F27+G27+H27)</f>
        <v>792750</v>
      </c>
      <c r="D27" s="42">
        <f>792750-6000</f>
        <v>786750</v>
      </c>
      <c r="E27" s="42"/>
      <c r="F27" s="42"/>
      <c r="G27" s="42">
        <v>6000</v>
      </c>
      <c r="H27" s="42"/>
      <c r="I27" s="42">
        <f>'Détail Dépenses'!Y75</f>
        <v>1569500</v>
      </c>
      <c r="J27" s="89">
        <f t="shared" si="1"/>
        <v>1.97981709239987</v>
      </c>
      <c r="K27" s="85">
        <f t="shared" si="2"/>
        <v>-782750</v>
      </c>
      <c r="L27" s="90">
        <f>518000-1300500</f>
        <v>-782500</v>
      </c>
      <c r="M27" s="90">
        <f t="shared" si="3"/>
        <v>250</v>
      </c>
      <c r="N27" s="86">
        <f t="shared" si="5"/>
        <v>6325650</v>
      </c>
      <c r="O27" s="92"/>
      <c r="P27" s="93"/>
      <c r="Q27" s="93"/>
      <c r="R27" s="93"/>
      <c r="S27" s="93"/>
      <c r="T27" s="93"/>
      <c r="U27" s="93"/>
      <c r="V27" s="93">
        <v>6000</v>
      </c>
      <c r="W27" s="93"/>
      <c r="X27" s="93"/>
      <c r="Y27" s="93">
        <v>124500</v>
      </c>
      <c r="Z27" s="93"/>
      <c r="AA27" s="93">
        <v>2000</v>
      </c>
      <c r="AB27" s="93"/>
      <c r="AC27" s="93">
        <v>1000</v>
      </c>
      <c r="AD27" s="93"/>
      <c r="AE27" s="93"/>
      <c r="AF27" s="93"/>
      <c r="AG27" s="93">
        <v>500</v>
      </c>
      <c r="AH27" s="93"/>
      <c r="AI27" s="93"/>
      <c r="AJ27" s="93"/>
      <c r="AK27" s="93"/>
      <c r="AL27" s="93"/>
      <c r="AM27" s="93"/>
      <c r="AN27" s="93">
        <v>500</v>
      </c>
      <c r="AO27" s="138">
        <f t="shared" si="4"/>
        <v>4000</v>
      </c>
      <c r="AP27" s="133"/>
      <c r="AQ27" s="69"/>
      <c r="AR27" s="69"/>
      <c r="AS27" s="69"/>
      <c r="AT27" s="69"/>
      <c r="AU27" s="69"/>
      <c r="AV27" s="69"/>
      <c r="AW27" s="69"/>
      <c r="AX27" s="69"/>
      <c r="AY27" s="69"/>
    </row>
    <row r="28" ht="15.75" customHeight="1" spans="1:51">
      <c r="A28" s="148" t="s">
        <v>141</v>
      </c>
      <c r="B28" s="143">
        <v>45103</v>
      </c>
      <c r="C28" s="32">
        <f t="shared" si="6"/>
        <v>335500</v>
      </c>
      <c r="D28" s="33">
        <f>335500-7500</f>
        <v>328000</v>
      </c>
      <c r="E28" s="33"/>
      <c r="F28" s="33"/>
      <c r="G28" s="33">
        <v>7500</v>
      </c>
      <c r="H28" s="33"/>
      <c r="I28" s="33">
        <f>'Détail Dépenses'!Y76</f>
        <v>261325</v>
      </c>
      <c r="J28" s="80">
        <f t="shared" si="1"/>
        <v>0.778912071535022</v>
      </c>
      <c r="K28" s="85">
        <f t="shared" si="2"/>
        <v>66675</v>
      </c>
      <c r="L28" s="81">
        <f>131700-65000</f>
        <v>66700</v>
      </c>
      <c r="M28" s="81">
        <f t="shared" si="3"/>
        <v>25</v>
      </c>
      <c r="N28" s="86">
        <f t="shared" si="5"/>
        <v>6392350</v>
      </c>
      <c r="O28" s="83"/>
      <c r="P28" s="84">
        <v>5000</v>
      </c>
      <c r="Q28" s="84"/>
      <c r="R28" s="84">
        <v>8000</v>
      </c>
      <c r="S28" s="84"/>
      <c r="T28" s="84"/>
      <c r="U28" s="84"/>
      <c r="V28" s="84">
        <v>1000</v>
      </c>
      <c r="W28" s="84"/>
      <c r="X28" s="84"/>
      <c r="Y28" s="84">
        <v>83000</v>
      </c>
      <c r="Z28" s="84">
        <v>10000</v>
      </c>
      <c r="AA28" s="84">
        <v>500</v>
      </c>
      <c r="AB28" s="84"/>
      <c r="AC28" s="84"/>
      <c r="AD28" s="84"/>
      <c r="AE28" s="84"/>
      <c r="AF28" s="84"/>
      <c r="AG28" s="84"/>
      <c r="AH28" s="84"/>
      <c r="AI28" s="84"/>
      <c r="AJ28" s="84"/>
      <c r="AK28" s="84"/>
      <c r="AL28" s="84"/>
      <c r="AM28" s="84"/>
      <c r="AN28" s="84">
        <v>500</v>
      </c>
      <c r="AO28" s="170">
        <f t="shared" si="4"/>
        <v>1000</v>
      </c>
      <c r="AP28" s="171"/>
      <c r="AQ28" s="69"/>
      <c r="AR28" s="69"/>
      <c r="AS28" s="69"/>
      <c r="AT28" s="69"/>
      <c r="AU28" s="69"/>
      <c r="AV28" s="69"/>
      <c r="AW28" s="69"/>
      <c r="AX28" s="69"/>
      <c r="AY28" s="69"/>
    </row>
    <row r="29" ht="15.75" customHeight="1" spans="1:51">
      <c r="A29" s="175" t="s">
        <v>142</v>
      </c>
      <c r="B29" s="147">
        <v>45104</v>
      </c>
      <c r="C29" s="36">
        <f t="shared" si="6"/>
        <v>653500</v>
      </c>
      <c r="D29" s="38">
        <f>653500-6000</f>
        <v>647500</v>
      </c>
      <c r="E29" s="38"/>
      <c r="F29" s="38"/>
      <c r="G29" s="38">
        <v>6000</v>
      </c>
      <c r="H29" s="38"/>
      <c r="I29" s="38">
        <f>'Détail Dépenses'!Y77</f>
        <v>191425</v>
      </c>
      <c r="J29" s="24">
        <f t="shared" si="1"/>
        <v>0.29292272379495</v>
      </c>
      <c r="K29" s="85">
        <f t="shared" si="2"/>
        <v>456075</v>
      </c>
      <c r="L29" s="85">
        <v>462050</v>
      </c>
      <c r="M29" s="85"/>
      <c r="N29" s="86">
        <f t="shared" si="5"/>
        <v>6854400</v>
      </c>
      <c r="O29" s="87"/>
      <c r="P29" s="88"/>
      <c r="Q29" s="88"/>
      <c r="R29" s="88"/>
      <c r="S29" s="88">
        <v>63000</v>
      </c>
      <c r="T29" s="88"/>
      <c r="U29" s="88"/>
      <c r="V29" s="88">
        <f>13500+4500</f>
        <v>18000</v>
      </c>
      <c r="W29" s="88"/>
      <c r="X29" s="88"/>
      <c r="Y29" s="88">
        <v>39500</v>
      </c>
      <c r="Z29" s="88"/>
      <c r="AA29" s="88">
        <f>500+1500</f>
        <v>2000</v>
      </c>
      <c r="AB29" s="88"/>
      <c r="AC29" s="88"/>
      <c r="AD29" s="88"/>
      <c r="AE29" s="88"/>
      <c r="AF29" s="88"/>
      <c r="AG29" s="88">
        <v>500</v>
      </c>
      <c r="AH29" s="88"/>
      <c r="AI29" s="88"/>
      <c r="AJ29" s="88"/>
      <c r="AK29" s="88"/>
      <c r="AL29" s="88"/>
      <c r="AM29" s="88"/>
      <c r="AN29" s="88">
        <v>500</v>
      </c>
      <c r="AO29" s="197">
        <f t="shared" si="4"/>
        <v>3000</v>
      </c>
      <c r="AP29" s="171"/>
      <c r="AQ29" s="69"/>
      <c r="AR29" s="69"/>
      <c r="AS29" s="69"/>
      <c r="AT29" s="69"/>
      <c r="AU29" s="69"/>
      <c r="AV29" s="69"/>
      <c r="AW29" s="69"/>
      <c r="AX29" s="69"/>
      <c r="AY29" s="69"/>
    </row>
    <row r="30" ht="15.75" customHeight="1" spans="1:51">
      <c r="A30" s="175" t="s">
        <v>143</v>
      </c>
      <c r="B30" s="147">
        <v>45105</v>
      </c>
      <c r="C30" s="36">
        <f t="shared" si="6"/>
        <v>1170500</v>
      </c>
      <c r="D30" s="38">
        <f>1170500-156500</f>
        <v>1014000</v>
      </c>
      <c r="E30" s="38">
        <v>156500</v>
      </c>
      <c r="F30" s="38"/>
      <c r="G30" s="38"/>
      <c r="H30" s="38"/>
      <c r="I30" s="38">
        <f>'Détail Dépenses'!Y78</f>
        <v>330450</v>
      </c>
      <c r="J30" s="24">
        <f t="shared" si="1"/>
        <v>0.282315249893208</v>
      </c>
      <c r="K30" s="85">
        <f t="shared" si="2"/>
        <v>683550</v>
      </c>
      <c r="L30" s="85">
        <f>740000-50000-1500-5000</f>
        <v>683500</v>
      </c>
      <c r="M30" s="85">
        <f t="shared" ref="M30:M32" si="7">L30-K30</f>
        <v>-50</v>
      </c>
      <c r="N30" s="86">
        <f t="shared" si="5"/>
        <v>7537900</v>
      </c>
      <c r="O30" s="87"/>
      <c r="P30" s="88">
        <v>6000</v>
      </c>
      <c r="Q30" s="88">
        <v>50500</v>
      </c>
      <c r="R30" s="88">
        <v>177000</v>
      </c>
      <c r="S30" s="88">
        <v>95000</v>
      </c>
      <c r="T30" s="88"/>
      <c r="U30" s="88"/>
      <c r="V30" s="88"/>
      <c r="W30" s="88">
        <v>500</v>
      </c>
      <c r="X30" s="88"/>
      <c r="Y30" s="88">
        <v>274000</v>
      </c>
      <c r="Z30" s="88">
        <v>65500</v>
      </c>
      <c r="AA30" s="88"/>
      <c r="AB30" s="88"/>
      <c r="AC30" s="88"/>
      <c r="AD30" s="88"/>
      <c r="AE30" s="88"/>
      <c r="AF30" s="88"/>
      <c r="AG30" s="88"/>
      <c r="AH30" s="88"/>
      <c r="AI30" s="88"/>
      <c r="AJ30" s="88"/>
      <c r="AK30" s="88"/>
      <c r="AL30" s="88"/>
      <c r="AM30" s="88"/>
      <c r="AN30" s="88"/>
      <c r="AO30" s="197">
        <f t="shared" si="4"/>
        <v>0</v>
      </c>
      <c r="AP30" s="171"/>
      <c r="AQ30" s="69"/>
      <c r="AR30" s="69"/>
      <c r="AS30" s="69"/>
      <c r="AT30" s="69"/>
      <c r="AU30" s="69"/>
      <c r="AV30" s="69"/>
      <c r="AW30" s="69"/>
      <c r="AX30" s="69"/>
      <c r="AY30" s="69"/>
    </row>
    <row r="31" ht="15.75" customHeight="1" spans="1:51">
      <c r="A31" s="175" t="s">
        <v>144</v>
      </c>
      <c r="B31" s="147">
        <v>45106</v>
      </c>
      <c r="C31" s="41">
        <f t="shared" si="6"/>
        <v>602250</v>
      </c>
      <c r="D31" s="38">
        <f>602250-10000</f>
        <v>592250</v>
      </c>
      <c r="E31" s="38"/>
      <c r="F31" s="38"/>
      <c r="G31" s="38">
        <v>10000</v>
      </c>
      <c r="H31" s="38"/>
      <c r="I31" s="38">
        <f>'Détail Dépenses'!Y79</f>
        <v>304300</v>
      </c>
      <c r="J31" s="24">
        <f t="shared" si="1"/>
        <v>0.505271897052719</v>
      </c>
      <c r="K31" s="85">
        <f t="shared" si="2"/>
        <v>287950</v>
      </c>
      <c r="L31" s="85">
        <f>378000-90000</f>
        <v>288000</v>
      </c>
      <c r="M31" s="85">
        <f t="shared" si="7"/>
        <v>50</v>
      </c>
      <c r="N31" s="86">
        <f t="shared" si="5"/>
        <v>7825900</v>
      </c>
      <c r="O31" s="87"/>
      <c r="P31" s="88">
        <v>4500</v>
      </c>
      <c r="Q31" s="88"/>
      <c r="R31" s="88"/>
      <c r="S31" s="88"/>
      <c r="T31" s="88"/>
      <c r="U31" s="88"/>
      <c r="V31" s="88">
        <v>9500</v>
      </c>
      <c r="W31" s="88"/>
      <c r="X31" s="88"/>
      <c r="Y31" s="88">
        <v>51500</v>
      </c>
      <c r="Z31" s="88">
        <v>40000</v>
      </c>
      <c r="AA31" s="88">
        <v>2000</v>
      </c>
      <c r="AB31" s="88"/>
      <c r="AC31" s="88"/>
      <c r="AD31" s="88"/>
      <c r="AE31" s="88"/>
      <c r="AF31" s="88"/>
      <c r="AG31" s="88">
        <v>500</v>
      </c>
      <c r="AH31" s="88"/>
      <c r="AI31" s="88"/>
      <c r="AJ31" s="88"/>
      <c r="AK31" s="88"/>
      <c r="AL31" s="88"/>
      <c r="AM31" s="88"/>
      <c r="AN31" s="88">
        <v>1000</v>
      </c>
      <c r="AO31" s="197">
        <f t="shared" si="4"/>
        <v>3500</v>
      </c>
      <c r="AP31" s="171"/>
      <c r="AQ31" s="69"/>
      <c r="AR31" s="69"/>
      <c r="AS31" s="69"/>
      <c r="AT31" s="69"/>
      <c r="AU31" s="69"/>
      <c r="AV31" s="69"/>
      <c r="AW31" s="69"/>
      <c r="AX31" s="69"/>
      <c r="AY31" s="69"/>
    </row>
    <row r="32" ht="15.75" customHeight="1" spans="1:51">
      <c r="A32" s="175" t="s">
        <v>145</v>
      </c>
      <c r="B32" s="147">
        <v>45107</v>
      </c>
      <c r="C32" s="32">
        <f t="shared" si="6"/>
        <v>1478500</v>
      </c>
      <c r="D32" s="38">
        <v>1388500</v>
      </c>
      <c r="E32" s="38">
        <v>30000</v>
      </c>
      <c r="F32" s="38"/>
      <c r="G32" s="38"/>
      <c r="H32" s="38">
        <v>60000</v>
      </c>
      <c r="I32" s="38">
        <f>'Détail Dépenses'!Y80</f>
        <v>1165250</v>
      </c>
      <c r="J32" s="24">
        <f t="shared" si="1"/>
        <v>0.788129861345959</v>
      </c>
      <c r="K32" s="85">
        <f t="shared" si="2"/>
        <v>223250</v>
      </c>
      <c r="L32" s="85">
        <f>1152000-200000-54000-200000-200000-25000-75000-25000-150000</f>
        <v>223000</v>
      </c>
      <c r="M32" s="85">
        <f t="shared" si="7"/>
        <v>-250</v>
      </c>
      <c r="N32" s="86">
        <f t="shared" si="5"/>
        <v>8048900</v>
      </c>
      <c r="O32" s="87"/>
      <c r="P32" s="88"/>
      <c r="Q32" s="88">
        <f>150500+6000</f>
        <v>156500</v>
      </c>
      <c r="R32" s="88">
        <v>15000</v>
      </c>
      <c r="S32" s="88">
        <v>15500</v>
      </c>
      <c r="T32" s="88"/>
      <c r="U32" s="88"/>
      <c r="V32" s="88">
        <v>5500</v>
      </c>
      <c r="W32" s="88"/>
      <c r="X32" s="88"/>
      <c r="Y32" s="88">
        <v>134000</v>
      </c>
      <c r="Z32" s="88">
        <f>60000+44500</f>
        <v>104500</v>
      </c>
      <c r="AA32" s="88">
        <v>2000</v>
      </c>
      <c r="AB32" s="88"/>
      <c r="AC32" s="88">
        <v>500</v>
      </c>
      <c r="AD32" s="88"/>
      <c r="AE32" s="88"/>
      <c r="AF32" s="88"/>
      <c r="AG32" s="88">
        <v>500</v>
      </c>
      <c r="AH32" s="88"/>
      <c r="AI32" s="88"/>
      <c r="AJ32" s="88"/>
      <c r="AK32" s="88"/>
      <c r="AL32" s="88"/>
      <c r="AM32" s="88"/>
      <c r="AN32" s="88">
        <v>3000</v>
      </c>
      <c r="AO32" s="197">
        <f t="shared" si="4"/>
        <v>6000</v>
      </c>
      <c r="AP32" s="171"/>
      <c r="AQ32" s="69"/>
      <c r="AR32" s="69"/>
      <c r="AS32" s="69"/>
      <c r="AT32" s="69"/>
      <c r="AU32" s="69"/>
      <c r="AV32" s="69"/>
      <c r="AW32" s="69"/>
      <c r="AX32" s="69"/>
      <c r="AY32" s="69"/>
    </row>
    <row r="33" ht="16.5" customHeight="1" spans="1:51">
      <c r="A33" s="149"/>
      <c r="B33" s="150" t="s">
        <v>44</v>
      </c>
      <c r="C33" s="149">
        <f t="shared" ref="C33:I33" si="8">SUM(C3:C32)</f>
        <v>20471000</v>
      </c>
      <c r="D33" s="149">
        <f t="shared" si="8"/>
        <v>20160000</v>
      </c>
      <c r="E33" s="149">
        <f t="shared" si="8"/>
        <v>186500</v>
      </c>
      <c r="F33" s="149">
        <f t="shared" si="8"/>
        <v>0</v>
      </c>
      <c r="G33" s="149">
        <f t="shared" si="8"/>
        <v>64500</v>
      </c>
      <c r="H33" s="149">
        <f t="shared" si="8"/>
        <v>60000</v>
      </c>
      <c r="I33" s="149">
        <f t="shared" si="8"/>
        <v>12181850</v>
      </c>
      <c r="J33" s="149"/>
      <c r="K33" s="149">
        <f t="shared" ref="K33:M33" si="9">SUM(K3:K32)</f>
        <v>7978150</v>
      </c>
      <c r="L33" s="149">
        <f t="shared" si="9"/>
        <v>8048900</v>
      </c>
      <c r="M33" s="149">
        <f t="shared" si="9"/>
        <v>64775</v>
      </c>
      <c r="N33" s="149">
        <f>N32</f>
        <v>8048900</v>
      </c>
      <c r="O33" s="186"/>
      <c r="P33" s="187">
        <f t="shared" ref="P33:AN33" si="10">SUM(P3:P32)</f>
        <v>284000</v>
      </c>
      <c r="Q33" s="187">
        <f t="shared" si="10"/>
        <v>384000</v>
      </c>
      <c r="R33" s="187">
        <f t="shared" si="10"/>
        <v>630500</v>
      </c>
      <c r="S33" s="187">
        <f t="shared" si="10"/>
        <v>387000</v>
      </c>
      <c r="T33" s="187">
        <f t="shared" si="10"/>
        <v>51000</v>
      </c>
      <c r="U33" s="187">
        <f t="shared" si="10"/>
        <v>15000</v>
      </c>
      <c r="V33" s="187">
        <f t="shared" si="10"/>
        <v>249500</v>
      </c>
      <c r="W33" s="187">
        <f t="shared" si="10"/>
        <v>500</v>
      </c>
      <c r="X33" s="187">
        <f t="shared" si="10"/>
        <v>7500</v>
      </c>
      <c r="Y33" s="187">
        <f t="shared" si="10"/>
        <v>2452000</v>
      </c>
      <c r="Z33" s="187">
        <f t="shared" si="10"/>
        <v>507500</v>
      </c>
      <c r="AA33" s="187">
        <f t="shared" si="10"/>
        <v>46000</v>
      </c>
      <c r="AB33" s="187">
        <f t="shared" si="10"/>
        <v>4500</v>
      </c>
      <c r="AC33" s="187">
        <f t="shared" si="10"/>
        <v>9500</v>
      </c>
      <c r="AD33" s="187">
        <f t="shared" si="10"/>
        <v>500</v>
      </c>
      <c r="AE33" s="187">
        <f t="shared" si="10"/>
        <v>15000</v>
      </c>
      <c r="AF33" s="187">
        <f t="shared" si="10"/>
        <v>500</v>
      </c>
      <c r="AG33" s="187">
        <f t="shared" si="10"/>
        <v>6000</v>
      </c>
      <c r="AH33" s="187">
        <f t="shared" si="10"/>
        <v>500</v>
      </c>
      <c r="AI33" s="187">
        <f t="shared" si="10"/>
        <v>500</v>
      </c>
      <c r="AJ33" s="187">
        <f t="shared" si="10"/>
        <v>0</v>
      </c>
      <c r="AK33" s="187">
        <f t="shared" si="10"/>
        <v>0</v>
      </c>
      <c r="AL33" s="187">
        <f t="shared" si="10"/>
        <v>0</v>
      </c>
      <c r="AM33" s="187">
        <f t="shared" si="10"/>
        <v>0</v>
      </c>
      <c r="AN33" s="187">
        <f t="shared" si="10"/>
        <v>30500</v>
      </c>
      <c r="AO33" s="198">
        <f>SUM(P33:AN33)</f>
        <v>5082000</v>
      </c>
      <c r="AP33" s="133"/>
      <c r="AQ33" s="69"/>
      <c r="AR33" s="69"/>
      <c r="AS33" s="69"/>
      <c r="AT33" s="69"/>
      <c r="AU33" s="69"/>
      <c r="AV33" s="69"/>
      <c r="AW33" s="69"/>
      <c r="AX33" s="69"/>
      <c r="AY33" s="69"/>
    </row>
    <row r="34" ht="15.75" customHeight="1" spans="1:51">
      <c r="A34" s="50"/>
      <c r="B34" s="152" t="s">
        <v>40</v>
      </c>
      <c r="C34" s="50"/>
      <c r="D34" s="50"/>
      <c r="E34" s="50">
        <f t="shared" ref="E34:I34" si="11">E33/$C$33</f>
        <v>0.00911044892775145</v>
      </c>
      <c r="F34" s="50">
        <f t="shared" si="11"/>
        <v>0</v>
      </c>
      <c r="G34" s="50">
        <f t="shared" si="11"/>
        <v>0.00315079869083093</v>
      </c>
      <c r="H34" s="50">
        <f t="shared" si="11"/>
        <v>0.00293097552635435</v>
      </c>
      <c r="I34" s="50">
        <f t="shared" si="11"/>
        <v>0.59507840359533</v>
      </c>
      <c r="J34" s="50"/>
      <c r="K34" s="50">
        <f t="shared" ref="K34:N34" si="12">K33/$C$33</f>
        <v>0.389729373259733</v>
      </c>
      <c r="L34" s="50">
        <f t="shared" si="12"/>
        <v>0.393185481901226</v>
      </c>
      <c r="M34" s="50">
        <f t="shared" si="12"/>
        <v>0.00316423232866006</v>
      </c>
      <c r="N34" s="50">
        <f t="shared" si="12"/>
        <v>0.393185481901226</v>
      </c>
      <c r="O34" s="188"/>
      <c r="P34" s="50">
        <f t="shared" ref="P34:AN34" si="13">P33/$AO$33</f>
        <v>0.055883510428965</v>
      </c>
      <c r="Q34" s="50">
        <f t="shared" si="13"/>
        <v>0.0755608028335301</v>
      </c>
      <c r="R34" s="50">
        <f t="shared" si="13"/>
        <v>0.124065328610783</v>
      </c>
      <c r="S34" s="50">
        <f t="shared" si="13"/>
        <v>0.0761511216056671</v>
      </c>
      <c r="T34" s="50">
        <f t="shared" si="13"/>
        <v>0.0100354191263282</v>
      </c>
      <c r="U34" s="50">
        <f t="shared" si="13"/>
        <v>0.00295159386068477</v>
      </c>
      <c r="V34" s="50">
        <f t="shared" si="13"/>
        <v>0.04909484454939</v>
      </c>
      <c r="W34" s="50">
        <f t="shared" si="13"/>
        <v>9.83864620228257e-5</v>
      </c>
      <c r="X34" s="50">
        <f t="shared" si="13"/>
        <v>0.00147579693034238</v>
      </c>
      <c r="Y34" s="50">
        <f t="shared" si="13"/>
        <v>0.482487209759937</v>
      </c>
      <c r="Z34" s="50">
        <f t="shared" si="13"/>
        <v>0.099862258953168</v>
      </c>
      <c r="AA34" s="50">
        <f t="shared" si="13"/>
        <v>0.00905155450609996</v>
      </c>
      <c r="AB34" s="50">
        <f t="shared" si="13"/>
        <v>0.000885478158205431</v>
      </c>
      <c r="AC34" s="50">
        <f t="shared" si="13"/>
        <v>0.00186934277843369</v>
      </c>
      <c r="AD34" s="50">
        <f t="shared" si="13"/>
        <v>9.83864620228257e-5</v>
      </c>
      <c r="AE34" s="50">
        <f t="shared" si="13"/>
        <v>0.00295159386068477</v>
      </c>
      <c r="AF34" s="50">
        <f t="shared" si="13"/>
        <v>9.83864620228257e-5</v>
      </c>
      <c r="AG34" s="50">
        <f t="shared" si="13"/>
        <v>0.00118063754427391</v>
      </c>
      <c r="AH34" s="50">
        <f t="shared" si="13"/>
        <v>9.83864620228257e-5</v>
      </c>
      <c r="AI34" s="50">
        <f t="shared" si="13"/>
        <v>9.83864620228257e-5</v>
      </c>
      <c r="AJ34" s="50">
        <f t="shared" si="13"/>
        <v>0</v>
      </c>
      <c r="AK34" s="50">
        <f t="shared" si="13"/>
        <v>0</v>
      </c>
      <c r="AL34" s="50">
        <f t="shared" si="13"/>
        <v>0</v>
      </c>
      <c r="AM34" s="50">
        <f t="shared" si="13"/>
        <v>0</v>
      </c>
      <c r="AN34" s="50">
        <f t="shared" si="13"/>
        <v>0.00600157418339237</v>
      </c>
      <c r="AO34" s="199">
        <f>AO33-Y33</f>
        <v>2630000</v>
      </c>
      <c r="AP34" s="133"/>
      <c r="AQ34" s="69"/>
      <c r="AR34" s="69"/>
      <c r="AS34" s="69"/>
      <c r="AT34" s="69"/>
      <c r="AU34" s="69"/>
      <c r="AV34" s="69"/>
      <c r="AW34" s="69"/>
      <c r="AX34" s="69"/>
      <c r="AY34" s="69"/>
    </row>
    <row r="35" ht="15.75" customHeight="1" spans="1:51">
      <c r="A35" s="50"/>
      <c r="B35" s="152" t="s">
        <v>148</v>
      </c>
      <c r="C35" s="50">
        <f>C33/'MAI 23'!G34-1</f>
        <v>0.67451257868066</v>
      </c>
      <c r="D35" s="50">
        <f>D33/'MAI 23'!B34-1</f>
        <v>0.526804275960785</v>
      </c>
      <c r="E35" s="50">
        <f>E33/'MAI 23'!C34-1</f>
        <v>6.61224489795918</v>
      </c>
      <c r="F35" s="50" t="e">
        <f>F33/'MAI 23'!D34-1</f>
        <v>#DIV/0!</v>
      </c>
      <c r="G35" s="50">
        <f>G33/'MAI 23'!E34-1</f>
        <v>3.60714285714286</v>
      </c>
      <c r="H35" s="50">
        <f>H33/'MAI 23'!F34-1</f>
        <v>2</v>
      </c>
      <c r="I35" s="50">
        <f>I33/'MAI 23'!H34-1</f>
        <v>0.0984486433887757</v>
      </c>
      <c r="J35" s="50"/>
      <c r="K35" s="50">
        <f>K33/'MAI 23'!J34-1</f>
        <v>6.46388570880345</v>
      </c>
      <c r="L35" s="50">
        <f>L33/'MAI 23'!K34-1</f>
        <v>7.35078072314157</v>
      </c>
      <c r="M35" s="50">
        <f>M33/'MAI 23'!L34-1</f>
        <v>-0.763657219450082</v>
      </c>
      <c r="N35" s="50">
        <f>N33/'MAI 23'!M34-1</f>
        <v>6.34221208665906</v>
      </c>
      <c r="O35" s="188"/>
      <c r="P35" s="50">
        <f>P33/'MAI 23'!O34-1</f>
        <v>-0.207810320781032</v>
      </c>
      <c r="Q35" s="50">
        <f>Q33/'MAI 23'!P34-1</f>
        <v>-0.459154929577465</v>
      </c>
      <c r="R35" s="50">
        <f>R33/'MAI 23'!Q34-1</f>
        <v>1.66596194503171</v>
      </c>
      <c r="S35" s="50">
        <f>S33/'MAI 23'!R34-1</f>
        <v>1.29673590504451</v>
      </c>
      <c r="T35" s="50" t="e">
        <f>T33/'MAI 23'!S34-1</f>
        <v>#DIV/0!</v>
      </c>
      <c r="U35" s="50">
        <f>U33/'MAI 23'!T34-1</f>
        <v>-0.811320754716981</v>
      </c>
      <c r="V35" s="50">
        <f>V33/'MAI 23'!U34-1</f>
        <v>1.20796460176991</v>
      </c>
      <c r="W35" s="50">
        <f>W33/'MAI 23'!V34-1</f>
        <v>-0.98</v>
      </c>
      <c r="X35" s="50"/>
      <c r="Y35" s="50"/>
      <c r="Z35" s="50">
        <f>Z33/'MAI 23'!X34-1</f>
        <v>6</v>
      </c>
      <c r="AA35" s="50">
        <f>AA33/'MAI 23'!Z34-1</f>
        <v>2.28571428571429</v>
      </c>
      <c r="AB35" s="50"/>
      <c r="AC35" s="50"/>
      <c r="AD35" s="50"/>
      <c r="AE35" s="50"/>
      <c r="AF35" s="50"/>
      <c r="AG35" s="50"/>
      <c r="AH35" s="50"/>
      <c r="AI35" s="50"/>
      <c r="AJ35" s="50"/>
      <c r="AK35" s="50"/>
      <c r="AL35" s="50"/>
      <c r="AM35" s="50"/>
      <c r="AN35" s="50"/>
      <c r="AO35" s="50">
        <f>AO33/'MAI 23'!AB34-1</f>
        <v>1.8391061452514</v>
      </c>
      <c r="AP35" s="133"/>
      <c r="AQ35" s="69"/>
      <c r="AR35" s="69"/>
      <c r="AS35" s="69"/>
      <c r="AT35" s="69"/>
      <c r="AU35" s="69"/>
      <c r="AV35" s="69"/>
      <c r="AW35" s="69"/>
      <c r="AX35" s="69"/>
      <c r="AY35" s="69"/>
    </row>
    <row r="36" ht="15.75" customHeight="1" spans="1:51">
      <c r="A36" s="52" t="s">
        <v>156</v>
      </c>
      <c r="B36" s="153">
        <f>C33</f>
        <v>20471000</v>
      </c>
      <c r="C36" s="154"/>
      <c r="D36" s="66"/>
      <c r="E36" s="66"/>
      <c r="F36" s="57"/>
      <c r="G36" s="56"/>
      <c r="H36" s="56"/>
      <c r="I36" s="56"/>
      <c r="J36" s="189"/>
      <c r="K36" s="190"/>
      <c r="L36" s="191"/>
      <c r="M36" s="102"/>
      <c r="N36" s="103"/>
      <c r="O36" s="104" t="s">
        <v>185</v>
      </c>
      <c r="P36" s="105">
        <f>'AVRIL 23'!N15</f>
        <v>25950</v>
      </c>
      <c r="Q36" s="105">
        <f>'AVRIL 23'!O15</f>
        <v>94950</v>
      </c>
      <c r="R36" s="105">
        <f>'AVRIL 23'!P15</f>
        <v>4500</v>
      </c>
      <c r="S36" s="132"/>
      <c r="T36" s="66"/>
      <c r="U36" s="66"/>
      <c r="V36" s="66"/>
      <c r="W36" s="66"/>
      <c r="X36" s="66"/>
      <c r="Y36" s="66"/>
      <c r="Z36" s="66"/>
      <c r="AA36" s="66"/>
      <c r="AB36" s="66"/>
      <c r="AC36" s="66"/>
      <c r="AD36" s="66"/>
      <c r="AE36" s="66"/>
      <c r="AF36" s="66"/>
      <c r="AG36" s="66"/>
      <c r="AH36" s="66"/>
      <c r="AI36" s="66"/>
      <c r="AJ36" s="195"/>
      <c r="AK36" s="195"/>
      <c r="AL36" s="195"/>
      <c r="AM36" s="195"/>
      <c r="AN36" s="196">
        <v>0.2</v>
      </c>
      <c r="AO36" s="199">
        <f>AO34*(1-AN36)</f>
        <v>2104000</v>
      </c>
      <c r="AP36" s="133"/>
      <c r="AQ36" s="69"/>
      <c r="AR36" s="69"/>
      <c r="AS36" s="69"/>
      <c r="AT36" s="69"/>
      <c r="AU36" s="69"/>
      <c r="AV36" s="69"/>
      <c r="AW36" s="69"/>
      <c r="AX36" s="69"/>
      <c r="AY36" s="69"/>
    </row>
    <row r="37" ht="15.75" customHeight="1" spans="1:51">
      <c r="A37" s="52" t="s">
        <v>176</v>
      </c>
      <c r="B37" s="153">
        <f>'Détail Dépenses'!D81+'Détail Dépenses'!E81+'Détail Dépenses'!G81+'Détail Dépenses'!H81+'Détail Dépenses'!I81</f>
        <v>8239800</v>
      </c>
      <c r="C37" s="155"/>
      <c r="D37" s="69"/>
      <c r="E37" s="69"/>
      <c r="F37" s="176"/>
      <c r="G37" s="59"/>
      <c r="H37" s="59"/>
      <c r="I37" s="59"/>
      <c r="J37" s="118"/>
      <c r="K37" s="119"/>
      <c r="L37" s="120"/>
      <c r="M37" s="181"/>
      <c r="N37" s="111"/>
      <c r="O37" s="104" t="s">
        <v>186</v>
      </c>
      <c r="P37" s="192">
        <f>'MAI 23'!O37</f>
        <v>107550</v>
      </c>
      <c r="Q37" s="192">
        <f>'MAI 23'!P37</f>
        <v>213000</v>
      </c>
      <c r="R37" s="192">
        <f>'MAI 23'!Q37</f>
        <v>70950</v>
      </c>
      <c r="S37" s="133"/>
      <c r="T37" s="69"/>
      <c r="U37" s="69"/>
      <c r="V37" s="69"/>
      <c r="W37" s="69"/>
      <c r="X37" s="69"/>
      <c r="Y37" s="69"/>
      <c r="Z37" s="69"/>
      <c r="AA37" s="69"/>
      <c r="AB37" s="69"/>
      <c r="AC37" s="69"/>
      <c r="AD37" s="69"/>
      <c r="AE37" s="69"/>
      <c r="AF37" s="69"/>
      <c r="AG37" s="69"/>
      <c r="AH37" s="69"/>
      <c r="AI37" s="69"/>
      <c r="AJ37" s="69"/>
      <c r="AK37" s="69"/>
      <c r="AL37" s="69"/>
      <c r="AM37" s="69"/>
      <c r="AN37" s="69"/>
      <c r="AO37" s="66"/>
      <c r="AP37" s="69"/>
      <c r="AQ37" s="69"/>
      <c r="AR37" s="69"/>
      <c r="AS37" s="69"/>
      <c r="AT37" s="69"/>
      <c r="AU37" s="69"/>
      <c r="AV37" s="69"/>
      <c r="AW37" s="69"/>
      <c r="AX37" s="69"/>
      <c r="AY37" s="69"/>
    </row>
    <row r="38" ht="15.75" customHeight="1" spans="1:51">
      <c r="A38" s="52" t="s">
        <v>177</v>
      </c>
      <c r="B38" s="153">
        <f>C33-B37</f>
        <v>12231200</v>
      </c>
      <c r="C38" s="156"/>
      <c r="D38" s="69"/>
      <c r="E38" s="69"/>
      <c r="F38" s="177"/>
      <c r="G38" s="59"/>
      <c r="H38" s="59"/>
      <c r="I38" s="59"/>
      <c r="J38" s="118"/>
      <c r="K38" s="119"/>
      <c r="L38" s="120"/>
      <c r="M38" s="193"/>
      <c r="N38" s="117"/>
      <c r="O38" s="104" t="s">
        <v>212</v>
      </c>
      <c r="P38" s="192">
        <f t="shared" ref="P38:R38" si="14">P33*(1-$O$2)</f>
        <v>85200</v>
      </c>
      <c r="Q38" s="192">
        <f t="shared" si="14"/>
        <v>115200</v>
      </c>
      <c r="R38" s="192">
        <f t="shared" si="14"/>
        <v>189150</v>
      </c>
      <c r="S38" s="133"/>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row>
    <row r="39" ht="15.75" customHeight="1" spans="1:51">
      <c r="A39" s="52" t="s">
        <v>178</v>
      </c>
      <c r="B39" s="157">
        <f>B38/C33</f>
        <v>0.597489130965756</v>
      </c>
      <c r="C39" s="65"/>
      <c r="D39" s="126"/>
      <c r="E39" s="158"/>
      <c r="F39" s="59"/>
      <c r="G39" s="59"/>
      <c r="H39" s="59"/>
      <c r="I39" s="59"/>
      <c r="J39" s="118"/>
      <c r="K39" s="119"/>
      <c r="L39" s="120"/>
      <c r="M39" s="121"/>
      <c r="N39" s="122"/>
      <c r="O39" s="123" t="s">
        <v>187</v>
      </c>
      <c r="P39" s="124">
        <f t="shared" ref="P39:R39" si="15">SUM(P36:P38)</f>
        <v>218700</v>
      </c>
      <c r="Q39" s="124">
        <f t="shared" si="15"/>
        <v>423150</v>
      </c>
      <c r="R39" s="124">
        <f t="shared" si="15"/>
        <v>264600</v>
      </c>
      <c r="S39" s="133"/>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row>
    <row r="40" ht="15.75" customHeight="1" spans="1:51">
      <c r="A40" s="52" t="s">
        <v>20</v>
      </c>
      <c r="B40" s="153">
        <f>SUM('Détail Dépenses'!J81:V81)+'Détail Dépenses'!F81</f>
        <v>1970050</v>
      </c>
      <c r="C40" s="65"/>
      <c r="D40" s="126"/>
      <c r="E40" s="158"/>
      <c r="F40" s="59"/>
      <c r="G40" s="59"/>
      <c r="H40" s="59"/>
      <c r="I40" s="59"/>
      <c r="J40" s="118"/>
      <c r="K40" s="119"/>
      <c r="L40" s="120"/>
      <c r="M40" s="121"/>
      <c r="N40" s="121"/>
      <c r="O40" s="125"/>
      <c r="P40" s="66"/>
      <c r="Q40" s="66"/>
      <c r="R40" s="66"/>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row>
    <row r="41" ht="15.75" customHeight="1" spans="1:51">
      <c r="A41" s="52" t="s">
        <v>213</v>
      </c>
      <c r="B41" s="157">
        <f>B40/B36</f>
        <v>0.09623613892824</v>
      </c>
      <c r="C41" s="65"/>
      <c r="D41" s="126"/>
      <c r="E41" s="158"/>
      <c r="F41" s="59"/>
      <c r="G41" s="59"/>
      <c r="H41" s="59"/>
      <c r="I41" s="59"/>
      <c r="J41" s="118"/>
      <c r="K41" s="119"/>
      <c r="L41" s="120"/>
      <c r="M41" s="121"/>
      <c r="N41" s="121"/>
      <c r="O41" s="126"/>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row>
    <row r="42" ht="15.75" customHeight="1" spans="1:51">
      <c r="A42" s="52" t="s">
        <v>179</v>
      </c>
      <c r="B42" s="153">
        <f>'Détail Dépenses'!W81+'Détail Dépenses'!X81</f>
        <v>1972000</v>
      </c>
      <c r="C42" s="65"/>
      <c r="D42" s="126"/>
      <c r="E42" s="158"/>
      <c r="F42" s="59"/>
      <c r="G42" s="59"/>
      <c r="H42" s="59"/>
      <c r="I42" s="59"/>
      <c r="J42" s="118"/>
      <c r="K42" s="119"/>
      <c r="L42" s="120"/>
      <c r="M42" s="121"/>
      <c r="N42" s="121"/>
      <c r="O42" s="126"/>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row>
    <row r="43" ht="15.75" customHeight="1" spans="1:51">
      <c r="A43" s="52" t="s">
        <v>180</v>
      </c>
      <c r="B43" s="153">
        <f>B38-B40-B42</f>
        <v>8289150</v>
      </c>
      <c r="C43" s="178"/>
      <c r="D43" s="69"/>
      <c r="E43" s="69"/>
      <c r="F43" s="179"/>
      <c r="G43" s="59"/>
      <c r="H43" s="59"/>
      <c r="I43" s="25"/>
      <c r="J43" s="118"/>
      <c r="K43" s="119"/>
      <c r="L43" s="120"/>
      <c r="M43" s="121"/>
      <c r="N43" s="121"/>
      <c r="O43" s="126"/>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row>
    <row r="44" ht="15.75" customHeight="1" spans="1:51">
      <c r="A44" s="52" t="s">
        <v>181</v>
      </c>
      <c r="B44" s="157">
        <f>B43/C33</f>
        <v>0.40492159640467</v>
      </c>
      <c r="C44" s="133"/>
      <c r="D44" s="69"/>
      <c r="E44" s="69"/>
      <c r="F44" s="158"/>
      <c r="G44" s="59"/>
      <c r="H44" s="59"/>
      <c r="I44" s="59"/>
      <c r="J44" s="118"/>
      <c r="K44" s="119"/>
      <c r="L44" s="120"/>
      <c r="M44" s="121"/>
      <c r="N44" s="121"/>
      <c r="O44" s="126"/>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row>
    <row r="45" ht="15.75" customHeight="1" spans="1:51">
      <c r="A45" s="52" t="s">
        <v>214</v>
      </c>
      <c r="B45" s="153">
        <f>RHv!F58</f>
        <v>1736000</v>
      </c>
      <c r="C45" s="180"/>
      <c r="D45" s="69"/>
      <c r="E45" s="69"/>
      <c r="F45" s="158"/>
      <c r="G45" s="59"/>
      <c r="H45" s="59"/>
      <c r="I45" s="59"/>
      <c r="J45" s="118"/>
      <c r="K45" s="119"/>
      <c r="L45" s="120"/>
      <c r="M45" s="121"/>
      <c r="N45" s="121"/>
      <c r="O45" s="126"/>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row>
    <row r="46" ht="15.75" customHeight="1" spans="1:51">
      <c r="A46" s="52" t="s">
        <v>215</v>
      </c>
      <c r="B46" s="157">
        <f>B45/B36</f>
        <v>0.0848028918958527</v>
      </c>
      <c r="C46" s="65"/>
      <c r="D46" s="181" t="e">
        <f>#REF!</f>
        <v>#REF!</v>
      </c>
      <c r="E46" s="110" t="e">
        <f>#REF!</f>
        <v>#REF!</v>
      </c>
      <c r="F46" s="182" t="e">
        <f>#REF!</f>
        <v>#REF!</v>
      </c>
      <c r="G46" s="59"/>
      <c r="H46" s="59"/>
      <c r="I46" s="25"/>
      <c r="J46" s="118"/>
      <c r="K46" s="119"/>
      <c r="L46" s="120"/>
      <c r="M46" s="121"/>
      <c r="N46" s="121"/>
      <c r="O46" s="126"/>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row>
    <row r="47" ht="15.75" customHeight="1" spans="1:51">
      <c r="A47" s="52" t="s">
        <v>216</v>
      </c>
      <c r="B47" s="153">
        <f>B37+B40+B42+B45</f>
        <v>13917850</v>
      </c>
      <c r="C47" s="65"/>
      <c r="D47" s="126"/>
      <c r="E47" s="158"/>
      <c r="F47" s="59"/>
      <c r="G47" s="59"/>
      <c r="H47" s="59"/>
      <c r="I47" s="59"/>
      <c r="J47" s="118"/>
      <c r="K47" s="119"/>
      <c r="L47" s="120"/>
      <c r="M47" s="121"/>
      <c r="N47" s="121"/>
      <c r="O47" s="126"/>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row>
    <row r="48" ht="15.75" customHeight="1" spans="1:51">
      <c r="A48" s="52" t="s">
        <v>183</v>
      </c>
      <c r="B48" s="161">
        <f>B43-B45+'MAI 23'!B45</f>
        <v>6293150.34377</v>
      </c>
      <c r="C48" s="65">
        <f>N33+E33+H33-B45+'MAI 23'!B45+'MAI 23'!C42</f>
        <v>6168750</v>
      </c>
      <c r="D48" s="183" t="e">
        <f t="shared" ref="D48:F48" si="16">$C$48*D46</f>
        <v>#REF!</v>
      </c>
      <c r="E48" s="184" t="e">
        <f t="shared" si="16"/>
        <v>#REF!</v>
      </c>
      <c r="F48" s="185" t="e">
        <f t="shared" si="16"/>
        <v>#REF!</v>
      </c>
      <c r="G48" s="59"/>
      <c r="H48" s="59"/>
      <c r="I48" s="59"/>
      <c r="J48" s="118"/>
      <c r="K48" s="119"/>
      <c r="L48" s="120"/>
      <c r="M48" s="121"/>
      <c r="N48" s="121"/>
      <c r="O48" s="126"/>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row>
    <row r="49" ht="15.75" customHeight="1" spans="1:51">
      <c r="A49" s="52" t="s">
        <v>184</v>
      </c>
      <c r="B49" s="157">
        <f>B48/B36</f>
        <v>0.307417827354306</v>
      </c>
      <c r="C49" s="65"/>
      <c r="D49" s="126"/>
      <c r="E49" s="158"/>
      <c r="F49" s="59"/>
      <c r="G49" s="59"/>
      <c r="H49" s="59"/>
      <c r="I49" s="59"/>
      <c r="J49" s="118"/>
      <c r="K49" s="119"/>
      <c r="L49" s="120"/>
      <c r="M49" s="121"/>
      <c r="N49" s="121"/>
      <c r="O49" s="126"/>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row>
    <row r="50" ht="15.75" customHeight="1" spans="1:51">
      <c r="A50" s="66"/>
      <c r="B50" s="162"/>
      <c r="C50" s="67"/>
      <c r="D50" s="69"/>
      <c r="E50" s="69"/>
      <c r="F50" s="68"/>
      <c r="G50" s="68"/>
      <c r="H50" s="68"/>
      <c r="I50" s="68"/>
      <c r="J50" s="67"/>
      <c r="K50" s="68"/>
      <c r="L50" s="68"/>
      <c r="M50" s="68"/>
      <c r="N50" s="68"/>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row>
    <row r="51" ht="15.75" customHeight="1" spans="1:51">
      <c r="A51" s="69"/>
      <c r="B51" s="163"/>
      <c r="C51" s="70"/>
      <c r="D51" s="69"/>
      <c r="E51" s="69"/>
      <c r="F51" s="69"/>
      <c r="G51" s="69"/>
      <c r="H51" s="69"/>
      <c r="I51" s="69"/>
      <c r="J51" s="70"/>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row>
    <row r="52" ht="15.75" customHeight="1" spans="1:51">
      <c r="A52" s="69"/>
      <c r="B52" s="163"/>
      <c r="C52" s="70"/>
      <c r="D52" s="69"/>
      <c r="E52" s="69"/>
      <c r="F52" s="69"/>
      <c r="G52" s="69"/>
      <c r="H52" s="69"/>
      <c r="I52" s="69"/>
      <c r="J52" s="70"/>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row>
    <row r="53" ht="15.75" customHeight="1" spans="1:51">
      <c r="A53" s="69"/>
      <c r="B53" s="163"/>
      <c r="C53" s="70"/>
      <c r="D53" s="69"/>
      <c r="E53" s="69"/>
      <c r="F53" s="69"/>
      <c r="G53" s="69"/>
      <c r="H53" s="69"/>
      <c r="I53" s="69"/>
      <c r="J53" s="70"/>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row>
    <row r="54" ht="15.75" customHeight="1" spans="1:51">
      <c r="A54" s="69"/>
      <c r="B54" s="163"/>
      <c r="C54" s="70"/>
      <c r="D54" s="69"/>
      <c r="E54" s="69"/>
      <c r="F54" s="69"/>
      <c r="G54" s="69"/>
      <c r="H54" s="69"/>
      <c r="I54" s="69"/>
      <c r="J54" s="70"/>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row>
    <row r="55" ht="15.75" customHeight="1" spans="1:51">
      <c r="A55" s="69"/>
      <c r="B55" s="163"/>
      <c r="C55" s="70"/>
      <c r="D55" s="69"/>
      <c r="E55" s="69"/>
      <c r="F55" s="69"/>
      <c r="G55" s="69"/>
      <c r="H55" s="69"/>
      <c r="I55" s="69"/>
      <c r="J55" s="70"/>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row>
    <row r="56" ht="15.75" customHeight="1" spans="1:51">
      <c r="A56" s="69"/>
      <c r="B56" s="163"/>
      <c r="C56" s="70"/>
      <c r="D56" s="69"/>
      <c r="E56" s="69"/>
      <c r="F56" s="69"/>
      <c r="G56" s="69"/>
      <c r="H56" s="69"/>
      <c r="I56" s="69"/>
      <c r="J56" s="70"/>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row>
    <row r="57" ht="15.75" customHeight="1" spans="1:51">
      <c r="A57" s="69"/>
      <c r="B57" s="163"/>
      <c r="C57" s="70"/>
      <c r="D57" s="69"/>
      <c r="E57" s="69"/>
      <c r="F57" s="69"/>
      <c r="G57" s="69"/>
      <c r="H57" s="69"/>
      <c r="I57" s="69"/>
      <c r="J57" s="70"/>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row>
    <row r="58" ht="15.75" customHeight="1" spans="1:51">
      <c r="A58" s="69"/>
      <c r="B58" s="163"/>
      <c r="C58" s="70"/>
      <c r="D58" s="69"/>
      <c r="E58" s="69"/>
      <c r="F58" s="69"/>
      <c r="G58" s="69"/>
      <c r="H58" s="69"/>
      <c r="I58" s="69"/>
      <c r="J58" s="70"/>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row>
    <row r="59" ht="15.75" customHeight="1" spans="1:51">
      <c r="A59" s="69"/>
      <c r="B59" s="163"/>
      <c r="C59" s="70"/>
      <c r="D59" s="69"/>
      <c r="E59" s="69"/>
      <c r="F59" s="69"/>
      <c r="G59" s="69"/>
      <c r="H59" s="69"/>
      <c r="I59" s="69"/>
      <c r="J59" s="70"/>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row>
    <row r="60" ht="15.75" customHeight="1" spans="1:51">
      <c r="A60" s="69"/>
      <c r="B60" s="163"/>
      <c r="C60" s="70"/>
      <c r="D60" s="69"/>
      <c r="E60" s="69"/>
      <c r="F60" s="69"/>
      <c r="G60" s="69"/>
      <c r="H60" s="69"/>
      <c r="I60" s="69"/>
      <c r="J60" s="70"/>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row>
    <row r="61" ht="15.75" customHeight="1" spans="1:51">
      <c r="A61" s="69"/>
      <c r="B61" s="163"/>
      <c r="C61" s="70"/>
      <c r="D61" s="69"/>
      <c r="E61" s="69"/>
      <c r="F61" s="69"/>
      <c r="G61" s="69"/>
      <c r="H61" s="69"/>
      <c r="I61" s="69"/>
      <c r="J61" s="70"/>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row>
    <row r="62" ht="15.75" customHeight="1" spans="1:51">
      <c r="A62" s="69"/>
      <c r="B62" s="163"/>
      <c r="C62" s="70"/>
      <c r="D62" s="69"/>
      <c r="E62" s="69"/>
      <c r="F62" s="69"/>
      <c r="G62" s="69"/>
      <c r="H62" s="69"/>
      <c r="I62" s="69"/>
      <c r="J62" s="70"/>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row>
    <row r="63" ht="15.75" customHeight="1" spans="1:51">
      <c r="A63" s="69"/>
      <c r="B63" s="163"/>
      <c r="C63" s="70"/>
      <c r="D63" s="69"/>
      <c r="E63" s="69"/>
      <c r="F63" s="69"/>
      <c r="G63" s="69"/>
      <c r="H63" s="69"/>
      <c r="I63" s="69"/>
      <c r="J63" s="70"/>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row>
    <row r="64" ht="15.75" customHeight="1" spans="1:51">
      <c r="A64" s="69"/>
      <c r="B64" s="163"/>
      <c r="C64" s="70"/>
      <c r="D64" s="69"/>
      <c r="E64" s="69"/>
      <c r="F64" s="69"/>
      <c r="G64" s="69"/>
      <c r="H64" s="69"/>
      <c r="I64" s="69"/>
      <c r="J64" s="70"/>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row>
    <row r="65" ht="15.75" customHeight="1" spans="1:51">
      <c r="A65" s="69"/>
      <c r="B65" s="163"/>
      <c r="C65" s="70"/>
      <c r="D65" s="69"/>
      <c r="E65" s="69"/>
      <c r="F65" s="69"/>
      <c r="G65" s="69"/>
      <c r="H65" s="69"/>
      <c r="I65" s="69"/>
      <c r="J65" s="70"/>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row>
    <row r="66" ht="15.75" customHeight="1" spans="1:51">
      <c r="A66" s="69"/>
      <c r="B66" s="163"/>
      <c r="C66" s="70"/>
      <c r="D66" s="69"/>
      <c r="E66" s="69"/>
      <c r="F66" s="69"/>
      <c r="G66" s="69"/>
      <c r="H66" s="69"/>
      <c r="I66" s="69"/>
      <c r="J66" s="70"/>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row>
    <row r="67" ht="15.75" customHeight="1" spans="1:51">
      <c r="A67" s="69"/>
      <c r="B67" s="163"/>
      <c r="C67" s="70"/>
      <c r="D67" s="69"/>
      <c r="E67" s="69"/>
      <c r="F67" s="69"/>
      <c r="G67" s="69"/>
      <c r="H67" s="69"/>
      <c r="I67" s="69"/>
      <c r="J67" s="70"/>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row>
    <row r="68" ht="15.75" customHeight="1" spans="1:51">
      <c r="A68" s="69"/>
      <c r="B68" s="163"/>
      <c r="C68" s="70"/>
      <c r="D68" s="69"/>
      <c r="E68" s="69"/>
      <c r="F68" s="69"/>
      <c r="G68" s="69"/>
      <c r="H68" s="69"/>
      <c r="I68" s="69"/>
      <c r="J68" s="70"/>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row>
    <row r="69" ht="15.75" customHeight="1" spans="1:51">
      <c r="A69" s="69"/>
      <c r="B69" s="163"/>
      <c r="C69" s="70"/>
      <c r="D69" s="69"/>
      <c r="E69" s="69"/>
      <c r="F69" s="69"/>
      <c r="G69" s="69"/>
      <c r="H69" s="69"/>
      <c r="I69" s="69"/>
      <c r="J69" s="70"/>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row>
    <row r="70" ht="15.75" customHeight="1" spans="1:51">
      <c r="A70" s="69"/>
      <c r="B70" s="163"/>
      <c r="C70" s="70"/>
      <c r="D70" s="69"/>
      <c r="E70" s="69"/>
      <c r="F70" s="69"/>
      <c r="G70" s="69"/>
      <c r="H70" s="69"/>
      <c r="I70" s="69"/>
      <c r="J70" s="70"/>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row>
    <row r="71" ht="15.75" customHeight="1" spans="1:51">
      <c r="A71" s="69"/>
      <c r="B71" s="163"/>
      <c r="C71" s="70"/>
      <c r="D71" s="69"/>
      <c r="E71" s="69"/>
      <c r="F71" s="69"/>
      <c r="G71" s="69"/>
      <c r="H71" s="69"/>
      <c r="I71" s="69"/>
      <c r="J71" s="70"/>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row>
    <row r="72" ht="15.75" customHeight="1" spans="1:51">
      <c r="A72" s="69"/>
      <c r="B72" s="163"/>
      <c r="C72" s="70"/>
      <c r="D72" s="69"/>
      <c r="E72" s="69"/>
      <c r="F72" s="69"/>
      <c r="G72" s="69"/>
      <c r="H72" s="69"/>
      <c r="I72" s="69"/>
      <c r="J72" s="70"/>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row>
    <row r="73" ht="15.75" customHeight="1" spans="1:51">
      <c r="A73" s="69"/>
      <c r="B73" s="163"/>
      <c r="C73" s="70"/>
      <c r="D73" s="69"/>
      <c r="E73" s="69"/>
      <c r="F73" s="69"/>
      <c r="G73" s="69"/>
      <c r="H73" s="69"/>
      <c r="I73" s="69"/>
      <c r="J73" s="70"/>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row>
    <row r="74" ht="15.75" customHeight="1" spans="1:51">
      <c r="A74" s="69"/>
      <c r="B74" s="163"/>
      <c r="C74" s="70"/>
      <c r="D74" s="69"/>
      <c r="E74" s="69"/>
      <c r="F74" s="69"/>
      <c r="G74" s="69"/>
      <c r="H74" s="69"/>
      <c r="I74" s="69"/>
      <c r="J74" s="70"/>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row>
    <row r="75" ht="15.75" customHeight="1" spans="1:51">
      <c r="A75" s="69"/>
      <c r="B75" s="163"/>
      <c r="C75" s="70"/>
      <c r="D75" s="69"/>
      <c r="E75" s="69"/>
      <c r="F75" s="69"/>
      <c r="G75" s="69"/>
      <c r="H75" s="69"/>
      <c r="I75" s="69"/>
      <c r="J75" s="70"/>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row>
    <row r="76" ht="15.75" customHeight="1" spans="1:51">
      <c r="A76" s="69"/>
      <c r="B76" s="163"/>
      <c r="C76" s="70"/>
      <c r="D76" s="69"/>
      <c r="E76" s="69"/>
      <c r="F76" s="69"/>
      <c r="G76" s="69"/>
      <c r="H76" s="69"/>
      <c r="I76" s="69"/>
      <c r="J76" s="70"/>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row>
    <row r="77" ht="15.75" customHeight="1" spans="1:51">
      <c r="A77" s="69"/>
      <c r="B77" s="163"/>
      <c r="C77" s="70"/>
      <c r="D77" s="69"/>
      <c r="E77" s="69"/>
      <c r="F77" s="69"/>
      <c r="G77" s="69"/>
      <c r="H77" s="69"/>
      <c r="I77" s="69"/>
      <c r="J77" s="70"/>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row>
    <row r="78" ht="15.75" customHeight="1" spans="1:51">
      <c r="A78" s="69"/>
      <c r="B78" s="163"/>
      <c r="C78" s="70"/>
      <c r="D78" s="69"/>
      <c r="E78" s="69"/>
      <c r="F78" s="69"/>
      <c r="G78" s="69"/>
      <c r="H78" s="69"/>
      <c r="I78" s="69"/>
      <c r="J78" s="70"/>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row>
    <row r="79" ht="15.75" customHeight="1" spans="1:51">
      <c r="A79" s="69"/>
      <c r="B79" s="163"/>
      <c r="C79" s="70"/>
      <c r="D79" s="69"/>
      <c r="E79" s="69"/>
      <c r="F79" s="69"/>
      <c r="G79" s="69"/>
      <c r="H79" s="69"/>
      <c r="I79" s="69"/>
      <c r="J79" s="70"/>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row>
    <row r="80" ht="15.75" customHeight="1" spans="1:51">
      <c r="A80" s="69"/>
      <c r="B80" s="163"/>
      <c r="C80" s="70"/>
      <c r="D80" s="69"/>
      <c r="E80" s="69"/>
      <c r="F80" s="69"/>
      <c r="G80" s="69"/>
      <c r="H80" s="69"/>
      <c r="I80" s="69"/>
      <c r="J80" s="70"/>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row>
    <row r="81" ht="15.75" customHeight="1" spans="1:51">
      <c r="A81" s="69"/>
      <c r="B81" s="163"/>
      <c r="C81" s="70"/>
      <c r="D81" s="69"/>
      <c r="E81" s="69"/>
      <c r="F81" s="69"/>
      <c r="G81" s="69"/>
      <c r="H81" s="69"/>
      <c r="I81" s="69"/>
      <c r="J81" s="70"/>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row>
    <row r="82" ht="15.75" customHeight="1" spans="1:51">
      <c r="A82" s="69"/>
      <c r="B82" s="163"/>
      <c r="C82" s="70"/>
      <c r="D82" s="69"/>
      <c r="E82" s="69"/>
      <c r="F82" s="69"/>
      <c r="G82" s="69"/>
      <c r="H82" s="69"/>
      <c r="I82" s="69"/>
      <c r="J82" s="70"/>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row>
    <row r="83" ht="15.75" customHeight="1" spans="1:51">
      <c r="A83" s="69"/>
      <c r="B83" s="163"/>
      <c r="C83" s="70"/>
      <c r="D83" s="69"/>
      <c r="E83" s="69"/>
      <c r="F83" s="69"/>
      <c r="G83" s="69"/>
      <c r="H83" s="69"/>
      <c r="I83" s="69"/>
      <c r="J83" s="70"/>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row>
    <row r="84" ht="15.75" customHeight="1" spans="1:51">
      <c r="A84" s="69"/>
      <c r="B84" s="163"/>
      <c r="C84" s="70"/>
      <c r="D84" s="69"/>
      <c r="E84" s="69"/>
      <c r="F84" s="69"/>
      <c r="G84" s="69"/>
      <c r="H84" s="69"/>
      <c r="I84" s="69"/>
      <c r="J84" s="70"/>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row>
    <row r="85" ht="15.75" customHeight="1" spans="1:51">
      <c r="A85" s="69"/>
      <c r="B85" s="163"/>
      <c r="C85" s="70"/>
      <c r="D85" s="69"/>
      <c r="E85" s="69"/>
      <c r="F85" s="69"/>
      <c r="G85" s="69"/>
      <c r="H85" s="69"/>
      <c r="I85" s="69"/>
      <c r="J85" s="70"/>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row>
    <row r="86" ht="15.75" customHeight="1" spans="1:51">
      <c r="A86" s="69"/>
      <c r="B86" s="163"/>
      <c r="C86" s="70"/>
      <c r="D86" s="69"/>
      <c r="E86" s="69"/>
      <c r="F86" s="69"/>
      <c r="G86" s="69"/>
      <c r="H86" s="69"/>
      <c r="I86" s="69"/>
      <c r="J86" s="70"/>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row>
    <row r="87" ht="15.75" customHeight="1" spans="1:51">
      <c r="A87" s="69"/>
      <c r="B87" s="163"/>
      <c r="C87" s="70"/>
      <c r="D87" s="69"/>
      <c r="E87" s="69"/>
      <c r="F87" s="69"/>
      <c r="G87" s="69"/>
      <c r="H87" s="69"/>
      <c r="I87" s="69"/>
      <c r="J87" s="70"/>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row>
    <row r="88" ht="15.75" customHeight="1" spans="1:51">
      <c r="A88" s="69"/>
      <c r="B88" s="163"/>
      <c r="C88" s="70"/>
      <c r="D88" s="69"/>
      <c r="E88" s="69"/>
      <c r="F88" s="69"/>
      <c r="G88" s="69"/>
      <c r="H88" s="69"/>
      <c r="I88" s="69"/>
      <c r="J88" s="70"/>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row>
    <row r="89" ht="15.75" customHeight="1" spans="1:51">
      <c r="A89" s="69"/>
      <c r="B89" s="163"/>
      <c r="C89" s="70"/>
      <c r="D89" s="69"/>
      <c r="E89" s="69"/>
      <c r="F89" s="69"/>
      <c r="G89" s="69"/>
      <c r="H89" s="69"/>
      <c r="I89" s="69"/>
      <c r="J89" s="70"/>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row>
    <row r="90" ht="15.75" customHeight="1" spans="1:51">
      <c r="A90" s="69"/>
      <c r="B90" s="163"/>
      <c r="C90" s="70"/>
      <c r="D90" s="69"/>
      <c r="E90" s="69"/>
      <c r="F90" s="69"/>
      <c r="G90" s="69"/>
      <c r="H90" s="69"/>
      <c r="I90" s="69"/>
      <c r="J90" s="70"/>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row>
    <row r="91" ht="15.75" customHeight="1" spans="1:51">
      <c r="A91" s="69"/>
      <c r="B91" s="163"/>
      <c r="C91" s="70"/>
      <c r="D91" s="69"/>
      <c r="E91" s="69"/>
      <c r="F91" s="69"/>
      <c r="G91" s="69"/>
      <c r="H91" s="69"/>
      <c r="I91" s="69"/>
      <c r="J91" s="70"/>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row>
    <row r="92" ht="15.75" customHeight="1" spans="1:51">
      <c r="A92" s="69"/>
      <c r="B92" s="163"/>
      <c r="C92" s="70"/>
      <c r="D92" s="69"/>
      <c r="E92" s="69"/>
      <c r="F92" s="69"/>
      <c r="G92" s="69"/>
      <c r="H92" s="69"/>
      <c r="I92" s="69"/>
      <c r="J92" s="70"/>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row>
    <row r="93" ht="15.75" customHeight="1" spans="1:51">
      <c r="A93" s="69"/>
      <c r="B93" s="163"/>
      <c r="C93" s="70"/>
      <c r="D93" s="69"/>
      <c r="E93" s="69"/>
      <c r="F93" s="69"/>
      <c r="G93" s="69"/>
      <c r="H93" s="69"/>
      <c r="I93" s="69"/>
      <c r="J93" s="70"/>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row>
    <row r="94" ht="15.75" customHeight="1" spans="1:51">
      <c r="A94" s="69"/>
      <c r="B94" s="163"/>
      <c r="C94" s="70"/>
      <c r="D94" s="69"/>
      <c r="E94" s="69"/>
      <c r="F94" s="69"/>
      <c r="G94" s="69"/>
      <c r="H94" s="69"/>
      <c r="I94" s="69"/>
      <c r="J94" s="70"/>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row>
    <row r="95" ht="15.75" customHeight="1" spans="1:51">
      <c r="A95" s="69"/>
      <c r="B95" s="163"/>
      <c r="C95" s="70"/>
      <c r="D95" s="69"/>
      <c r="E95" s="69"/>
      <c r="F95" s="69"/>
      <c r="G95" s="69"/>
      <c r="H95" s="69"/>
      <c r="I95" s="69"/>
      <c r="J95" s="70"/>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row>
    <row r="96" ht="15.75" customHeight="1" spans="1:51">
      <c r="A96" s="69"/>
      <c r="B96" s="163"/>
      <c r="C96" s="70"/>
      <c r="D96" s="69"/>
      <c r="E96" s="69"/>
      <c r="F96" s="69"/>
      <c r="G96" s="69"/>
      <c r="H96" s="69"/>
      <c r="I96" s="69"/>
      <c r="J96" s="70"/>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row>
    <row r="97" ht="15.75" customHeight="1" spans="1:51">
      <c r="A97" s="69"/>
      <c r="B97" s="163"/>
      <c r="C97" s="70"/>
      <c r="D97" s="69"/>
      <c r="E97" s="69"/>
      <c r="F97" s="69"/>
      <c r="G97" s="69"/>
      <c r="H97" s="69"/>
      <c r="I97" s="69"/>
      <c r="J97" s="70"/>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row>
    <row r="98" ht="15.75" customHeight="1" spans="1:51">
      <c r="A98" s="69"/>
      <c r="B98" s="163"/>
      <c r="C98" s="70"/>
      <c r="D98" s="69"/>
      <c r="E98" s="69"/>
      <c r="F98" s="69"/>
      <c r="G98" s="69"/>
      <c r="H98" s="69"/>
      <c r="I98" s="69"/>
      <c r="J98" s="70"/>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row>
    <row r="99" ht="15.75" customHeight="1" spans="1:51">
      <c r="A99" s="69"/>
      <c r="B99" s="163"/>
      <c r="C99" s="70"/>
      <c r="D99" s="69"/>
      <c r="E99" s="69"/>
      <c r="F99" s="69"/>
      <c r="G99" s="69"/>
      <c r="H99" s="69"/>
      <c r="I99" s="69"/>
      <c r="J99" s="70"/>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row>
    <row r="100" ht="15.75" customHeight="1" spans="1:51">
      <c r="A100" s="69"/>
      <c r="B100" s="163"/>
      <c r="C100" s="70"/>
      <c r="D100" s="69"/>
      <c r="E100" s="69"/>
      <c r="F100" s="69"/>
      <c r="G100" s="69"/>
      <c r="H100" s="69"/>
      <c r="I100" s="69"/>
      <c r="J100" s="70"/>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row>
    <row r="101" ht="15.75" customHeight="1" spans="1:51">
      <c r="A101" s="69"/>
      <c r="B101" s="163"/>
      <c r="C101" s="70"/>
      <c r="D101" s="69"/>
      <c r="E101" s="69"/>
      <c r="F101" s="69"/>
      <c r="G101" s="69"/>
      <c r="H101" s="69"/>
      <c r="I101" s="69"/>
      <c r="J101" s="70"/>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row>
    <row r="102" ht="15.75" customHeight="1" spans="1:51">
      <c r="A102" s="69"/>
      <c r="B102" s="163"/>
      <c r="C102" s="70"/>
      <c r="D102" s="69"/>
      <c r="E102" s="69"/>
      <c r="F102" s="69"/>
      <c r="G102" s="69"/>
      <c r="H102" s="69"/>
      <c r="I102" s="69"/>
      <c r="J102" s="70"/>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row>
    <row r="103" ht="15.75" customHeight="1" spans="1:51">
      <c r="A103" s="69"/>
      <c r="B103" s="163"/>
      <c r="C103" s="70"/>
      <c r="D103" s="69"/>
      <c r="E103" s="69"/>
      <c r="F103" s="69"/>
      <c r="G103" s="69"/>
      <c r="H103" s="69"/>
      <c r="I103" s="69"/>
      <c r="J103" s="70"/>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row>
    <row r="104" ht="15.75" customHeight="1" spans="1:51">
      <c r="A104" s="69"/>
      <c r="B104" s="163"/>
      <c r="C104" s="70"/>
      <c r="D104" s="69"/>
      <c r="E104" s="69"/>
      <c r="F104" s="69"/>
      <c r="G104" s="69"/>
      <c r="H104" s="69"/>
      <c r="I104" s="69"/>
      <c r="J104" s="70"/>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row>
    <row r="105" ht="15.75" customHeight="1" spans="1:51">
      <c r="A105" s="69"/>
      <c r="B105" s="163"/>
      <c r="C105" s="70"/>
      <c r="D105" s="69"/>
      <c r="E105" s="69"/>
      <c r="F105" s="69"/>
      <c r="G105" s="69"/>
      <c r="H105" s="69"/>
      <c r="I105" s="69"/>
      <c r="J105" s="70"/>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row>
    <row r="106" ht="15.75" customHeight="1" spans="1:51">
      <c r="A106" s="69"/>
      <c r="B106" s="163"/>
      <c r="C106" s="70"/>
      <c r="D106" s="69"/>
      <c r="E106" s="69"/>
      <c r="F106" s="69"/>
      <c r="G106" s="69"/>
      <c r="H106" s="69"/>
      <c r="I106" s="69"/>
      <c r="J106" s="70"/>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row>
    <row r="107" ht="15.75" customHeight="1" spans="1:51">
      <c r="A107" s="69"/>
      <c r="B107" s="163"/>
      <c r="C107" s="70"/>
      <c r="D107" s="69"/>
      <c r="E107" s="69"/>
      <c r="F107" s="69"/>
      <c r="G107" s="69"/>
      <c r="H107" s="69"/>
      <c r="I107" s="69"/>
      <c r="J107" s="70"/>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row>
    <row r="108" ht="15.75" customHeight="1" spans="1:51">
      <c r="A108" s="69"/>
      <c r="B108" s="163"/>
      <c r="C108" s="70"/>
      <c r="D108" s="69"/>
      <c r="E108" s="69"/>
      <c r="F108" s="69"/>
      <c r="G108" s="69"/>
      <c r="H108" s="69"/>
      <c r="I108" s="69"/>
      <c r="J108" s="70"/>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row>
    <row r="109" ht="15.75" customHeight="1" spans="1:51">
      <c r="A109" s="69"/>
      <c r="B109" s="163"/>
      <c r="C109" s="70"/>
      <c r="D109" s="69"/>
      <c r="E109" s="69"/>
      <c r="F109" s="69"/>
      <c r="G109" s="69"/>
      <c r="H109" s="69"/>
      <c r="I109" s="69"/>
      <c r="J109" s="70"/>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row>
    <row r="110" ht="15.75" customHeight="1" spans="1:51">
      <c r="A110" s="69"/>
      <c r="B110" s="163"/>
      <c r="C110" s="70"/>
      <c r="D110" s="69"/>
      <c r="E110" s="69"/>
      <c r="F110" s="69"/>
      <c r="G110" s="69"/>
      <c r="H110" s="69"/>
      <c r="I110" s="69"/>
      <c r="J110" s="70"/>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row>
    <row r="111" ht="15.75" customHeight="1" spans="1:51">
      <c r="A111" s="69"/>
      <c r="B111" s="163"/>
      <c r="C111" s="70"/>
      <c r="D111" s="69"/>
      <c r="E111" s="69"/>
      <c r="F111" s="69"/>
      <c r="G111" s="69"/>
      <c r="H111" s="69"/>
      <c r="I111" s="69"/>
      <c r="J111" s="70"/>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row>
    <row r="112" ht="15.75" customHeight="1" spans="1:51">
      <c r="A112" s="69"/>
      <c r="B112" s="163"/>
      <c r="C112" s="70"/>
      <c r="D112" s="69"/>
      <c r="E112" s="69"/>
      <c r="F112" s="69"/>
      <c r="G112" s="69"/>
      <c r="H112" s="69"/>
      <c r="I112" s="69"/>
      <c r="J112" s="70"/>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row>
    <row r="113" ht="15.75" customHeight="1" spans="1:51">
      <c r="A113" s="69"/>
      <c r="B113" s="163"/>
      <c r="C113" s="70"/>
      <c r="D113" s="69"/>
      <c r="E113" s="69"/>
      <c r="F113" s="69"/>
      <c r="G113" s="69"/>
      <c r="H113" s="69"/>
      <c r="I113" s="69"/>
      <c r="J113" s="70"/>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row>
    <row r="114" ht="15.75" customHeight="1" spans="1:51">
      <c r="A114" s="69"/>
      <c r="B114" s="163"/>
      <c r="C114" s="70"/>
      <c r="D114" s="69"/>
      <c r="E114" s="69"/>
      <c r="F114" s="69"/>
      <c r="G114" s="69"/>
      <c r="H114" s="69"/>
      <c r="I114" s="69"/>
      <c r="J114" s="70"/>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row>
    <row r="115" ht="15.75" customHeight="1" spans="1:51">
      <c r="A115" s="69"/>
      <c r="B115" s="163"/>
      <c r="C115" s="70"/>
      <c r="D115" s="69"/>
      <c r="E115" s="69"/>
      <c r="F115" s="69"/>
      <c r="G115" s="69"/>
      <c r="H115" s="69"/>
      <c r="I115" s="69"/>
      <c r="J115" s="70"/>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row>
    <row r="116" ht="15.75" customHeight="1" spans="1:51">
      <c r="A116" s="69"/>
      <c r="B116" s="163"/>
      <c r="C116" s="70"/>
      <c r="D116" s="69"/>
      <c r="E116" s="69"/>
      <c r="F116" s="69"/>
      <c r="G116" s="69"/>
      <c r="H116" s="69"/>
      <c r="I116" s="69"/>
      <c r="J116" s="70"/>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row>
    <row r="117" ht="15.75" customHeight="1" spans="1:51">
      <c r="A117" s="69"/>
      <c r="B117" s="163"/>
      <c r="C117" s="70"/>
      <c r="D117" s="69"/>
      <c r="E117" s="69"/>
      <c r="F117" s="69"/>
      <c r="G117" s="69"/>
      <c r="H117" s="69"/>
      <c r="I117" s="69"/>
      <c r="J117" s="70"/>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row>
    <row r="118" ht="15.75" customHeight="1" spans="1:51">
      <c r="A118" s="69"/>
      <c r="B118" s="163"/>
      <c r="C118" s="70"/>
      <c r="D118" s="69"/>
      <c r="E118" s="69"/>
      <c r="F118" s="69"/>
      <c r="G118" s="69"/>
      <c r="H118" s="69"/>
      <c r="I118" s="69"/>
      <c r="J118" s="70"/>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row>
    <row r="119" ht="15.75" customHeight="1" spans="1:51">
      <c r="A119" s="69"/>
      <c r="B119" s="163"/>
      <c r="C119" s="70"/>
      <c r="D119" s="69"/>
      <c r="E119" s="69"/>
      <c r="F119" s="69"/>
      <c r="G119" s="69"/>
      <c r="H119" s="69"/>
      <c r="I119" s="69"/>
      <c r="J119" s="70"/>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row>
    <row r="120" ht="15.75" customHeight="1" spans="1:51">
      <c r="A120" s="69"/>
      <c r="B120" s="163"/>
      <c r="C120" s="70"/>
      <c r="D120" s="69"/>
      <c r="E120" s="69"/>
      <c r="F120" s="69"/>
      <c r="G120" s="69"/>
      <c r="H120" s="69"/>
      <c r="I120" s="69"/>
      <c r="J120" s="70"/>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row>
    <row r="121" ht="15.75" customHeight="1" spans="1:51">
      <c r="A121" s="69"/>
      <c r="B121" s="163"/>
      <c r="C121" s="70"/>
      <c r="D121" s="69"/>
      <c r="E121" s="69"/>
      <c r="F121" s="69"/>
      <c r="G121" s="69"/>
      <c r="H121" s="69"/>
      <c r="I121" s="69"/>
      <c r="J121" s="70"/>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row>
    <row r="122" ht="15.75" customHeight="1" spans="1:51">
      <c r="A122" s="69"/>
      <c r="B122" s="163"/>
      <c r="C122" s="70"/>
      <c r="D122" s="69"/>
      <c r="E122" s="69"/>
      <c r="F122" s="69"/>
      <c r="G122" s="69"/>
      <c r="H122" s="69"/>
      <c r="I122" s="69"/>
      <c r="J122" s="70"/>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row>
    <row r="123" ht="15.75" customHeight="1" spans="1:51">
      <c r="A123" s="69"/>
      <c r="B123" s="163"/>
      <c r="C123" s="70"/>
      <c r="D123" s="69"/>
      <c r="E123" s="69"/>
      <c r="F123" s="69"/>
      <c r="G123" s="69"/>
      <c r="H123" s="69"/>
      <c r="I123" s="69"/>
      <c r="J123" s="70"/>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row>
    <row r="124" ht="15.75" customHeight="1" spans="1:51">
      <c r="A124" s="69"/>
      <c r="B124" s="163"/>
      <c r="C124" s="70"/>
      <c r="D124" s="69"/>
      <c r="E124" s="69"/>
      <c r="F124" s="69"/>
      <c r="G124" s="69"/>
      <c r="H124" s="69"/>
      <c r="I124" s="69"/>
      <c r="J124" s="70"/>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row>
    <row r="125" ht="15.75" customHeight="1" spans="1:51">
      <c r="A125" s="69"/>
      <c r="B125" s="163"/>
      <c r="C125" s="70"/>
      <c r="D125" s="69"/>
      <c r="E125" s="69"/>
      <c r="F125" s="69"/>
      <c r="G125" s="69"/>
      <c r="H125" s="69"/>
      <c r="I125" s="69"/>
      <c r="J125" s="70"/>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row>
    <row r="126" ht="15.75" customHeight="1" spans="1:51">
      <c r="A126" s="69"/>
      <c r="B126" s="163"/>
      <c r="C126" s="70"/>
      <c r="D126" s="69"/>
      <c r="E126" s="69"/>
      <c r="F126" s="69"/>
      <c r="G126" s="69"/>
      <c r="H126" s="69"/>
      <c r="I126" s="69"/>
      <c r="J126" s="70"/>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row>
    <row r="127" ht="15.75" customHeight="1" spans="1:51">
      <c r="A127" s="69"/>
      <c r="B127" s="163"/>
      <c r="C127" s="70"/>
      <c r="D127" s="69"/>
      <c r="E127" s="69"/>
      <c r="F127" s="69"/>
      <c r="G127" s="69"/>
      <c r="H127" s="69"/>
      <c r="I127" s="69"/>
      <c r="J127" s="70"/>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row>
    <row r="128" ht="15.75" customHeight="1" spans="1:51">
      <c r="A128" s="69"/>
      <c r="B128" s="163"/>
      <c r="C128" s="70"/>
      <c r="D128" s="69"/>
      <c r="E128" s="69"/>
      <c r="F128" s="69"/>
      <c r="G128" s="69"/>
      <c r="H128" s="69"/>
      <c r="I128" s="69"/>
      <c r="J128" s="70"/>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row>
    <row r="129" ht="15.75" customHeight="1" spans="1:51">
      <c r="A129" s="69"/>
      <c r="B129" s="163"/>
      <c r="C129" s="70"/>
      <c r="D129" s="69"/>
      <c r="E129" s="69"/>
      <c r="F129" s="69"/>
      <c r="G129" s="69"/>
      <c r="H129" s="69"/>
      <c r="I129" s="69"/>
      <c r="J129" s="70"/>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row>
    <row r="130" ht="15.75" customHeight="1" spans="1:51">
      <c r="A130" s="69"/>
      <c r="B130" s="163"/>
      <c r="C130" s="70"/>
      <c r="D130" s="69"/>
      <c r="E130" s="69"/>
      <c r="F130" s="69"/>
      <c r="G130" s="69"/>
      <c r="H130" s="69"/>
      <c r="I130" s="69"/>
      <c r="J130" s="70"/>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row>
    <row r="131" ht="15.75" customHeight="1" spans="1:51">
      <c r="A131" s="69"/>
      <c r="B131" s="163"/>
      <c r="C131" s="70"/>
      <c r="D131" s="69"/>
      <c r="E131" s="69"/>
      <c r="F131" s="69"/>
      <c r="G131" s="69"/>
      <c r="H131" s="69"/>
      <c r="I131" s="69"/>
      <c r="J131" s="70"/>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row>
    <row r="132" ht="15.75" customHeight="1" spans="1:51">
      <c r="A132" s="69"/>
      <c r="B132" s="163"/>
      <c r="C132" s="70"/>
      <c r="D132" s="69"/>
      <c r="E132" s="69"/>
      <c r="F132" s="69"/>
      <c r="G132" s="69"/>
      <c r="H132" s="69"/>
      <c r="I132" s="69"/>
      <c r="J132" s="70"/>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row>
    <row r="133" ht="15.75" customHeight="1" spans="1:51">
      <c r="A133" s="69"/>
      <c r="B133" s="163"/>
      <c r="C133" s="70"/>
      <c r="D133" s="69"/>
      <c r="E133" s="69"/>
      <c r="F133" s="69"/>
      <c r="G133" s="69"/>
      <c r="H133" s="69"/>
      <c r="I133" s="69"/>
      <c r="J133" s="70"/>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row>
    <row r="134" ht="15.75" customHeight="1" spans="1:51">
      <c r="A134" s="69"/>
      <c r="B134" s="163"/>
      <c r="C134" s="70"/>
      <c r="D134" s="69"/>
      <c r="E134" s="69"/>
      <c r="F134" s="69"/>
      <c r="G134" s="69"/>
      <c r="H134" s="69"/>
      <c r="I134" s="69"/>
      <c r="J134" s="70"/>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row>
    <row r="135" ht="15.75" customHeight="1" spans="1:51">
      <c r="A135" s="69"/>
      <c r="B135" s="163"/>
      <c r="C135" s="70"/>
      <c r="D135" s="69"/>
      <c r="E135" s="69"/>
      <c r="F135" s="69"/>
      <c r="G135" s="69"/>
      <c r="H135" s="69"/>
      <c r="I135" s="69"/>
      <c r="J135" s="70"/>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row>
    <row r="136" ht="15.75" customHeight="1" spans="1:51">
      <c r="A136" s="69"/>
      <c r="B136" s="163"/>
      <c r="C136" s="70"/>
      <c r="D136" s="69"/>
      <c r="E136" s="69"/>
      <c r="F136" s="69"/>
      <c r="G136" s="69"/>
      <c r="H136" s="69"/>
      <c r="I136" s="69"/>
      <c r="J136" s="70"/>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row>
    <row r="137" ht="15.75" customHeight="1" spans="1:51">
      <c r="A137" s="69"/>
      <c r="B137" s="163"/>
      <c r="C137" s="70"/>
      <c r="D137" s="69"/>
      <c r="E137" s="69"/>
      <c r="F137" s="69"/>
      <c r="G137" s="69"/>
      <c r="H137" s="69"/>
      <c r="I137" s="69"/>
      <c r="J137" s="70"/>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row>
    <row r="138" ht="15.75" customHeight="1" spans="1:51">
      <c r="A138" s="69"/>
      <c r="B138" s="163"/>
      <c r="C138" s="70"/>
      <c r="D138" s="69"/>
      <c r="E138" s="69"/>
      <c r="F138" s="69"/>
      <c r="G138" s="69"/>
      <c r="H138" s="69"/>
      <c r="I138" s="69"/>
      <c r="J138" s="70"/>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row>
    <row r="139" ht="15.75" customHeight="1" spans="1:51">
      <c r="A139" s="69"/>
      <c r="B139" s="163"/>
      <c r="C139" s="70"/>
      <c r="D139" s="69"/>
      <c r="E139" s="69"/>
      <c r="F139" s="69"/>
      <c r="G139" s="69"/>
      <c r="H139" s="69"/>
      <c r="I139" s="69"/>
      <c r="J139" s="70"/>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row>
    <row r="140" ht="15.75" customHeight="1" spans="1:51">
      <c r="A140" s="69"/>
      <c r="B140" s="163"/>
      <c r="C140" s="70"/>
      <c r="D140" s="69"/>
      <c r="E140" s="69"/>
      <c r="F140" s="69"/>
      <c r="G140" s="69"/>
      <c r="H140" s="69"/>
      <c r="I140" s="69"/>
      <c r="J140" s="70"/>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row>
    <row r="141" ht="15.75" customHeight="1" spans="1:51">
      <c r="A141" s="69"/>
      <c r="B141" s="163"/>
      <c r="C141" s="70"/>
      <c r="D141" s="69"/>
      <c r="E141" s="69"/>
      <c r="F141" s="69"/>
      <c r="G141" s="69"/>
      <c r="H141" s="69"/>
      <c r="I141" s="69"/>
      <c r="J141" s="70"/>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row>
    <row r="142" ht="15.75" customHeight="1" spans="1:51">
      <c r="A142" s="69"/>
      <c r="B142" s="163"/>
      <c r="C142" s="70"/>
      <c r="D142" s="69"/>
      <c r="E142" s="69"/>
      <c r="F142" s="69"/>
      <c r="G142" s="69"/>
      <c r="H142" s="69"/>
      <c r="I142" s="69"/>
      <c r="J142" s="70"/>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row>
    <row r="143" ht="15.75" customHeight="1" spans="1:51">
      <c r="A143" s="69"/>
      <c r="B143" s="163"/>
      <c r="C143" s="70"/>
      <c r="D143" s="69"/>
      <c r="E143" s="69"/>
      <c r="F143" s="69"/>
      <c r="G143" s="69"/>
      <c r="H143" s="69"/>
      <c r="I143" s="69"/>
      <c r="J143" s="70"/>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row>
    <row r="144" ht="15.75" customHeight="1" spans="1:51">
      <c r="A144" s="69"/>
      <c r="B144" s="163"/>
      <c r="C144" s="70"/>
      <c r="D144" s="69"/>
      <c r="E144" s="69"/>
      <c r="F144" s="69"/>
      <c r="G144" s="69"/>
      <c r="H144" s="69"/>
      <c r="I144" s="69"/>
      <c r="J144" s="70"/>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row>
    <row r="145" ht="15.75" customHeight="1" spans="1:51">
      <c r="A145" s="69"/>
      <c r="B145" s="163"/>
      <c r="C145" s="70"/>
      <c r="D145" s="69"/>
      <c r="E145" s="69"/>
      <c r="F145" s="69"/>
      <c r="G145" s="69"/>
      <c r="H145" s="69"/>
      <c r="I145" s="69"/>
      <c r="J145" s="70"/>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row>
    <row r="146" ht="15.75" customHeight="1" spans="1:51">
      <c r="A146" s="69"/>
      <c r="B146" s="163"/>
      <c r="C146" s="70"/>
      <c r="D146" s="69"/>
      <c r="E146" s="69"/>
      <c r="F146" s="69"/>
      <c r="G146" s="69"/>
      <c r="H146" s="69"/>
      <c r="I146" s="69"/>
      <c r="J146" s="70"/>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row>
    <row r="147" ht="15.75" customHeight="1" spans="1:51">
      <c r="A147" s="69"/>
      <c r="B147" s="163"/>
      <c r="C147" s="70"/>
      <c r="D147" s="69"/>
      <c r="E147" s="69"/>
      <c r="F147" s="69"/>
      <c r="G147" s="69"/>
      <c r="H147" s="69"/>
      <c r="I147" s="69"/>
      <c r="J147" s="70"/>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row>
    <row r="148" ht="15.75" customHeight="1" spans="1:51">
      <c r="A148" s="69"/>
      <c r="B148" s="163"/>
      <c r="C148" s="70"/>
      <c r="D148" s="69"/>
      <c r="E148" s="69"/>
      <c r="F148" s="69"/>
      <c r="G148" s="69"/>
      <c r="H148" s="69"/>
      <c r="I148" s="69"/>
      <c r="J148" s="70"/>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row>
    <row r="149" ht="15.75" customHeight="1" spans="1:51">
      <c r="A149" s="69"/>
      <c r="B149" s="163"/>
      <c r="C149" s="70"/>
      <c r="D149" s="69"/>
      <c r="E149" s="69"/>
      <c r="F149" s="69"/>
      <c r="G149" s="69"/>
      <c r="H149" s="69"/>
      <c r="I149" s="69"/>
      <c r="J149" s="70"/>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row>
    <row r="150" ht="15.75" customHeight="1" spans="1:51">
      <c r="A150" s="69"/>
      <c r="B150" s="163"/>
      <c r="C150" s="70"/>
      <c r="D150" s="69"/>
      <c r="E150" s="69"/>
      <c r="F150" s="69"/>
      <c r="G150" s="69"/>
      <c r="H150" s="69"/>
      <c r="I150" s="69"/>
      <c r="J150" s="70"/>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row>
    <row r="151" ht="15.75" customHeight="1" spans="1:51">
      <c r="A151" s="69"/>
      <c r="B151" s="163"/>
      <c r="C151" s="70"/>
      <c r="D151" s="69"/>
      <c r="E151" s="69"/>
      <c r="F151" s="69"/>
      <c r="G151" s="69"/>
      <c r="H151" s="69"/>
      <c r="I151" s="69"/>
      <c r="J151" s="70"/>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row>
    <row r="152" ht="15.75" customHeight="1" spans="1:51">
      <c r="A152" s="69"/>
      <c r="B152" s="163"/>
      <c r="C152" s="70"/>
      <c r="D152" s="69"/>
      <c r="E152" s="69"/>
      <c r="F152" s="69"/>
      <c r="G152" s="69"/>
      <c r="H152" s="69"/>
      <c r="I152" s="69"/>
      <c r="J152" s="70"/>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row>
    <row r="153" ht="15.75" customHeight="1" spans="1:51">
      <c r="A153" s="69"/>
      <c r="B153" s="163"/>
      <c r="C153" s="70"/>
      <c r="D153" s="69"/>
      <c r="E153" s="69"/>
      <c r="F153" s="69"/>
      <c r="G153" s="69"/>
      <c r="H153" s="69"/>
      <c r="I153" s="69"/>
      <c r="J153" s="70"/>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row>
    <row r="154" ht="15.75" customHeight="1" spans="1:51">
      <c r="A154" s="69"/>
      <c r="B154" s="163"/>
      <c r="C154" s="70"/>
      <c r="D154" s="69"/>
      <c r="E154" s="69"/>
      <c r="F154" s="69"/>
      <c r="G154" s="69"/>
      <c r="H154" s="69"/>
      <c r="I154" s="69"/>
      <c r="J154" s="70"/>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row>
    <row r="155" ht="15.75" customHeight="1" spans="1:51">
      <c r="A155" s="69"/>
      <c r="B155" s="163"/>
      <c r="C155" s="70"/>
      <c r="D155" s="69"/>
      <c r="E155" s="69"/>
      <c r="F155" s="69"/>
      <c r="G155" s="69"/>
      <c r="H155" s="69"/>
      <c r="I155" s="69"/>
      <c r="J155" s="70"/>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row>
    <row r="156" ht="15.75" customHeight="1" spans="1:51">
      <c r="A156" s="69"/>
      <c r="B156" s="163"/>
      <c r="C156" s="70"/>
      <c r="D156" s="69"/>
      <c r="E156" s="69"/>
      <c r="F156" s="69"/>
      <c r="G156" s="69"/>
      <c r="H156" s="69"/>
      <c r="I156" s="69"/>
      <c r="J156" s="70"/>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row>
    <row r="157" ht="15.75" customHeight="1" spans="1:51">
      <c r="A157" s="69"/>
      <c r="B157" s="163"/>
      <c r="C157" s="70"/>
      <c r="D157" s="69"/>
      <c r="E157" s="69"/>
      <c r="F157" s="69"/>
      <c r="G157" s="69"/>
      <c r="H157" s="69"/>
      <c r="I157" s="69"/>
      <c r="J157" s="70"/>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row>
    <row r="158" ht="15.75" customHeight="1" spans="1:51">
      <c r="A158" s="69"/>
      <c r="B158" s="163"/>
      <c r="C158" s="70"/>
      <c r="D158" s="69"/>
      <c r="E158" s="69"/>
      <c r="F158" s="69"/>
      <c r="G158" s="69"/>
      <c r="H158" s="69"/>
      <c r="I158" s="69"/>
      <c r="J158" s="70"/>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row>
    <row r="159" ht="15.75" customHeight="1" spans="1:51">
      <c r="A159" s="69"/>
      <c r="B159" s="163"/>
      <c r="C159" s="70"/>
      <c r="D159" s="69"/>
      <c r="E159" s="69"/>
      <c r="F159" s="69"/>
      <c r="G159" s="69"/>
      <c r="H159" s="69"/>
      <c r="I159" s="69"/>
      <c r="J159" s="70"/>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row>
    <row r="160" ht="15.75" customHeight="1" spans="1:51">
      <c r="A160" s="69"/>
      <c r="B160" s="163"/>
      <c r="C160" s="70"/>
      <c r="D160" s="69"/>
      <c r="E160" s="69"/>
      <c r="F160" s="69"/>
      <c r="G160" s="69"/>
      <c r="H160" s="69"/>
      <c r="I160" s="69"/>
      <c r="J160" s="70"/>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row>
    <row r="161" ht="15.75" customHeight="1" spans="1:51">
      <c r="A161" s="69"/>
      <c r="B161" s="163"/>
      <c r="C161" s="70"/>
      <c r="D161" s="69"/>
      <c r="E161" s="69"/>
      <c r="F161" s="69"/>
      <c r="G161" s="69"/>
      <c r="H161" s="69"/>
      <c r="I161" s="69"/>
      <c r="J161" s="70"/>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row>
    <row r="162" ht="15.75" customHeight="1" spans="1:51">
      <c r="A162" s="69"/>
      <c r="B162" s="163"/>
      <c r="C162" s="70"/>
      <c r="D162" s="69"/>
      <c r="E162" s="69"/>
      <c r="F162" s="69"/>
      <c r="G162" s="69"/>
      <c r="H162" s="69"/>
      <c r="I162" s="69"/>
      <c r="J162" s="70"/>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row>
    <row r="163" ht="15.75" customHeight="1" spans="1:51">
      <c r="A163" s="69"/>
      <c r="B163" s="163"/>
      <c r="C163" s="70"/>
      <c r="D163" s="69"/>
      <c r="E163" s="69"/>
      <c r="F163" s="69"/>
      <c r="G163" s="69"/>
      <c r="H163" s="69"/>
      <c r="I163" s="69"/>
      <c r="J163" s="70"/>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row>
    <row r="164" ht="15.75" customHeight="1" spans="1:51">
      <c r="A164" s="69"/>
      <c r="B164" s="163"/>
      <c r="C164" s="70"/>
      <c r="D164" s="69"/>
      <c r="E164" s="69"/>
      <c r="F164" s="69"/>
      <c r="G164" s="69"/>
      <c r="H164" s="69"/>
      <c r="I164" s="69"/>
      <c r="J164" s="70"/>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row>
    <row r="165" ht="15.75" customHeight="1" spans="1:51">
      <c r="A165" s="69"/>
      <c r="B165" s="163"/>
      <c r="C165" s="70"/>
      <c r="D165" s="69"/>
      <c r="E165" s="69"/>
      <c r="F165" s="69"/>
      <c r="G165" s="69"/>
      <c r="H165" s="69"/>
      <c r="I165" s="69"/>
      <c r="J165" s="70"/>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row>
    <row r="166" ht="15.75" customHeight="1" spans="1:51">
      <c r="A166" s="69"/>
      <c r="B166" s="163"/>
      <c r="C166" s="70"/>
      <c r="D166" s="69"/>
      <c r="E166" s="69"/>
      <c r="F166" s="69"/>
      <c r="G166" s="69"/>
      <c r="H166" s="69"/>
      <c r="I166" s="69"/>
      <c r="J166" s="70"/>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row>
    <row r="167" ht="15.75" customHeight="1" spans="1:51">
      <c r="A167" s="69"/>
      <c r="B167" s="163"/>
      <c r="C167" s="70"/>
      <c r="D167" s="69"/>
      <c r="E167" s="69"/>
      <c r="F167" s="69"/>
      <c r="G167" s="69"/>
      <c r="H167" s="69"/>
      <c r="I167" s="69"/>
      <c r="J167" s="70"/>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row>
    <row r="168" ht="15.75" customHeight="1" spans="1:51">
      <c r="A168" s="69"/>
      <c r="B168" s="163"/>
      <c r="C168" s="70"/>
      <c r="D168" s="69"/>
      <c r="E168" s="69"/>
      <c r="F168" s="69"/>
      <c r="G168" s="69"/>
      <c r="H168" s="69"/>
      <c r="I168" s="69"/>
      <c r="J168" s="70"/>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row>
    <row r="169" ht="15.75" customHeight="1" spans="1:51">
      <c r="A169" s="69"/>
      <c r="B169" s="163"/>
      <c r="C169" s="70"/>
      <c r="D169" s="69"/>
      <c r="E169" s="69"/>
      <c r="F169" s="69"/>
      <c r="G169" s="69"/>
      <c r="H169" s="69"/>
      <c r="I169" s="69"/>
      <c r="J169" s="70"/>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row>
    <row r="170" ht="15.75" customHeight="1" spans="1:51">
      <c r="A170" s="69"/>
      <c r="B170" s="163"/>
      <c r="C170" s="70"/>
      <c r="D170" s="69"/>
      <c r="E170" s="69"/>
      <c r="F170" s="69"/>
      <c r="G170" s="69"/>
      <c r="H170" s="69"/>
      <c r="I170" s="69"/>
      <c r="J170" s="70"/>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row>
    <row r="171" ht="15.75" customHeight="1" spans="1:51">
      <c r="A171" s="69"/>
      <c r="B171" s="163"/>
      <c r="C171" s="70"/>
      <c r="D171" s="69"/>
      <c r="E171" s="69"/>
      <c r="F171" s="69"/>
      <c r="G171" s="69"/>
      <c r="H171" s="69"/>
      <c r="I171" s="69"/>
      <c r="J171" s="70"/>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row>
    <row r="172" ht="15.75" customHeight="1" spans="1:51">
      <c r="A172" s="69"/>
      <c r="B172" s="163"/>
      <c r="C172" s="70"/>
      <c r="D172" s="69"/>
      <c r="E172" s="69"/>
      <c r="F172" s="69"/>
      <c r="G172" s="69"/>
      <c r="H172" s="69"/>
      <c r="I172" s="69"/>
      <c r="J172" s="70"/>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row>
    <row r="173" ht="15.75" customHeight="1" spans="1:51">
      <c r="A173" s="69"/>
      <c r="B173" s="163"/>
      <c r="C173" s="70"/>
      <c r="D173" s="69"/>
      <c r="E173" s="69"/>
      <c r="F173" s="69"/>
      <c r="G173" s="69"/>
      <c r="H173" s="69"/>
      <c r="I173" s="69"/>
      <c r="J173" s="70"/>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row>
    <row r="174" ht="15.75" customHeight="1" spans="1:51">
      <c r="A174" s="69"/>
      <c r="B174" s="163"/>
      <c r="C174" s="70"/>
      <c r="D174" s="69"/>
      <c r="E174" s="69"/>
      <c r="F174" s="69"/>
      <c r="G174" s="69"/>
      <c r="H174" s="69"/>
      <c r="I174" s="69"/>
      <c r="J174" s="70"/>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row>
    <row r="175" ht="15.75" customHeight="1" spans="1:51">
      <c r="A175" s="69"/>
      <c r="B175" s="163"/>
      <c r="C175" s="70"/>
      <c r="D175" s="69"/>
      <c r="E175" s="69"/>
      <c r="F175" s="69"/>
      <c r="G175" s="69"/>
      <c r="H175" s="69"/>
      <c r="I175" s="69"/>
      <c r="J175" s="70"/>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row>
    <row r="176" ht="15.75" customHeight="1" spans="1:51">
      <c r="A176" s="69"/>
      <c r="B176" s="163"/>
      <c r="C176" s="70"/>
      <c r="D176" s="69"/>
      <c r="E176" s="69"/>
      <c r="F176" s="69"/>
      <c r="G176" s="69"/>
      <c r="H176" s="69"/>
      <c r="I176" s="69"/>
      <c r="J176" s="70"/>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row>
    <row r="177" ht="15.75" customHeight="1" spans="1:51">
      <c r="A177" s="69"/>
      <c r="B177" s="163"/>
      <c r="C177" s="70"/>
      <c r="D177" s="69"/>
      <c r="E177" s="69"/>
      <c r="F177" s="69"/>
      <c r="G177" s="69"/>
      <c r="H177" s="69"/>
      <c r="I177" s="69"/>
      <c r="J177" s="70"/>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row>
    <row r="178" ht="15.75" customHeight="1" spans="1:51">
      <c r="A178" s="69"/>
      <c r="B178" s="163"/>
      <c r="C178" s="70"/>
      <c r="D178" s="69"/>
      <c r="E178" s="69"/>
      <c r="F178" s="69"/>
      <c r="G178" s="69"/>
      <c r="H178" s="69"/>
      <c r="I178" s="69"/>
      <c r="J178" s="70"/>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row>
    <row r="179" ht="15.75" customHeight="1" spans="1:51">
      <c r="A179" s="69"/>
      <c r="B179" s="163"/>
      <c r="C179" s="70"/>
      <c r="D179" s="69"/>
      <c r="E179" s="69"/>
      <c r="F179" s="69"/>
      <c r="G179" s="69"/>
      <c r="H179" s="69"/>
      <c r="I179" s="69"/>
      <c r="J179" s="70"/>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row>
    <row r="180" ht="15.75" customHeight="1" spans="1:51">
      <c r="A180" s="69"/>
      <c r="B180" s="163"/>
      <c r="C180" s="70"/>
      <c r="D180" s="69"/>
      <c r="E180" s="69"/>
      <c r="F180" s="69"/>
      <c r="G180" s="69"/>
      <c r="H180" s="69"/>
      <c r="I180" s="69"/>
      <c r="J180" s="70"/>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row>
    <row r="181" ht="15.75" customHeight="1" spans="1:51">
      <c r="A181" s="69"/>
      <c r="B181" s="163"/>
      <c r="C181" s="70"/>
      <c r="D181" s="69"/>
      <c r="E181" s="69"/>
      <c r="F181" s="69"/>
      <c r="G181" s="69"/>
      <c r="H181" s="69"/>
      <c r="I181" s="69"/>
      <c r="J181" s="70"/>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row>
    <row r="182" ht="15.75" customHeight="1" spans="1:51">
      <c r="A182" s="69"/>
      <c r="B182" s="163"/>
      <c r="C182" s="70"/>
      <c r="D182" s="69"/>
      <c r="E182" s="69"/>
      <c r="F182" s="69"/>
      <c r="G182" s="69"/>
      <c r="H182" s="69"/>
      <c r="I182" s="69"/>
      <c r="J182" s="70"/>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row>
    <row r="183" ht="15.75" customHeight="1" spans="1:51">
      <c r="A183" s="69"/>
      <c r="B183" s="163"/>
      <c r="C183" s="70"/>
      <c r="D183" s="69"/>
      <c r="E183" s="69"/>
      <c r="F183" s="69"/>
      <c r="G183" s="69"/>
      <c r="H183" s="69"/>
      <c r="I183" s="69"/>
      <c r="J183" s="70"/>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row>
    <row r="184" ht="15.75" customHeight="1" spans="1:51">
      <c r="A184" s="69"/>
      <c r="B184" s="163"/>
      <c r="C184" s="70"/>
      <c r="D184" s="69"/>
      <c r="E184" s="69"/>
      <c r="F184" s="69"/>
      <c r="G184" s="69"/>
      <c r="H184" s="69"/>
      <c r="I184" s="69"/>
      <c r="J184" s="70"/>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row>
    <row r="185" ht="15.75" customHeight="1" spans="1:51">
      <c r="A185" s="69"/>
      <c r="B185" s="163"/>
      <c r="C185" s="70"/>
      <c r="D185" s="69"/>
      <c r="E185" s="69"/>
      <c r="F185" s="69"/>
      <c r="G185" s="69"/>
      <c r="H185" s="69"/>
      <c r="I185" s="69"/>
      <c r="J185" s="70"/>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row>
    <row r="186" ht="15.75" customHeight="1" spans="1:51">
      <c r="A186" s="69"/>
      <c r="B186" s="163"/>
      <c r="C186" s="70"/>
      <c r="D186" s="69"/>
      <c r="E186" s="69"/>
      <c r="F186" s="69"/>
      <c r="G186" s="69"/>
      <c r="H186" s="69"/>
      <c r="I186" s="69"/>
      <c r="J186" s="70"/>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row>
    <row r="187" ht="15.75" customHeight="1" spans="1:51">
      <c r="A187" s="69"/>
      <c r="B187" s="163"/>
      <c r="C187" s="70"/>
      <c r="D187" s="69"/>
      <c r="E187" s="69"/>
      <c r="F187" s="69"/>
      <c r="G187" s="69"/>
      <c r="H187" s="69"/>
      <c r="I187" s="69"/>
      <c r="J187" s="70"/>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row>
    <row r="188" ht="15.75" customHeight="1" spans="1:51">
      <c r="A188" s="69"/>
      <c r="B188" s="163"/>
      <c r="C188" s="70"/>
      <c r="D188" s="69"/>
      <c r="E188" s="69"/>
      <c r="F188" s="69"/>
      <c r="G188" s="69"/>
      <c r="H188" s="69"/>
      <c r="I188" s="69"/>
      <c r="J188" s="70"/>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row>
    <row r="189" ht="15.75" customHeight="1" spans="1:51">
      <c r="A189" s="69"/>
      <c r="B189" s="163"/>
      <c r="C189" s="70"/>
      <c r="D189" s="69"/>
      <c r="E189" s="69"/>
      <c r="F189" s="69"/>
      <c r="G189" s="69"/>
      <c r="H189" s="69"/>
      <c r="I189" s="69"/>
      <c r="J189" s="70"/>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row>
    <row r="190" ht="15.75" customHeight="1" spans="1:51">
      <c r="A190" s="69"/>
      <c r="B190" s="163"/>
      <c r="C190" s="70"/>
      <c r="D190" s="69"/>
      <c r="E190" s="69"/>
      <c r="F190" s="69"/>
      <c r="G190" s="69"/>
      <c r="H190" s="69"/>
      <c r="I190" s="69"/>
      <c r="J190" s="70"/>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row>
    <row r="191" ht="15.75" customHeight="1" spans="1:51">
      <c r="A191" s="69"/>
      <c r="B191" s="163"/>
      <c r="C191" s="70"/>
      <c r="D191" s="69"/>
      <c r="E191" s="69"/>
      <c r="F191" s="69"/>
      <c r="G191" s="69"/>
      <c r="H191" s="69"/>
      <c r="I191" s="69"/>
      <c r="J191" s="70"/>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row>
    <row r="192" ht="15.75" customHeight="1" spans="1:51">
      <c r="A192" s="69"/>
      <c r="B192" s="163"/>
      <c r="C192" s="70"/>
      <c r="D192" s="69"/>
      <c r="E192" s="69"/>
      <c r="F192" s="69"/>
      <c r="G192" s="69"/>
      <c r="H192" s="69"/>
      <c r="I192" s="69"/>
      <c r="J192" s="70"/>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row>
    <row r="193" ht="15.75" customHeight="1" spans="1:51">
      <c r="A193" s="69"/>
      <c r="B193" s="163"/>
      <c r="C193" s="70"/>
      <c r="D193" s="69"/>
      <c r="E193" s="69"/>
      <c r="F193" s="69"/>
      <c r="G193" s="69"/>
      <c r="H193" s="69"/>
      <c r="I193" s="69"/>
      <c r="J193" s="70"/>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row>
    <row r="194" ht="15.75" customHeight="1" spans="1:51">
      <c r="A194" s="69"/>
      <c r="B194" s="163"/>
      <c r="C194" s="70"/>
      <c r="D194" s="69"/>
      <c r="E194" s="69"/>
      <c r="F194" s="69"/>
      <c r="G194" s="69"/>
      <c r="H194" s="69"/>
      <c r="I194" s="69"/>
      <c r="J194" s="70"/>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row>
    <row r="195" ht="15.75" customHeight="1" spans="1:51">
      <c r="A195" s="69"/>
      <c r="B195" s="163"/>
      <c r="C195" s="70"/>
      <c r="D195" s="69"/>
      <c r="E195" s="69"/>
      <c r="F195" s="69"/>
      <c r="G195" s="69"/>
      <c r="H195" s="69"/>
      <c r="I195" s="69"/>
      <c r="J195" s="70"/>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row>
    <row r="196" ht="15.75" customHeight="1" spans="1:51">
      <c r="A196" s="69"/>
      <c r="B196" s="163"/>
      <c r="C196" s="70"/>
      <c r="D196" s="69"/>
      <c r="E196" s="69"/>
      <c r="F196" s="69"/>
      <c r="G196" s="69"/>
      <c r="H196" s="69"/>
      <c r="I196" s="69"/>
      <c r="J196" s="70"/>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row>
    <row r="197" ht="15.75" customHeight="1" spans="1:51">
      <c r="A197" s="69"/>
      <c r="B197" s="163"/>
      <c r="C197" s="70"/>
      <c r="D197" s="69"/>
      <c r="E197" s="69"/>
      <c r="F197" s="69"/>
      <c r="G197" s="69"/>
      <c r="H197" s="69"/>
      <c r="I197" s="69"/>
      <c r="J197" s="70"/>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row>
    <row r="198" ht="15.75" customHeight="1" spans="1:51">
      <c r="A198" s="69"/>
      <c r="B198" s="163"/>
      <c r="C198" s="70"/>
      <c r="D198" s="69"/>
      <c r="E198" s="69"/>
      <c r="F198" s="69"/>
      <c r="G198" s="69"/>
      <c r="H198" s="69"/>
      <c r="I198" s="69"/>
      <c r="J198" s="70"/>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row>
    <row r="199" ht="15.75" customHeight="1" spans="1:51">
      <c r="A199" s="69"/>
      <c r="B199" s="163"/>
      <c r="C199" s="70"/>
      <c r="D199" s="69"/>
      <c r="E199" s="69"/>
      <c r="F199" s="69"/>
      <c r="G199" s="69"/>
      <c r="H199" s="69"/>
      <c r="I199" s="69"/>
      <c r="J199" s="70"/>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row>
    <row r="200" ht="15.75" customHeight="1" spans="1:51">
      <c r="A200" s="69"/>
      <c r="B200" s="163"/>
      <c r="C200" s="70"/>
      <c r="D200" s="69"/>
      <c r="E200" s="69"/>
      <c r="F200" s="69"/>
      <c r="G200" s="69"/>
      <c r="H200" s="69"/>
      <c r="I200" s="69"/>
      <c r="J200" s="70"/>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row>
    <row r="201" ht="15.75" customHeight="1" spans="1:51">
      <c r="A201" s="69"/>
      <c r="B201" s="163"/>
      <c r="C201" s="70"/>
      <c r="D201" s="69"/>
      <c r="E201" s="69"/>
      <c r="F201" s="69"/>
      <c r="G201" s="69"/>
      <c r="H201" s="69"/>
      <c r="I201" s="69"/>
      <c r="J201" s="70"/>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row>
    <row r="202" ht="15.75" customHeight="1" spans="1:51">
      <c r="A202" s="69"/>
      <c r="B202" s="163"/>
      <c r="C202" s="70"/>
      <c r="D202" s="69"/>
      <c r="E202" s="69"/>
      <c r="F202" s="69"/>
      <c r="G202" s="69"/>
      <c r="H202" s="69"/>
      <c r="I202" s="69"/>
      <c r="J202" s="70"/>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row>
    <row r="203" ht="15.75" customHeight="1" spans="1:51">
      <c r="A203" s="69"/>
      <c r="B203" s="163"/>
      <c r="C203" s="70"/>
      <c r="D203" s="69"/>
      <c r="E203" s="69"/>
      <c r="F203" s="69"/>
      <c r="G203" s="69"/>
      <c r="H203" s="69"/>
      <c r="I203" s="69"/>
      <c r="J203" s="70"/>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row>
    <row r="204" ht="15.75" customHeight="1" spans="1:51">
      <c r="A204" s="69"/>
      <c r="B204" s="163"/>
      <c r="C204" s="70"/>
      <c r="D204" s="69"/>
      <c r="E204" s="69"/>
      <c r="F204" s="69"/>
      <c r="G204" s="69"/>
      <c r="H204" s="69"/>
      <c r="I204" s="69"/>
      <c r="J204" s="70"/>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row>
    <row r="205" ht="15.75" customHeight="1" spans="1:51">
      <c r="A205" s="69"/>
      <c r="B205" s="163"/>
      <c r="C205" s="70"/>
      <c r="D205" s="69"/>
      <c r="E205" s="69"/>
      <c r="F205" s="69"/>
      <c r="G205" s="69"/>
      <c r="H205" s="69"/>
      <c r="I205" s="69"/>
      <c r="J205" s="70"/>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row>
    <row r="206" ht="15.75" customHeight="1" spans="1:51">
      <c r="A206" s="69"/>
      <c r="B206" s="163"/>
      <c r="C206" s="70"/>
      <c r="D206" s="69"/>
      <c r="E206" s="69"/>
      <c r="F206" s="69"/>
      <c r="G206" s="69"/>
      <c r="H206" s="69"/>
      <c r="I206" s="69"/>
      <c r="J206" s="70"/>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row>
    <row r="207" ht="15.75" customHeight="1" spans="1:51">
      <c r="A207" s="69"/>
      <c r="B207" s="163"/>
      <c r="C207" s="70"/>
      <c r="D207" s="69"/>
      <c r="E207" s="69"/>
      <c r="F207" s="69"/>
      <c r="G207" s="69"/>
      <c r="H207" s="69"/>
      <c r="I207" s="69"/>
      <c r="J207" s="70"/>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row>
    <row r="208" ht="15.75" customHeight="1" spans="1:51">
      <c r="A208" s="69"/>
      <c r="B208" s="163"/>
      <c r="C208" s="70"/>
      <c r="D208" s="69"/>
      <c r="E208" s="69"/>
      <c r="F208" s="69"/>
      <c r="G208" s="69"/>
      <c r="H208" s="69"/>
      <c r="I208" s="69"/>
      <c r="J208" s="70"/>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row>
    <row r="209" ht="15.75" customHeight="1" spans="1:51">
      <c r="A209" s="69"/>
      <c r="B209" s="163"/>
      <c r="C209" s="70"/>
      <c r="D209" s="69"/>
      <c r="E209" s="69"/>
      <c r="F209" s="69"/>
      <c r="G209" s="69"/>
      <c r="H209" s="69"/>
      <c r="I209" s="69"/>
      <c r="J209" s="70"/>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row>
    <row r="210" ht="15.75" customHeight="1" spans="1:51">
      <c r="A210" s="69"/>
      <c r="B210" s="163"/>
      <c r="C210" s="70"/>
      <c r="D210" s="69"/>
      <c r="E210" s="69"/>
      <c r="F210" s="69"/>
      <c r="G210" s="69"/>
      <c r="H210" s="69"/>
      <c r="I210" s="69"/>
      <c r="J210" s="70"/>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row>
    <row r="211" ht="15.75" customHeight="1" spans="1:51">
      <c r="A211" s="69"/>
      <c r="B211" s="163"/>
      <c r="C211" s="70"/>
      <c r="D211" s="69"/>
      <c r="E211" s="69"/>
      <c r="F211" s="69"/>
      <c r="G211" s="69"/>
      <c r="H211" s="69"/>
      <c r="I211" s="69"/>
      <c r="J211" s="70"/>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row>
    <row r="212" ht="15.75" customHeight="1" spans="1:51">
      <c r="A212" s="69"/>
      <c r="B212" s="163"/>
      <c r="C212" s="70"/>
      <c r="D212" s="69"/>
      <c r="E212" s="69"/>
      <c r="F212" s="69"/>
      <c r="G212" s="69"/>
      <c r="H212" s="69"/>
      <c r="I212" s="69"/>
      <c r="J212" s="70"/>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row>
    <row r="213" ht="15.75" customHeight="1" spans="1:51">
      <c r="A213" s="69"/>
      <c r="B213" s="163"/>
      <c r="C213" s="70"/>
      <c r="D213" s="69"/>
      <c r="E213" s="69"/>
      <c r="F213" s="69"/>
      <c r="G213" s="69"/>
      <c r="H213" s="69"/>
      <c r="I213" s="69"/>
      <c r="J213" s="70"/>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row>
    <row r="214" ht="15.75" customHeight="1" spans="1:51">
      <c r="A214" s="69"/>
      <c r="B214" s="163"/>
      <c r="C214" s="70"/>
      <c r="D214" s="69"/>
      <c r="E214" s="69"/>
      <c r="F214" s="69"/>
      <c r="G214" s="69"/>
      <c r="H214" s="69"/>
      <c r="I214" s="69"/>
      <c r="J214" s="70"/>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row>
    <row r="215" ht="15.75" customHeight="1" spans="1:51">
      <c r="A215" s="69"/>
      <c r="B215" s="163"/>
      <c r="C215" s="70"/>
      <c r="D215" s="69"/>
      <c r="E215" s="69"/>
      <c r="F215" s="69"/>
      <c r="G215" s="69"/>
      <c r="H215" s="69"/>
      <c r="I215" s="69"/>
      <c r="J215" s="70"/>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row>
    <row r="216" ht="15.75" customHeight="1" spans="1:51">
      <c r="A216" s="69"/>
      <c r="B216" s="163"/>
      <c r="C216" s="70"/>
      <c r="D216" s="69"/>
      <c r="E216" s="69"/>
      <c r="F216" s="69"/>
      <c r="G216" s="69"/>
      <c r="H216" s="69"/>
      <c r="I216" s="69"/>
      <c r="J216" s="70"/>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row>
    <row r="217" ht="15.75" customHeight="1" spans="1:51">
      <c r="A217" s="69"/>
      <c r="B217" s="163"/>
      <c r="C217" s="70"/>
      <c r="D217" s="69"/>
      <c r="E217" s="69"/>
      <c r="F217" s="69"/>
      <c r="G217" s="69"/>
      <c r="H217" s="69"/>
      <c r="I217" s="69"/>
      <c r="J217" s="70"/>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row>
    <row r="218" ht="15.75" customHeight="1" spans="1:51">
      <c r="A218" s="69"/>
      <c r="B218" s="163"/>
      <c r="C218" s="70"/>
      <c r="D218" s="69"/>
      <c r="E218" s="69"/>
      <c r="F218" s="69"/>
      <c r="G218" s="69"/>
      <c r="H218" s="69"/>
      <c r="I218" s="69"/>
      <c r="J218" s="70"/>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row>
    <row r="219" ht="15.75" customHeight="1" spans="1:51">
      <c r="A219" s="69"/>
      <c r="B219" s="163"/>
      <c r="C219" s="70"/>
      <c r="D219" s="69"/>
      <c r="E219" s="69"/>
      <c r="F219" s="69"/>
      <c r="G219" s="69"/>
      <c r="H219" s="69"/>
      <c r="I219" s="69"/>
      <c r="J219" s="70"/>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row>
    <row r="220" ht="15.75" customHeight="1" spans="1:51">
      <c r="A220" s="69"/>
      <c r="B220" s="163"/>
      <c r="C220" s="70"/>
      <c r="D220" s="69"/>
      <c r="E220" s="69"/>
      <c r="F220" s="69"/>
      <c r="G220" s="69"/>
      <c r="H220" s="69"/>
      <c r="I220" s="69"/>
      <c r="J220" s="70"/>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row>
    <row r="221" ht="15.75" customHeight="1" spans="1:51">
      <c r="A221" s="69"/>
      <c r="B221" s="163"/>
      <c r="C221" s="70"/>
      <c r="D221" s="69"/>
      <c r="E221" s="69"/>
      <c r="F221" s="69"/>
      <c r="G221" s="69"/>
      <c r="H221" s="69"/>
      <c r="I221" s="69"/>
      <c r="J221" s="70"/>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row>
    <row r="222" ht="15.75" customHeight="1" spans="1:51">
      <c r="A222" s="69"/>
      <c r="B222" s="163"/>
      <c r="C222" s="70"/>
      <c r="D222" s="69"/>
      <c r="E222" s="69"/>
      <c r="F222" s="69"/>
      <c r="G222" s="69"/>
      <c r="H222" s="69"/>
      <c r="I222" s="69"/>
      <c r="J222" s="70"/>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row>
    <row r="223" ht="15.75" customHeight="1" spans="1:51">
      <c r="A223" s="69"/>
      <c r="B223" s="163"/>
      <c r="C223" s="70"/>
      <c r="D223" s="69"/>
      <c r="E223" s="69"/>
      <c r="F223" s="69"/>
      <c r="G223" s="69"/>
      <c r="H223" s="69"/>
      <c r="I223" s="69"/>
      <c r="J223" s="70"/>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row>
    <row r="224" ht="15.75" customHeight="1" spans="1:51">
      <c r="A224" s="69"/>
      <c r="B224" s="163"/>
      <c r="C224" s="70"/>
      <c r="D224" s="69"/>
      <c r="E224" s="69"/>
      <c r="F224" s="69"/>
      <c r="G224" s="69"/>
      <c r="H224" s="69"/>
      <c r="I224" s="69"/>
      <c r="J224" s="70"/>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row>
    <row r="225" ht="15.75" customHeight="1" spans="1:51">
      <c r="A225" s="69"/>
      <c r="B225" s="163"/>
      <c r="C225" s="70"/>
      <c r="D225" s="69"/>
      <c r="E225" s="69"/>
      <c r="F225" s="69"/>
      <c r="G225" s="69"/>
      <c r="H225" s="69"/>
      <c r="I225" s="69"/>
      <c r="J225" s="70"/>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row>
    <row r="226" ht="15.75" customHeight="1" spans="1:51">
      <c r="A226" s="69"/>
      <c r="B226" s="163"/>
      <c r="C226" s="70"/>
      <c r="D226" s="69"/>
      <c r="E226" s="69"/>
      <c r="F226" s="69"/>
      <c r="G226" s="69"/>
      <c r="H226" s="69"/>
      <c r="I226" s="69"/>
      <c r="J226" s="70"/>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row>
    <row r="227" ht="15.75" customHeight="1" spans="1:51">
      <c r="A227" s="69"/>
      <c r="B227" s="163"/>
      <c r="C227" s="70"/>
      <c r="D227" s="69"/>
      <c r="E227" s="69"/>
      <c r="F227" s="69"/>
      <c r="G227" s="69"/>
      <c r="H227" s="69"/>
      <c r="I227" s="69"/>
      <c r="J227" s="70"/>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row>
    <row r="228" ht="15.75" customHeight="1" spans="1:51">
      <c r="A228" s="69"/>
      <c r="B228" s="163"/>
      <c r="C228" s="70"/>
      <c r="D228" s="69"/>
      <c r="E228" s="69"/>
      <c r="F228" s="69"/>
      <c r="G228" s="69"/>
      <c r="H228" s="69"/>
      <c r="I228" s="69"/>
      <c r="J228" s="70"/>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row>
    <row r="229" ht="15.75" customHeight="1" spans="1:51">
      <c r="A229" s="69"/>
      <c r="B229" s="163"/>
      <c r="C229" s="70"/>
      <c r="D229" s="69"/>
      <c r="E229" s="69"/>
      <c r="F229" s="69"/>
      <c r="G229" s="69"/>
      <c r="H229" s="69"/>
      <c r="I229" s="69"/>
      <c r="J229" s="70"/>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row>
    <row r="230" ht="15.75" customHeight="1" spans="1:51">
      <c r="A230" s="69"/>
      <c r="B230" s="163"/>
      <c r="C230" s="70"/>
      <c r="D230" s="69"/>
      <c r="E230" s="69"/>
      <c r="F230" s="69"/>
      <c r="G230" s="69"/>
      <c r="H230" s="69"/>
      <c r="I230" s="69"/>
      <c r="J230" s="70"/>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row>
    <row r="231" ht="15.75" customHeight="1" spans="1:51">
      <c r="A231" s="69"/>
      <c r="B231" s="163"/>
      <c r="C231" s="70"/>
      <c r="D231" s="69"/>
      <c r="E231" s="69"/>
      <c r="F231" s="69"/>
      <c r="G231" s="69"/>
      <c r="H231" s="69"/>
      <c r="I231" s="69"/>
      <c r="J231" s="70"/>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row>
    <row r="232" ht="15.75" customHeight="1" spans="1:51">
      <c r="A232" s="69"/>
      <c r="B232" s="163"/>
      <c r="C232" s="70"/>
      <c r="D232" s="69"/>
      <c r="E232" s="69"/>
      <c r="F232" s="69"/>
      <c r="G232" s="69"/>
      <c r="H232" s="69"/>
      <c r="I232" s="69"/>
      <c r="J232" s="70"/>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row>
    <row r="233" ht="15.75" customHeight="1" spans="1:51">
      <c r="A233" s="69"/>
      <c r="B233" s="163"/>
      <c r="C233" s="70"/>
      <c r="D233" s="69"/>
      <c r="E233" s="69"/>
      <c r="F233" s="69"/>
      <c r="G233" s="69"/>
      <c r="H233" s="69"/>
      <c r="I233" s="69"/>
      <c r="J233" s="70"/>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row>
    <row r="234" ht="15.75" customHeight="1" spans="1:51">
      <c r="A234" s="69"/>
      <c r="B234" s="163"/>
      <c r="C234" s="70"/>
      <c r="D234" s="69"/>
      <c r="E234" s="69"/>
      <c r="F234" s="69"/>
      <c r="G234" s="69"/>
      <c r="H234" s="69"/>
      <c r="I234" s="69"/>
      <c r="J234" s="70"/>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row>
    <row r="235" ht="15.75" customHeight="1" spans="1:51">
      <c r="A235" s="69"/>
      <c r="B235" s="163"/>
      <c r="C235" s="70"/>
      <c r="D235" s="69"/>
      <c r="E235" s="69"/>
      <c r="F235" s="69"/>
      <c r="G235" s="69"/>
      <c r="H235" s="69"/>
      <c r="I235" s="69"/>
      <c r="J235" s="70"/>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row>
    <row r="236" ht="15.75" customHeight="1" spans="1:51">
      <c r="A236" s="69"/>
      <c r="B236" s="163"/>
      <c r="C236" s="70"/>
      <c r="D236" s="69"/>
      <c r="E236" s="69"/>
      <c r="F236" s="69"/>
      <c r="G236" s="69"/>
      <c r="H236" s="69"/>
      <c r="I236" s="69"/>
      <c r="J236" s="70"/>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row>
    <row r="237" ht="15.75" customHeight="1" spans="1:51">
      <c r="A237" s="69"/>
      <c r="B237" s="163"/>
      <c r="C237" s="70"/>
      <c r="D237" s="69"/>
      <c r="E237" s="69"/>
      <c r="F237" s="69"/>
      <c r="G237" s="69"/>
      <c r="H237" s="69"/>
      <c r="I237" s="69"/>
      <c r="J237" s="70"/>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row>
    <row r="238" ht="15.75" customHeight="1" spans="1:51">
      <c r="A238" s="69"/>
      <c r="B238" s="163"/>
      <c r="C238" s="70"/>
      <c r="D238" s="69"/>
      <c r="E238" s="69"/>
      <c r="F238" s="69"/>
      <c r="G238" s="69"/>
      <c r="H238" s="69"/>
      <c r="I238" s="69"/>
      <c r="J238" s="70"/>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row>
    <row r="239" ht="15.75" customHeight="1" spans="1:51">
      <c r="A239" s="69"/>
      <c r="B239" s="163"/>
      <c r="C239" s="70"/>
      <c r="D239" s="69"/>
      <c r="E239" s="69"/>
      <c r="F239" s="69"/>
      <c r="G239" s="69"/>
      <c r="H239" s="69"/>
      <c r="I239" s="69"/>
      <c r="J239" s="70"/>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c r="AX239" s="69"/>
      <c r="AY239" s="69"/>
    </row>
    <row r="240" ht="15.75" customHeight="1" spans="1:51">
      <c r="A240" s="69"/>
      <c r="B240" s="163"/>
      <c r="C240" s="70"/>
      <c r="D240" s="69"/>
      <c r="E240" s="69"/>
      <c r="F240" s="69"/>
      <c r="G240" s="69"/>
      <c r="H240" s="69"/>
      <c r="I240" s="69"/>
      <c r="J240" s="70"/>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row>
    <row r="241" ht="15.75" customHeight="1" spans="1:51">
      <c r="A241" s="69"/>
      <c r="B241" s="163"/>
      <c r="C241" s="70"/>
      <c r="D241" s="69"/>
      <c r="E241" s="69"/>
      <c r="F241" s="69"/>
      <c r="G241" s="69"/>
      <c r="H241" s="69"/>
      <c r="I241" s="69"/>
      <c r="J241" s="70"/>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c r="AX241" s="69"/>
      <c r="AY241" s="69"/>
    </row>
    <row r="242" ht="15.75" customHeight="1" spans="1:51">
      <c r="A242" s="69"/>
      <c r="B242" s="163"/>
      <c r="C242" s="70"/>
      <c r="D242" s="69"/>
      <c r="E242" s="69"/>
      <c r="F242" s="69"/>
      <c r="G242" s="69"/>
      <c r="H242" s="69"/>
      <c r="I242" s="69"/>
      <c r="J242" s="70"/>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row>
    <row r="243" ht="15.75" customHeight="1" spans="1:51">
      <c r="A243" s="69"/>
      <c r="B243" s="163"/>
      <c r="C243" s="70"/>
      <c r="D243" s="69"/>
      <c r="E243" s="69"/>
      <c r="F243" s="69"/>
      <c r="G243" s="69"/>
      <c r="H243" s="69"/>
      <c r="I243" s="69"/>
      <c r="J243" s="70"/>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row>
    <row r="244" ht="15.75" customHeight="1" spans="1:51">
      <c r="A244" s="69"/>
      <c r="B244" s="163"/>
      <c r="C244" s="70"/>
      <c r="D244" s="69"/>
      <c r="E244" s="69"/>
      <c r="F244" s="69"/>
      <c r="G244" s="69"/>
      <c r="H244" s="69"/>
      <c r="I244" s="69"/>
      <c r="J244" s="70"/>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row>
    <row r="245" ht="15.75" customHeight="1" spans="1:51">
      <c r="A245" s="69"/>
      <c r="B245" s="163"/>
      <c r="C245" s="70"/>
      <c r="D245" s="69"/>
      <c r="E245" s="69"/>
      <c r="F245" s="69"/>
      <c r="G245" s="69"/>
      <c r="H245" s="69"/>
      <c r="I245" s="69"/>
      <c r="J245" s="70"/>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row>
    <row r="246" ht="15.75" customHeight="1" spans="1:51">
      <c r="A246" s="69"/>
      <c r="B246" s="163"/>
      <c r="C246" s="70"/>
      <c r="D246" s="69"/>
      <c r="E246" s="69"/>
      <c r="F246" s="69"/>
      <c r="G246" s="69"/>
      <c r="H246" s="69"/>
      <c r="I246" s="69"/>
      <c r="J246" s="70"/>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row>
    <row r="247" ht="15.75" customHeight="1" spans="1:51">
      <c r="A247" s="69"/>
      <c r="B247" s="163"/>
      <c r="C247" s="70"/>
      <c r="D247" s="69"/>
      <c r="E247" s="69"/>
      <c r="F247" s="69"/>
      <c r="G247" s="69"/>
      <c r="H247" s="69"/>
      <c r="I247" s="69"/>
      <c r="J247" s="70"/>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row>
    <row r="248" ht="15.75" customHeight="1" spans="1:51">
      <c r="A248" s="69"/>
      <c r="B248" s="163"/>
      <c r="C248" s="70"/>
      <c r="D248" s="69"/>
      <c r="E248" s="69"/>
      <c r="F248" s="69"/>
      <c r="G248" s="69"/>
      <c r="H248" s="69"/>
      <c r="I248" s="69"/>
      <c r="J248" s="70"/>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row>
    <row r="249" ht="15.75" customHeight="1" spans="1:51">
      <c r="A249" s="69"/>
      <c r="B249" s="163"/>
      <c r="C249" s="70"/>
      <c r="D249" s="69"/>
      <c r="E249" s="69"/>
      <c r="F249" s="69"/>
      <c r="G249" s="69"/>
      <c r="H249" s="69"/>
      <c r="I249" s="69"/>
      <c r="J249" s="70"/>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c r="AX249" s="69"/>
      <c r="AY249" s="69"/>
    </row>
    <row r="250" ht="15.75" customHeight="1" spans="1:51">
      <c r="A250" s="25"/>
      <c r="B250" s="172"/>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row>
    <row r="251" ht="15.75" customHeight="1" spans="1:51">
      <c r="A251" s="25"/>
      <c r="B251" s="172"/>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row>
    <row r="252" ht="15.75" customHeight="1" spans="1:51">
      <c r="A252" s="25"/>
      <c r="B252" s="172"/>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row>
    <row r="253" ht="15.75" customHeight="1" spans="1:51">
      <c r="A253" s="25"/>
      <c r="B253" s="172"/>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row>
    <row r="254" ht="15.75" customHeight="1" spans="1:51">
      <c r="A254" s="25"/>
      <c r="B254" s="172"/>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row>
    <row r="255" ht="15.75" customHeight="1" spans="1:51">
      <c r="A255" s="25"/>
      <c r="B255" s="172"/>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row>
    <row r="256" ht="15.75" customHeight="1" spans="1:51">
      <c r="A256" s="25"/>
      <c r="B256" s="172"/>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row>
    <row r="257" ht="15.75" customHeight="1" spans="1:51">
      <c r="A257" s="25"/>
      <c r="B257" s="172"/>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row>
    <row r="258" ht="15.75" customHeight="1" spans="1:51">
      <c r="A258" s="25"/>
      <c r="B258" s="172"/>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row>
    <row r="259" ht="15.75" customHeight="1" spans="1:51">
      <c r="A259" s="25"/>
      <c r="B259" s="172"/>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row>
    <row r="260" ht="15.75" customHeight="1" spans="1:51">
      <c r="A260" s="25"/>
      <c r="B260" s="172"/>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row>
    <row r="261" ht="15.75" customHeight="1" spans="1:51">
      <c r="A261" s="25"/>
      <c r="B261" s="172"/>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row>
    <row r="262" ht="15.75" customHeight="1" spans="1:51">
      <c r="A262" s="25"/>
      <c r="B262" s="172"/>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row>
    <row r="263" ht="15.75" customHeight="1" spans="1:51">
      <c r="A263" s="25"/>
      <c r="B263" s="172"/>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row>
    <row r="264" ht="15.75" customHeight="1" spans="1:51">
      <c r="A264" s="25"/>
      <c r="B264" s="172"/>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row>
    <row r="265" ht="15.75" customHeight="1" spans="1:51">
      <c r="A265" s="25"/>
      <c r="B265" s="172"/>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row>
    <row r="266" ht="15.75" customHeight="1" spans="1:51">
      <c r="A266" s="25"/>
      <c r="B266" s="172"/>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row>
    <row r="267" ht="15.75" customHeight="1" spans="1:51">
      <c r="A267" s="25"/>
      <c r="B267" s="172"/>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row>
    <row r="268" ht="15.75" customHeight="1" spans="1:51">
      <c r="A268" s="25"/>
      <c r="B268" s="172"/>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row>
    <row r="269" ht="15.75" customHeight="1" spans="1:51">
      <c r="A269" s="25"/>
      <c r="B269" s="172"/>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row>
    <row r="270" ht="15.75" customHeight="1" spans="1:51">
      <c r="A270" s="25"/>
      <c r="B270" s="172"/>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row>
    <row r="271" ht="15.75" customHeight="1" spans="1:51">
      <c r="A271" s="25"/>
      <c r="B271" s="172"/>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row>
    <row r="272" ht="15.75" customHeight="1" spans="1:51">
      <c r="A272" s="25"/>
      <c r="B272" s="172"/>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row>
    <row r="273" ht="15.75" customHeight="1" spans="1:51">
      <c r="A273" s="25"/>
      <c r="B273" s="172"/>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row>
    <row r="274" ht="15.75" customHeight="1" spans="1:51">
      <c r="A274" s="25"/>
      <c r="B274" s="172"/>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row>
    <row r="275" ht="15.75" customHeight="1" spans="1:51">
      <c r="A275" s="25"/>
      <c r="B275" s="172"/>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row>
    <row r="276" ht="15.75" customHeight="1" spans="1:51">
      <c r="A276" s="25"/>
      <c r="B276" s="172"/>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row>
    <row r="277" ht="15.75" customHeight="1" spans="1:51">
      <c r="A277" s="25"/>
      <c r="B277" s="172"/>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row>
    <row r="278" ht="15.75" customHeight="1" spans="1:51">
      <c r="A278" s="25"/>
      <c r="B278" s="172"/>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row>
    <row r="279" ht="15.75" customHeight="1" spans="1:51">
      <c r="A279" s="25"/>
      <c r="B279" s="172"/>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row>
    <row r="280" ht="15.75" customHeight="1" spans="1:51">
      <c r="A280" s="25"/>
      <c r="B280" s="172"/>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row>
    <row r="281" ht="15.75" customHeight="1" spans="1:51">
      <c r="A281" s="25"/>
      <c r="B281" s="172"/>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row>
    <row r="282" ht="15.75" customHeight="1" spans="1:51">
      <c r="A282" s="25"/>
      <c r="B282" s="172"/>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row>
    <row r="283" ht="15.75" customHeight="1" spans="1:51">
      <c r="A283" s="25"/>
      <c r="B283" s="172"/>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row>
    <row r="284" ht="15.75" customHeight="1" spans="1:51">
      <c r="A284" s="25"/>
      <c r="B284" s="172"/>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row>
    <row r="285" ht="15.75" customHeight="1" spans="1:51">
      <c r="A285" s="25"/>
      <c r="B285" s="172"/>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row>
    <row r="286" ht="15.75" customHeight="1" spans="1:51">
      <c r="A286" s="25"/>
      <c r="B286" s="172"/>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row>
    <row r="287" ht="15.75" customHeight="1" spans="1:51">
      <c r="A287" s="25"/>
      <c r="B287" s="172"/>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row>
    <row r="288" ht="15.75" customHeight="1" spans="1:51">
      <c r="A288" s="25"/>
      <c r="B288" s="172"/>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row>
    <row r="289" ht="15.75" customHeight="1" spans="1:51">
      <c r="A289" s="25"/>
      <c r="B289" s="172"/>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row>
    <row r="290" ht="15.75" customHeight="1" spans="1:51">
      <c r="A290" s="25"/>
      <c r="B290" s="172"/>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row>
    <row r="291" ht="15.75" customHeight="1" spans="1:51">
      <c r="A291" s="25"/>
      <c r="B291" s="172"/>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row>
    <row r="292" ht="15.75" customHeight="1" spans="1:51">
      <c r="A292" s="25"/>
      <c r="B292" s="172"/>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row>
    <row r="293" ht="15.75" customHeight="1" spans="1:51">
      <c r="A293" s="25"/>
      <c r="B293" s="172"/>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row>
    <row r="294" ht="15.75" customHeight="1" spans="1:51">
      <c r="A294" s="25"/>
      <c r="B294" s="172"/>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row>
    <row r="295" ht="15.75" customHeight="1" spans="1:51">
      <c r="A295" s="25"/>
      <c r="B295" s="172"/>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row>
    <row r="296" ht="15.75" customHeight="1" spans="1:51">
      <c r="A296" s="25"/>
      <c r="B296" s="172"/>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row>
    <row r="297" ht="15.75" customHeight="1" spans="1:51">
      <c r="A297" s="25"/>
      <c r="B297" s="172"/>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row>
    <row r="298" ht="15.75" customHeight="1" spans="1:51">
      <c r="A298" s="25"/>
      <c r="B298" s="172"/>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row>
    <row r="299" ht="15.75" customHeight="1" spans="1:51">
      <c r="A299" s="25"/>
      <c r="B299" s="172"/>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row>
    <row r="300" ht="15.75" customHeight="1" spans="1:51">
      <c r="A300" s="25"/>
      <c r="B300" s="172"/>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row>
    <row r="301" ht="15.75" customHeight="1" spans="1:51">
      <c r="A301" s="25"/>
      <c r="B301" s="172"/>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row>
    <row r="302" ht="15.75" customHeight="1" spans="1:51">
      <c r="A302" s="25"/>
      <c r="B302" s="172"/>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row>
    <row r="303" ht="15.75" customHeight="1" spans="1:51">
      <c r="A303" s="25"/>
      <c r="B303" s="172"/>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row>
    <row r="304" ht="15.75" customHeight="1" spans="1:51">
      <c r="A304" s="25"/>
      <c r="B304" s="172"/>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row>
    <row r="305" ht="15.75" customHeight="1" spans="1:51">
      <c r="A305" s="25"/>
      <c r="B305" s="172"/>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row>
    <row r="306" ht="15.75" customHeight="1" spans="1:51">
      <c r="A306" s="25"/>
      <c r="B306" s="172"/>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row>
    <row r="307" ht="15.75" customHeight="1" spans="1:51">
      <c r="A307" s="25"/>
      <c r="B307" s="172"/>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row>
    <row r="308" ht="15.75" customHeight="1" spans="1:51">
      <c r="A308" s="25"/>
      <c r="B308" s="172"/>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row>
    <row r="309" ht="15.75" customHeight="1" spans="1:51">
      <c r="A309" s="25"/>
      <c r="B309" s="172"/>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row>
    <row r="310" ht="15.75" customHeight="1" spans="1:51">
      <c r="A310" s="25"/>
      <c r="B310" s="172"/>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row>
    <row r="311" ht="15.75" customHeight="1" spans="1:51">
      <c r="A311" s="25"/>
      <c r="B311" s="172"/>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row>
    <row r="312" ht="15.75" customHeight="1" spans="1:51">
      <c r="A312" s="25"/>
      <c r="B312" s="172"/>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row>
    <row r="313" ht="15.75" customHeight="1" spans="1:51">
      <c r="A313" s="25"/>
      <c r="B313" s="172"/>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row>
    <row r="314" ht="15.75" customHeight="1" spans="1:51">
      <c r="A314" s="25"/>
      <c r="B314" s="172"/>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row>
    <row r="315" ht="15.75" customHeight="1" spans="1:51">
      <c r="A315" s="25"/>
      <c r="B315" s="172"/>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row>
    <row r="316" ht="15.75" customHeight="1" spans="1:51">
      <c r="A316" s="25"/>
      <c r="B316" s="172"/>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row>
    <row r="317" ht="15.75" customHeight="1" spans="1:51">
      <c r="A317" s="25"/>
      <c r="B317" s="172"/>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row>
    <row r="318" ht="15.75" customHeight="1" spans="1:51">
      <c r="A318" s="25"/>
      <c r="B318" s="172"/>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row>
    <row r="319" ht="15.75" customHeight="1" spans="1:51">
      <c r="A319" s="25"/>
      <c r="B319" s="172"/>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row>
    <row r="320" ht="15.75" customHeight="1" spans="1:51">
      <c r="A320" s="25"/>
      <c r="B320" s="172"/>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row>
    <row r="321" ht="15.75" customHeight="1" spans="1:51">
      <c r="A321" s="25"/>
      <c r="B321" s="172"/>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row>
    <row r="322" ht="15.75" customHeight="1" spans="1:51">
      <c r="A322" s="25"/>
      <c r="B322" s="172"/>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row>
    <row r="323" ht="15.75" customHeight="1" spans="1:51">
      <c r="A323" s="25"/>
      <c r="B323" s="172"/>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row>
    <row r="324" ht="15.75" customHeight="1" spans="1:51">
      <c r="A324" s="25"/>
      <c r="B324" s="172"/>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row>
    <row r="325" ht="15.75" customHeight="1" spans="1:51">
      <c r="A325" s="25"/>
      <c r="B325" s="172"/>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row>
    <row r="326" ht="15.75" customHeight="1" spans="1:51">
      <c r="A326" s="25"/>
      <c r="B326" s="172"/>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row>
    <row r="327" ht="15.75" customHeight="1" spans="1:51">
      <c r="A327" s="25"/>
      <c r="B327" s="172"/>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row>
    <row r="328" ht="15.75" customHeight="1" spans="1:51">
      <c r="A328" s="25"/>
      <c r="B328" s="172"/>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row>
    <row r="329" ht="15.75" customHeight="1" spans="1:51">
      <c r="A329" s="25"/>
      <c r="B329" s="172"/>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row>
    <row r="330" ht="15.75" customHeight="1" spans="1:51">
      <c r="A330" s="25"/>
      <c r="B330" s="172"/>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row>
    <row r="331" ht="15.75" customHeight="1" spans="1:51">
      <c r="A331" s="25"/>
      <c r="B331" s="172"/>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row>
    <row r="332" ht="15.75" customHeight="1" spans="1:51">
      <c r="A332" s="25"/>
      <c r="B332" s="172"/>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row>
    <row r="333" ht="15.75" customHeight="1" spans="1:51">
      <c r="A333" s="25"/>
      <c r="B333" s="172"/>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row>
    <row r="334" ht="15.75" customHeight="1" spans="1:51">
      <c r="A334" s="25"/>
      <c r="B334" s="172"/>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row>
    <row r="335" ht="15.75" customHeight="1" spans="1:51">
      <c r="A335" s="25"/>
      <c r="B335" s="172"/>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row>
    <row r="336" ht="15.75" customHeight="1" spans="1:51">
      <c r="A336" s="25"/>
      <c r="B336" s="172"/>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row>
    <row r="337" ht="15.75" customHeight="1" spans="1:51">
      <c r="A337" s="25"/>
      <c r="B337" s="172"/>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row>
    <row r="338" ht="15.75" customHeight="1" spans="1:51">
      <c r="A338" s="25"/>
      <c r="B338" s="172"/>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row>
    <row r="339" ht="15.75" customHeight="1" spans="1:51">
      <c r="A339" s="25"/>
      <c r="B339" s="172"/>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row>
    <row r="340" ht="15.75" customHeight="1" spans="1:51">
      <c r="A340" s="25"/>
      <c r="B340" s="172"/>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row>
    <row r="341" ht="15.75" customHeight="1" spans="1:51">
      <c r="A341" s="25"/>
      <c r="B341" s="172"/>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row>
    <row r="342" ht="15.75" customHeight="1" spans="1:51">
      <c r="A342" s="25"/>
      <c r="B342" s="172"/>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row>
    <row r="343" ht="15.75" customHeight="1" spans="1:51">
      <c r="A343" s="25"/>
      <c r="B343" s="172"/>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row>
    <row r="344" ht="15.75" customHeight="1" spans="1:51">
      <c r="A344" s="25"/>
      <c r="B344" s="172"/>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row>
    <row r="345" ht="15.75" customHeight="1" spans="1:51">
      <c r="A345" s="25"/>
      <c r="B345" s="172"/>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row>
    <row r="346" ht="15.75" customHeight="1" spans="1:51">
      <c r="A346" s="25"/>
      <c r="B346" s="172"/>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row>
    <row r="347" ht="15.75" customHeight="1" spans="1:51">
      <c r="A347" s="25"/>
      <c r="B347" s="172"/>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row>
    <row r="348" ht="15.75" customHeight="1" spans="1:51">
      <c r="A348" s="25"/>
      <c r="B348" s="172"/>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row>
    <row r="349" ht="15.75" customHeight="1" spans="1:51">
      <c r="A349" s="25"/>
      <c r="B349" s="172"/>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row>
    <row r="350" ht="15.75" customHeight="1" spans="1:51">
      <c r="A350" s="25"/>
      <c r="B350" s="172"/>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row>
    <row r="351" ht="15.75" customHeight="1" spans="1:51">
      <c r="A351" s="25"/>
      <c r="B351" s="172"/>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row>
    <row r="352" ht="15.75" customHeight="1" spans="1:51">
      <c r="A352" s="25"/>
      <c r="B352" s="172"/>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row>
    <row r="353" ht="15.75" customHeight="1" spans="1:51">
      <c r="A353" s="25"/>
      <c r="B353" s="172"/>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row>
    <row r="354" ht="15.75" customHeight="1" spans="1:51">
      <c r="A354" s="25"/>
      <c r="B354" s="172"/>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row>
    <row r="355" ht="15.75" customHeight="1" spans="1:51">
      <c r="A355" s="25"/>
      <c r="B355" s="172"/>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row>
    <row r="356" ht="15.75" customHeight="1" spans="1:51">
      <c r="A356" s="25"/>
      <c r="B356" s="172"/>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row>
    <row r="357" ht="15.75" customHeight="1" spans="1:51">
      <c r="A357" s="25"/>
      <c r="B357" s="172"/>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row>
    <row r="358" ht="15.75" customHeight="1" spans="1:51">
      <c r="A358" s="25"/>
      <c r="B358" s="172"/>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row>
    <row r="359" ht="15.75" customHeight="1" spans="1:51">
      <c r="A359" s="25"/>
      <c r="B359" s="172"/>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row>
    <row r="360" ht="15.75" customHeight="1" spans="1:51">
      <c r="A360" s="25"/>
      <c r="B360" s="172"/>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row>
    <row r="361" ht="15.75" customHeight="1" spans="1:51">
      <c r="A361" s="25"/>
      <c r="B361" s="172"/>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row>
    <row r="362" ht="15.75" customHeight="1" spans="1:51">
      <c r="A362" s="25"/>
      <c r="B362" s="172"/>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row>
    <row r="363" ht="15.75" customHeight="1" spans="1:51">
      <c r="A363" s="25"/>
      <c r="B363" s="172"/>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row>
    <row r="364" ht="15.75" customHeight="1" spans="1:51">
      <c r="A364" s="25"/>
      <c r="B364" s="172"/>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row>
    <row r="365" ht="15.75" customHeight="1" spans="1:51">
      <c r="A365" s="25"/>
      <c r="B365" s="172"/>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row>
    <row r="366" ht="15.75" customHeight="1" spans="1:51">
      <c r="A366" s="25"/>
      <c r="B366" s="172"/>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row>
    <row r="367" ht="15.75" customHeight="1" spans="1:51">
      <c r="A367" s="25"/>
      <c r="B367" s="172"/>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row>
    <row r="368" ht="15.75" customHeight="1" spans="1:51">
      <c r="A368" s="25"/>
      <c r="B368" s="172"/>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row>
    <row r="369" ht="15.75" customHeight="1" spans="1:51">
      <c r="A369" s="25"/>
      <c r="B369" s="172"/>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row>
    <row r="370" ht="15.75" customHeight="1" spans="1:51">
      <c r="A370" s="25"/>
      <c r="B370" s="172"/>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row>
    <row r="371" ht="15.75" customHeight="1" spans="1:51">
      <c r="A371" s="25"/>
      <c r="B371" s="172"/>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row>
    <row r="372" ht="15.75" customHeight="1" spans="1:51">
      <c r="A372" s="25"/>
      <c r="B372" s="172"/>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row>
    <row r="373" ht="15.75" customHeight="1" spans="1:51">
      <c r="A373" s="25"/>
      <c r="B373" s="172"/>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row>
    <row r="374" ht="15.75" customHeight="1" spans="1:51">
      <c r="A374" s="25"/>
      <c r="B374" s="172"/>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row>
    <row r="375" ht="15.75" customHeight="1" spans="1:51">
      <c r="A375" s="25"/>
      <c r="B375" s="172"/>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row>
    <row r="376" ht="15.75" customHeight="1" spans="1:51">
      <c r="A376" s="25"/>
      <c r="B376" s="172"/>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row>
    <row r="377" ht="15.75" customHeight="1" spans="1:51">
      <c r="A377" s="25"/>
      <c r="B377" s="172"/>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row>
    <row r="378" ht="15.75" customHeight="1" spans="1:51">
      <c r="A378" s="25"/>
      <c r="B378" s="172"/>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row>
    <row r="379" ht="15.75" customHeight="1" spans="1:51">
      <c r="A379" s="25"/>
      <c r="B379" s="172"/>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row>
    <row r="380" ht="15.75" customHeight="1" spans="1:51">
      <c r="A380" s="25"/>
      <c r="B380" s="172"/>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row>
    <row r="381" ht="15.75" customHeight="1" spans="1:51">
      <c r="A381" s="25"/>
      <c r="B381" s="172"/>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row>
    <row r="382" ht="15.75" customHeight="1" spans="1:51">
      <c r="A382" s="25"/>
      <c r="B382" s="172"/>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row>
    <row r="383" ht="15.75" customHeight="1" spans="1:51">
      <c r="A383" s="25"/>
      <c r="B383" s="172"/>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row>
    <row r="384" ht="15.75" customHeight="1" spans="1:51">
      <c r="A384" s="25"/>
      <c r="B384" s="172"/>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row>
    <row r="385" ht="15.75" customHeight="1" spans="1:51">
      <c r="A385" s="25"/>
      <c r="B385" s="172"/>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row>
    <row r="386" ht="15.75" customHeight="1" spans="1:51">
      <c r="A386" s="25"/>
      <c r="B386" s="172"/>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row>
    <row r="387" ht="15.75" customHeight="1" spans="1:51">
      <c r="A387" s="25"/>
      <c r="B387" s="172"/>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row>
    <row r="388" ht="15.75" customHeight="1" spans="1:51">
      <c r="A388" s="25"/>
      <c r="B388" s="172"/>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row>
    <row r="389" ht="15.75" customHeight="1" spans="1:51">
      <c r="A389" s="25"/>
      <c r="B389" s="172"/>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row>
    <row r="390" ht="15.75" customHeight="1" spans="1:51">
      <c r="A390" s="25"/>
      <c r="B390" s="172"/>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row>
    <row r="391" ht="15.75" customHeight="1" spans="1:51">
      <c r="A391" s="25"/>
      <c r="B391" s="172"/>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row>
    <row r="392" ht="15.75" customHeight="1" spans="1:51">
      <c r="A392" s="25"/>
      <c r="B392" s="172"/>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row>
    <row r="393" ht="15.75" customHeight="1" spans="1:51">
      <c r="A393" s="25"/>
      <c r="B393" s="172"/>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row>
    <row r="394" ht="15.75" customHeight="1" spans="1:51">
      <c r="A394" s="25"/>
      <c r="B394" s="172"/>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row>
    <row r="395" ht="15.75" customHeight="1" spans="1:51">
      <c r="A395" s="25"/>
      <c r="B395" s="172"/>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row>
    <row r="396" ht="15.75" customHeight="1" spans="1:51">
      <c r="A396" s="25"/>
      <c r="B396" s="172"/>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row>
    <row r="397" ht="15.75" customHeight="1" spans="1:51">
      <c r="A397" s="25"/>
      <c r="B397" s="172"/>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row>
    <row r="398" ht="15.75" customHeight="1" spans="1:51">
      <c r="A398" s="25"/>
      <c r="B398" s="172"/>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row>
    <row r="399" ht="15.75" customHeight="1" spans="1:51">
      <c r="A399" s="25"/>
      <c r="B399" s="172"/>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row>
    <row r="400" ht="15.75" customHeight="1" spans="1:51">
      <c r="A400" s="25"/>
      <c r="B400" s="172"/>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row>
    <row r="401" ht="15.75" customHeight="1" spans="1:51">
      <c r="A401" s="25"/>
      <c r="B401" s="172"/>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row>
    <row r="402" ht="15.75" customHeight="1" spans="1:51">
      <c r="A402" s="25"/>
      <c r="B402" s="172"/>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row>
    <row r="403" ht="15.75" customHeight="1" spans="1:51">
      <c r="A403" s="25"/>
      <c r="B403" s="172"/>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row>
    <row r="404" ht="15.75" customHeight="1" spans="1:51">
      <c r="A404" s="25"/>
      <c r="B404" s="172"/>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row>
    <row r="405" ht="15.75" customHeight="1" spans="1:51">
      <c r="A405" s="25"/>
      <c r="B405" s="172"/>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row>
    <row r="406" ht="15.75" customHeight="1" spans="1:51">
      <c r="A406" s="25"/>
      <c r="B406" s="172"/>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row>
    <row r="407" ht="15.75" customHeight="1" spans="1:51">
      <c r="A407" s="25"/>
      <c r="B407" s="172"/>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row>
    <row r="408" ht="15.75" customHeight="1" spans="1:51">
      <c r="A408" s="25"/>
      <c r="B408" s="172"/>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row>
    <row r="409" ht="15.75" customHeight="1" spans="1:51">
      <c r="A409" s="25"/>
      <c r="B409" s="172"/>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row>
    <row r="410" ht="15.75" customHeight="1" spans="1:51">
      <c r="A410" s="25"/>
      <c r="B410" s="172"/>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row>
    <row r="411" ht="15.75" customHeight="1" spans="1:51">
      <c r="A411" s="25"/>
      <c r="B411" s="172"/>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row>
    <row r="412" ht="15.75" customHeight="1" spans="1:51">
      <c r="A412" s="25"/>
      <c r="B412" s="172"/>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row>
    <row r="413" ht="15.75" customHeight="1" spans="1:51">
      <c r="A413" s="25"/>
      <c r="B413" s="172"/>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row>
    <row r="414" ht="15.75" customHeight="1" spans="1:51">
      <c r="A414" s="25"/>
      <c r="B414" s="172"/>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row>
    <row r="415" ht="15.75" customHeight="1" spans="1:51">
      <c r="A415" s="25"/>
      <c r="B415" s="172"/>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row>
    <row r="416" ht="15.75" customHeight="1" spans="1:51">
      <c r="A416" s="25"/>
      <c r="B416" s="172"/>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row>
    <row r="417" ht="15.75" customHeight="1" spans="1:51">
      <c r="A417" s="25"/>
      <c r="B417" s="172"/>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row>
    <row r="418" ht="15.75" customHeight="1" spans="1:51">
      <c r="A418" s="25"/>
      <c r="B418" s="172"/>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row>
    <row r="419" ht="15.75" customHeight="1" spans="1:51">
      <c r="A419" s="25"/>
      <c r="B419" s="172"/>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row>
    <row r="420" ht="15.75" customHeight="1" spans="1:51">
      <c r="A420" s="25"/>
      <c r="B420" s="172"/>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row>
    <row r="421" ht="15.75" customHeight="1" spans="1:51">
      <c r="A421" s="25"/>
      <c r="B421" s="172"/>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row>
    <row r="422" ht="15.75" customHeight="1" spans="1:51">
      <c r="A422" s="25"/>
      <c r="B422" s="172"/>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row>
    <row r="423" ht="15.75" customHeight="1" spans="1:51">
      <c r="A423" s="25"/>
      <c r="B423" s="172"/>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row>
    <row r="424" ht="15.75" customHeight="1" spans="1:51">
      <c r="A424" s="25"/>
      <c r="B424" s="172"/>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row>
    <row r="425" ht="15.75" customHeight="1" spans="1:51">
      <c r="A425" s="25"/>
      <c r="B425" s="172"/>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row>
    <row r="426" ht="15.75" customHeight="1" spans="1:51">
      <c r="A426" s="25"/>
      <c r="B426" s="172"/>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row>
    <row r="427" ht="15.75" customHeight="1" spans="1:51">
      <c r="A427" s="25"/>
      <c r="B427" s="172"/>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row>
    <row r="428" ht="15.75" customHeight="1" spans="1:51">
      <c r="A428" s="25"/>
      <c r="B428" s="172"/>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row>
    <row r="429" ht="15.75" customHeight="1" spans="1:51">
      <c r="A429" s="25"/>
      <c r="B429" s="172"/>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row>
    <row r="430" ht="15.75" customHeight="1" spans="1:51">
      <c r="A430" s="25"/>
      <c r="B430" s="172"/>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row>
    <row r="431" ht="15.75" customHeight="1" spans="1:51">
      <c r="A431" s="25"/>
      <c r="B431" s="172"/>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row>
    <row r="432" ht="15.75" customHeight="1" spans="1:51">
      <c r="A432" s="25"/>
      <c r="B432" s="172"/>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row>
    <row r="433" ht="15.75" customHeight="1" spans="1:51">
      <c r="A433" s="25"/>
      <c r="B433" s="172"/>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row>
    <row r="434" ht="15.75" customHeight="1" spans="1:51">
      <c r="A434" s="25"/>
      <c r="B434" s="172"/>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row>
    <row r="435" ht="15.75" customHeight="1" spans="1:51">
      <c r="A435" s="25"/>
      <c r="B435" s="172"/>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row>
    <row r="436" ht="15.75" customHeight="1" spans="1:51">
      <c r="A436" s="25"/>
      <c r="B436" s="172"/>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row>
    <row r="437" ht="15.75" customHeight="1" spans="1:51">
      <c r="A437" s="25"/>
      <c r="B437" s="172"/>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row>
    <row r="438" ht="15.75" customHeight="1" spans="1:51">
      <c r="A438" s="25"/>
      <c r="B438" s="172"/>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row>
    <row r="439" ht="15.75" customHeight="1" spans="1:51">
      <c r="A439" s="25"/>
      <c r="B439" s="172"/>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row>
    <row r="440" ht="15.75" customHeight="1" spans="1:51">
      <c r="A440" s="25"/>
      <c r="B440" s="172"/>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row>
    <row r="441" ht="15.75" customHeight="1" spans="1:51">
      <c r="A441" s="25"/>
      <c r="B441" s="172"/>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row>
    <row r="442" ht="15.75" customHeight="1" spans="1:51">
      <c r="A442" s="25"/>
      <c r="B442" s="172"/>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row>
    <row r="443" ht="15.75" customHeight="1" spans="1:51">
      <c r="A443" s="25"/>
      <c r="B443" s="172"/>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row>
    <row r="444" ht="15.75" customHeight="1" spans="1:51">
      <c r="A444" s="25"/>
      <c r="B444" s="172"/>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row>
    <row r="445" ht="15.75" customHeight="1" spans="1:51">
      <c r="A445" s="25"/>
      <c r="B445" s="172"/>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row>
    <row r="446" ht="15.75" customHeight="1" spans="1:51">
      <c r="A446" s="25"/>
      <c r="B446" s="172"/>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row>
    <row r="447" ht="15.75" customHeight="1" spans="1:51">
      <c r="A447" s="25"/>
      <c r="B447" s="172"/>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row>
    <row r="448" ht="15.75" customHeight="1" spans="1:51">
      <c r="A448" s="25"/>
      <c r="B448" s="172"/>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row>
    <row r="449" ht="15.75" customHeight="1" spans="1:51">
      <c r="A449" s="25"/>
      <c r="B449" s="172"/>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row>
    <row r="450" ht="15.75" customHeight="1" spans="1:51">
      <c r="A450" s="25"/>
      <c r="B450" s="172"/>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row>
    <row r="451" ht="15.75" customHeight="1" spans="1:51">
      <c r="A451" s="25"/>
      <c r="B451" s="172"/>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row>
    <row r="452" ht="15.75" customHeight="1" spans="1:51">
      <c r="A452" s="25"/>
      <c r="B452" s="172"/>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row>
    <row r="453" ht="15.75" customHeight="1" spans="1:51">
      <c r="A453" s="25"/>
      <c r="B453" s="172"/>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row>
    <row r="454" ht="15.75" customHeight="1" spans="1:51">
      <c r="A454" s="25"/>
      <c r="B454" s="172"/>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row>
    <row r="455" ht="15.75" customHeight="1" spans="1:51">
      <c r="A455" s="25"/>
      <c r="B455" s="172"/>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row>
    <row r="456" ht="15.75" customHeight="1" spans="1:51">
      <c r="A456" s="25"/>
      <c r="B456" s="172"/>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row>
    <row r="457" ht="15.75" customHeight="1" spans="1:51">
      <c r="A457" s="25"/>
      <c r="B457" s="172"/>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row>
    <row r="458" ht="15.75" customHeight="1" spans="1:51">
      <c r="A458" s="25"/>
      <c r="B458" s="172"/>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row>
    <row r="459" ht="15.75" customHeight="1" spans="1:51">
      <c r="A459" s="25"/>
      <c r="B459" s="172"/>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row>
    <row r="460" ht="15.75" customHeight="1" spans="1:51">
      <c r="A460" s="25"/>
      <c r="B460" s="172"/>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row>
    <row r="461" ht="15.75" customHeight="1" spans="1:51">
      <c r="A461" s="25"/>
      <c r="B461" s="172"/>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row>
    <row r="462" ht="15.75" customHeight="1" spans="1:51">
      <c r="A462" s="25"/>
      <c r="B462" s="172"/>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row>
    <row r="463" ht="15.75" customHeight="1" spans="1:51">
      <c r="A463" s="25"/>
      <c r="B463" s="172"/>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row>
    <row r="464" ht="15.75" customHeight="1" spans="1:51">
      <c r="A464" s="25"/>
      <c r="B464" s="172"/>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row>
    <row r="465" ht="15.75" customHeight="1" spans="1:51">
      <c r="A465" s="25"/>
      <c r="B465" s="172"/>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row>
    <row r="466" ht="15.75" customHeight="1" spans="1:51">
      <c r="A466" s="25"/>
      <c r="B466" s="172"/>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row>
    <row r="467" ht="15.75" customHeight="1" spans="1:51">
      <c r="A467" s="25"/>
      <c r="B467" s="172"/>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row>
    <row r="468" ht="15.75" customHeight="1" spans="1:51">
      <c r="A468" s="25"/>
      <c r="B468" s="172"/>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row>
    <row r="469" ht="15.75" customHeight="1" spans="1:51">
      <c r="A469" s="25"/>
      <c r="B469" s="172"/>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row>
    <row r="470" ht="15.75" customHeight="1" spans="1:51">
      <c r="A470" s="25"/>
      <c r="B470" s="172"/>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row>
    <row r="471" ht="15.75" customHeight="1" spans="1:51">
      <c r="A471" s="25"/>
      <c r="B471" s="172"/>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row>
    <row r="472" ht="15.75" customHeight="1" spans="1:51">
      <c r="A472" s="25"/>
      <c r="B472" s="172"/>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row>
    <row r="473" ht="15.75" customHeight="1" spans="1:51">
      <c r="A473" s="25"/>
      <c r="B473" s="172"/>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row>
    <row r="474" ht="15.75" customHeight="1" spans="1:51">
      <c r="A474" s="25"/>
      <c r="B474" s="172"/>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row>
    <row r="475" ht="15.75" customHeight="1" spans="1:51">
      <c r="A475" s="25"/>
      <c r="B475" s="172"/>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row>
    <row r="476" ht="15.75" customHeight="1" spans="1:51">
      <c r="A476" s="25"/>
      <c r="B476" s="172"/>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row>
    <row r="477" ht="15.75" customHeight="1" spans="1:51">
      <c r="A477" s="25"/>
      <c r="B477" s="172"/>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row>
    <row r="478" ht="15.75" customHeight="1" spans="1:51">
      <c r="A478" s="25"/>
      <c r="B478" s="172"/>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row>
    <row r="479" ht="15.75" customHeight="1" spans="1:51">
      <c r="A479" s="25"/>
      <c r="B479" s="172"/>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row>
    <row r="480" ht="15.75" customHeight="1" spans="1:51">
      <c r="A480" s="25"/>
      <c r="B480" s="172"/>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row>
    <row r="481" ht="15.75" customHeight="1" spans="1:51">
      <c r="A481" s="25"/>
      <c r="B481" s="172"/>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row>
    <row r="482" ht="15.75" customHeight="1" spans="1:51">
      <c r="A482" s="25"/>
      <c r="B482" s="172"/>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row>
    <row r="483" ht="15.75" customHeight="1" spans="1:51">
      <c r="A483" s="25"/>
      <c r="B483" s="172"/>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row>
    <row r="484" ht="15.75" customHeight="1" spans="1:51">
      <c r="A484" s="25"/>
      <c r="B484" s="172"/>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row>
    <row r="485" ht="15.75" customHeight="1" spans="1:51">
      <c r="A485" s="25"/>
      <c r="B485" s="172"/>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row>
    <row r="486" ht="15.75" customHeight="1" spans="1:51">
      <c r="A486" s="25"/>
      <c r="B486" s="172"/>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row>
    <row r="487" ht="15.75" customHeight="1" spans="1:51">
      <c r="A487" s="25"/>
      <c r="B487" s="172"/>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row>
    <row r="488" ht="15.75" customHeight="1" spans="1:51">
      <c r="A488" s="25"/>
      <c r="B488" s="172"/>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row>
    <row r="489" ht="15.75" customHeight="1" spans="1:51">
      <c r="A489" s="25"/>
      <c r="B489" s="172"/>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row>
    <row r="490" ht="15.75" customHeight="1" spans="1:51">
      <c r="A490" s="25"/>
      <c r="B490" s="172"/>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row>
    <row r="491" ht="15.75" customHeight="1" spans="1:51">
      <c r="A491" s="25"/>
      <c r="B491" s="172"/>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row>
    <row r="492" ht="15.75" customHeight="1" spans="1:51">
      <c r="A492" s="25"/>
      <c r="B492" s="172"/>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row>
    <row r="493" ht="15.75" customHeight="1" spans="1:51">
      <c r="A493" s="25"/>
      <c r="B493" s="172"/>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row>
    <row r="494" ht="15.75" customHeight="1" spans="1:51">
      <c r="A494" s="25"/>
      <c r="B494" s="172"/>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row>
    <row r="495" ht="15.75" customHeight="1" spans="1:51">
      <c r="A495" s="25"/>
      <c r="B495" s="172"/>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row>
    <row r="496" ht="15.75" customHeight="1" spans="1:51">
      <c r="A496" s="25"/>
      <c r="B496" s="172"/>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row>
    <row r="497" ht="15.75" customHeight="1" spans="1:51">
      <c r="A497" s="25"/>
      <c r="B497" s="172"/>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row>
    <row r="498" ht="15.75" customHeight="1" spans="1:51">
      <c r="A498" s="25"/>
      <c r="B498" s="172"/>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row>
    <row r="499" ht="15.75" customHeight="1" spans="1:51">
      <c r="A499" s="25"/>
      <c r="B499" s="172"/>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row>
    <row r="500" ht="15.75" customHeight="1" spans="1:51">
      <c r="A500" s="25"/>
      <c r="B500" s="172"/>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row>
    <row r="501" ht="15.75" customHeight="1" spans="1:51">
      <c r="A501" s="25"/>
      <c r="B501" s="172"/>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row>
    <row r="502" ht="15.75" customHeight="1" spans="1:51">
      <c r="A502" s="25"/>
      <c r="B502" s="172"/>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row>
    <row r="503" ht="15.75" customHeight="1" spans="1:51">
      <c r="A503" s="25"/>
      <c r="B503" s="172"/>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row>
    <row r="504" ht="15.75" customHeight="1" spans="1:51">
      <c r="A504" s="25"/>
      <c r="B504" s="172"/>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row>
    <row r="505" ht="15.75" customHeight="1" spans="1:51">
      <c r="A505" s="25"/>
      <c r="B505" s="172"/>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row>
    <row r="506" ht="15.75" customHeight="1" spans="1:51">
      <c r="A506" s="25"/>
      <c r="B506" s="172"/>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row>
    <row r="507" ht="15.75" customHeight="1" spans="1:51">
      <c r="A507" s="25"/>
      <c r="B507" s="172"/>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row>
    <row r="508" ht="15.75" customHeight="1" spans="1:51">
      <c r="A508" s="25"/>
      <c r="B508" s="172"/>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row>
    <row r="509" ht="15.75" customHeight="1" spans="1:51">
      <c r="A509" s="25"/>
      <c r="B509" s="172"/>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row>
    <row r="510" ht="15.75" customHeight="1" spans="1:51">
      <c r="A510" s="25"/>
      <c r="B510" s="172"/>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row>
    <row r="511" ht="15.75" customHeight="1" spans="1:51">
      <c r="A511" s="25"/>
      <c r="B511" s="172"/>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row>
    <row r="512" ht="15.75" customHeight="1" spans="1:51">
      <c r="A512" s="25"/>
      <c r="B512" s="172"/>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row>
    <row r="513" ht="15.75" customHeight="1" spans="1:51">
      <c r="A513" s="25"/>
      <c r="B513" s="172"/>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row>
    <row r="514" ht="15.75" customHeight="1" spans="1:51">
      <c r="A514" s="25"/>
      <c r="B514" s="172"/>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row>
    <row r="515" ht="15.75" customHeight="1" spans="1:51">
      <c r="A515" s="25"/>
      <c r="B515" s="172"/>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row>
    <row r="516" ht="15.75" customHeight="1" spans="1:51">
      <c r="A516" s="25"/>
      <c r="B516" s="172"/>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row>
    <row r="517" ht="15.75" customHeight="1" spans="1:51">
      <c r="A517" s="25"/>
      <c r="B517" s="172"/>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row>
    <row r="518" ht="15.75" customHeight="1" spans="1:51">
      <c r="A518" s="25"/>
      <c r="B518" s="172"/>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row>
    <row r="519" ht="15.75" customHeight="1" spans="1:51">
      <c r="A519" s="25"/>
      <c r="B519" s="172"/>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row>
    <row r="520" ht="15.75" customHeight="1" spans="1:51">
      <c r="A520" s="25"/>
      <c r="B520" s="172"/>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row>
    <row r="521" ht="15.75" customHeight="1" spans="1:51">
      <c r="A521" s="25"/>
      <c r="B521" s="172"/>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row>
    <row r="522" ht="15.75" customHeight="1" spans="1:51">
      <c r="A522" s="25"/>
      <c r="B522" s="172"/>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row>
    <row r="523" ht="15.75" customHeight="1" spans="1:51">
      <c r="A523" s="25"/>
      <c r="B523" s="172"/>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row>
    <row r="524" ht="15.75" customHeight="1" spans="1:51">
      <c r="A524" s="25"/>
      <c r="B524" s="172"/>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row>
    <row r="525" ht="15.75" customHeight="1" spans="1:51">
      <c r="A525" s="25"/>
      <c r="B525" s="172"/>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row>
    <row r="526" ht="15.75" customHeight="1" spans="1:51">
      <c r="A526" s="25"/>
      <c r="B526" s="172"/>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row>
    <row r="527" ht="15.75" customHeight="1" spans="1:51">
      <c r="A527" s="25"/>
      <c r="B527" s="172"/>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row>
    <row r="528" ht="15.75" customHeight="1" spans="1:51">
      <c r="A528" s="25"/>
      <c r="B528" s="172"/>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row>
    <row r="529" ht="15.75" customHeight="1" spans="1:51">
      <c r="A529" s="25"/>
      <c r="B529" s="172"/>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row>
    <row r="530" ht="15.75" customHeight="1" spans="1:51">
      <c r="A530" s="25"/>
      <c r="B530" s="172"/>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row>
    <row r="531" ht="15.75" customHeight="1" spans="1:51">
      <c r="A531" s="25"/>
      <c r="B531" s="172"/>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row>
    <row r="532" ht="15.75" customHeight="1" spans="1:51">
      <c r="A532" s="25"/>
      <c r="B532" s="172"/>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row>
    <row r="533" ht="15.75" customHeight="1" spans="1:51">
      <c r="A533" s="25"/>
      <c r="B533" s="172"/>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row>
    <row r="534" ht="15.75" customHeight="1" spans="1:51">
      <c r="A534" s="25"/>
      <c r="B534" s="172"/>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row>
    <row r="535" ht="15.75" customHeight="1" spans="1:51">
      <c r="A535" s="25"/>
      <c r="B535" s="172"/>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row>
    <row r="536" ht="15.75" customHeight="1" spans="1:51">
      <c r="A536" s="25"/>
      <c r="B536" s="172"/>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row>
    <row r="537" ht="15.75" customHeight="1" spans="1:51">
      <c r="A537" s="25"/>
      <c r="B537" s="172"/>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row>
    <row r="538" ht="15.75" customHeight="1" spans="1:51">
      <c r="A538" s="25"/>
      <c r="B538" s="172"/>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row>
    <row r="539" ht="15.75" customHeight="1" spans="1:51">
      <c r="A539" s="25"/>
      <c r="B539" s="172"/>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row>
    <row r="540" ht="15.75" customHeight="1" spans="1:51">
      <c r="A540" s="25"/>
      <c r="B540" s="172"/>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row>
    <row r="541" ht="15.75" customHeight="1" spans="1:51">
      <c r="A541" s="25"/>
      <c r="B541" s="172"/>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row>
    <row r="542" ht="15.75" customHeight="1" spans="1:51">
      <c r="A542" s="25"/>
      <c r="B542" s="172"/>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row>
    <row r="543" ht="15.75" customHeight="1" spans="1:51">
      <c r="A543" s="25"/>
      <c r="B543" s="172"/>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row>
    <row r="544" ht="15.75" customHeight="1" spans="1:51">
      <c r="A544" s="25"/>
      <c r="B544" s="172"/>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row>
    <row r="545" ht="15.75" customHeight="1" spans="1:51">
      <c r="A545" s="25"/>
      <c r="B545" s="172"/>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row>
    <row r="546" ht="15.75" customHeight="1" spans="1:51">
      <c r="A546" s="25"/>
      <c r="B546" s="172"/>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row>
    <row r="547" ht="15.75" customHeight="1" spans="1:51">
      <c r="A547" s="25"/>
      <c r="B547" s="172"/>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row>
    <row r="548" ht="15.75" customHeight="1" spans="1:51">
      <c r="A548" s="25"/>
      <c r="B548" s="172"/>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row>
    <row r="549" ht="15.75" customHeight="1" spans="1:51">
      <c r="A549" s="25"/>
      <c r="B549" s="172"/>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row>
    <row r="550" ht="15.75" customHeight="1" spans="1:51">
      <c r="A550" s="25"/>
      <c r="B550" s="172"/>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row>
    <row r="551" ht="15.75" customHeight="1" spans="1:51">
      <c r="A551" s="25"/>
      <c r="B551" s="172"/>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row>
    <row r="552" ht="15.75" customHeight="1" spans="1:51">
      <c r="A552" s="25"/>
      <c r="B552" s="172"/>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row>
    <row r="553" ht="15.75" customHeight="1" spans="1:51">
      <c r="A553" s="25"/>
      <c r="B553" s="172"/>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row>
    <row r="554" ht="15.75" customHeight="1" spans="1:51">
      <c r="A554" s="25"/>
      <c r="B554" s="172"/>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row>
    <row r="555" ht="15.75" customHeight="1" spans="1:51">
      <c r="A555" s="25"/>
      <c r="B555" s="172"/>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row>
    <row r="556" ht="15.75" customHeight="1" spans="1:51">
      <c r="A556" s="25"/>
      <c r="B556" s="172"/>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row>
    <row r="557" ht="15.75" customHeight="1" spans="1:51">
      <c r="A557" s="25"/>
      <c r="B557" s="172"/>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row>
    <row r="558" ht="15.75" customHeight="1" spans="1:51">
      <c r="A558" s="25"/>
      <c r="B558" s="172"/>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row>
    <row r="559" ht="15.75" customHeight="1" spans="1:51">
      <c r="A559" s="25"/>
      <c r="B559" s="172"/>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row>
    <row r="560" ht="15.75" customHeight="1" spans="1:51">
      <c r="A560" s="25"/>
      <c r="B560" s="172"/>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row>
    <row r="561" ht="15.75" customHeight="1" spans="1:51">
      <c r="A561" s="25"/>
      <c r="B561" s="172"/>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row>
    <row r="562" ht="15.75" customHeight="1" spans="1:51">
      <c r="A562" s="25"/>
      <c r="B562" s="172"/>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row>
    <row r="563" ht="15.75" customHeight="1" spans="1:51">
      <c r="A563" s="25"/>
      <c r="B563" s="172"/>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row>
    <row r="564" ht="15.75" customHeight="1" spans="1:51">
      <c r="A564" s="25"/>
      <c r="B564" s="172"/>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row>
    <row r="565" ht="15.75" customHeight="1" spans="1:51">
      <c r="A565" s="25"/>
      <c r="B565" s="172"/>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row>
    <row r="566" ht="15.75" customHeight="1" spans="1:51">
      <c r="A566" s="25"/>
      <c r="B566" s="172"/>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row>
    <row r="567" ht="15.75" customHeight="1" spans="1:51">
      <c r="A567" s="25"/>
      <c r="B567" s="172"/>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row>
    <row r="568" ht="15.75" customHeight="1" spans="1:51">
      <c r="A568" s="25"/>
      <c r="B568" s="172"/>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row>
    <row r="569" ht="15.75" customHeight="1" spans="1:51">
      <c r="A569" s="25"/>
      <c r="B569" s="172"/>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row>
    <row r="570" ht="15.75" customHeight="1" spans="1:51">
      <c r="A570" s="25"/>
      <c r="B570" s="172"/>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row>
    <row r="571" ht="15.75" customHeight="1" spans="1:51">
      <c r="A571" s="25"/>
      <c r="B571" s="172"/>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row>
    <row r="572" ht="15.75" customHeight="1" spans="1:51">
      <c r="A572" s="25"/>
      <c r="B572" s="172"/>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row>
    <row r="573" ht="15.75" customHeight="1" spans="1:51">
      <c r="A573" s="25"/>
      <c r="B573" s="172"/>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row>
    <row r="574" ht="15.75" customHeight="1" spans="1:51">
      <c r="A574" s="25"/>
      <c r="B574" s="172"/>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row>
    <row r="575" ht="15.75" customHeight="1" spans="1:51">
      <c r="A575" s="25"/>
      <c r="B575" s="172"/>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row>
    <row r="576" ht="15.75" customHeight="1" spans="1:51">
      <c r="A576" s="25"/>
      <c r="B576" s="172"/>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row>
    <row r="577" ht="15.75" customHeight="1" spans="1:51">
      <c r="A577" s="25"/>
      <c r="B577" s="172"/>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row>
    <row r="578" ht="15.75" customHeight="1" spans="1:51">
      <c r="A578" s="25"/>
      <c r="B578" s="172"/>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row>
    <row r="579" ht="15.75" customHeight="1" spans="1:51">
      <c r="A579" s="25"/>
      <c r="B579" s="172"/>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row>
    <row r="580" ht="15.75" customHeight="1" spans="1:51">
      <c r="A580" s="25"/>
      <c r="B580" s="172"/>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row>
    <row r="581" ht="15.75" customHeight="1" spans="1:51">
      <c r="A581" s="25"/>
      <c r="B581" s="172"/>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row>
    <row r="582" ht="15.75" customHeight="1" spans="1:51">
      <c r="A582" s="25"/>
      <c r="B582" s="172"/>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row>
    <row r="583" ht="15.75" customHeight="1" spans="1:51">
      <c r="A583" s="25"/>
      <c r="B583" s="172"/>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row>
    <row r="584" ht="15.75" customHeight="1" spans="1:51">
      <c r="A584" s="25"/>
      <c r="B584" s="172"/>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row>
    <row r="585" ht="15.75" customHeight="1" spans="1:51">
      <c r="A585" s="25"/>
      <c r="B585" s="172"/>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row>
    <row r="586" ht="15.75" customHeight="1" spans="1:51">
      <c r="A586" s="25"/>
      <c r="B586" s="172"/>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row>
    <row r="587" ht="15.75" customHeight="1" spans="1:51">
      <c r="A587" s="25"/>
      <c r="B587" s="172"/>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row>
    <row r="588" ht="15.75" customHeight="1" spans="1:51">
      <c r="A588" s="25"/>
      <c r="B588" s="172"/>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row>
    <row r="589" ht="15.75" customHeight="1" spans="1:51">
      <c r="A589" s="25"/>
      <c r="B589" s="172"/>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row>
    <row r="590" ht="15.75" customHeight="1" spans="1:51">
      <c r="A590" s="25"/>
      <c r="B590" s="172"/>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row>
    <row r="591" ht="15.75" customHeight="1" spans="1:51">
      <c r="A591" s="25"/>
      <c r="B591" s="172"/>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row>
    <row r="592" ht="15.75" customHeight="1" spans="1:51">
      <c r="A592" s="25"/>
      <c r="B592" s="172"/>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row>
    <row r="593" ht="15.75" customHeight="1" spans="1:51">
      <c r="A593" s="25"/>
      <c r="B593" s="172"/>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row>
    <row r="594" ht="15.75" customHeight="1" spans="1:51">
      <c r="A594" s="25"/>
      <c r="B594" s="172"/>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row>
    <row r="595" ht="15.75" customHeight="1" spans="1:51">
      <c r="A595" s="25"/>
      <c r="B595" s="172"/>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row>
    <row r="596" ht="15.75" customHeight="1" spans="1:51">
      <c r="A596" s="25"/>
      <c r="B596" s="172"/>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row>
    <row r="597" ht="15.75" customHeight="1" spans="1:51">
      <c r="A597" s="25"/>
      <c r="B597" s="172"/>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row>
    <row r="598" ht="15.75" customHeight="1" spans="1:51">
      <c r="A598" s="25"/>
      <c r="B598" s="172"/>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row>
    <row r="599" ht="15.75" customHeight="1" spans="1:51">
      <c r="A599" s="25"/>
      <c r="B599" s="172"/>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row>
    <row r="600" ht="15.75" customHeight="1" spans="1:51">
      <c r="A600" s="25"/>
      <c r="B600" s="172"/>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row>
    <row r="601" ht="15.75" customHeight="1" spans="1:51">
      <c r="A601" s="25"/>
      <c r="B601" s="172"/>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row>
    <row r="602" ht="15.75" customHeight="1" spans="1:51">
      <c r="A602" s="25"/>
      <c r="B602" s="172"/>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row>
    <row r="603" ht="15.75" customHeight="1" spans="1:51">
      <c r="A603" s="25"/>
      <c r="B603" s="172"/>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row>
    <row r="604" ht="15.75" customHeight="1" spans="1:51">
      <c r="A604" s="25"/>
      <c r="B604" s="172"/>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row>
    <row r="605" ht="15.75" customHeight="1" spans="1:51">
      <c r="A605" s="25"/>
      <c r="B605" s="172"/>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row>
    <row r="606" ht="15.75" customHeight="1" spans="1:51">
      <c r="A606" s="25"/>
      <c r="B606" s="172"/>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row>
    <row r="607" ht="15.75" customHeight="1" spans="1:51">
      <c r="A607" s="25"/>
      <c r="B607" s="172"/>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row>
    <row r="608" ht="15.75" customHeight="1" spans="1:51">
      <c r="A608" s="25"/>
      <c r="B608" s="172"/>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row>
    <row r="609" ht="15.75" customHeight="1" spans="1:51">
      <c r="A609" s="25"/>
      <c r="B609" s="172"/>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row>
    <row r="610" ht="15.75" customHeight="1" spans="1:51">
      <c r="A610" s="25"/>
      <c r="B610" s="172"/>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row>
    <row r="611" ht="15.75" customHeight="1" spans="1:51">
      <c r="A611" s="25"/>
      <c r="B611" s="172"/>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row>
    <row r="612" ht="15.75" customHeight="1" spans="1:51">
      <c r="A612" s="25"/>
      <c r="B612" s="172"/>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row>
    <row r="613" ht="15.75" customHeight="1" spans="1:51">
      <c r="A613" s="25"/>
      <c r="B613" s="172"/>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row>
    <row r="614" ht="15.75" customHeight="1" spans="1:51">
      <c r="A614" s="25"/>
      <c r="B614" s="172"/>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row>
    <row r="615" ht="15.75" customHeight="1" spans="1:51">
      <c r="A615" s="25"/>
      <c r="B615" s="172"/>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row>
    <row r="616" ht="15.75" customHeight="1" spans="1:51">
      <c r="A616" s="25"/>
      <c r="B616" s="172"/>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row>
    <row r="617" ht="15.75" customHeight="1" spans="1:51">
      <c r="A617" s="25"/>
      <c r="B617" s="172"/>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row>
    <row r="618" ht="15.75" customHeight="1" spans="1:51">
      <c r="A618" s="25"/>
      <c r="B618" s="172"/>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row>
    <row r="619" ht="15.75" customHeight="1" spans="1:51">
      <c r="A619" s="25"/>
      <c r="B619" s="172"/>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row>
    <row r="620" ht="15.75" customHeight="1" spans="1:51">
      <c r="A620" s="25"/>
      <c r="B620" s="172"/>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row>
    <row r="621" ht="15.75" customHeight="1" spans="1:51">
      <c r="A621" s="25"/>
      <c r="B621" s="172"/>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row>
    <row r="622" ht="15.75" customHeight="1" spans="1:51">
      <c r="A622" s="25"/>
      <c r="B622" s="172"/>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row>
    <row r="623" ht="15.75" customHeight="1" spans="1:51">
      <c r="A623" s="25"/>
      <c r="B623" s="172"/>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row>
    <row r="624" ht="15.75" customHeight="1" spans="1:51">
      <c r="A624" s="25"/>
      <c r="B624" s="172"/>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row>
    <row r="625" ht="15.75" customHeight="1" spans="1:51">
      <c r="A625" s="25"/>
      <c r="B625" s="172"/>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row>
    <row r="626" ht="15.75" customHeight="1" spans="1:51">
      <c r="A626" s="25"/>
      <c r="B626" s="172"/>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row>
    <row r="627" ht="15.75" customHeight="1" spans="1:51">
      <c r="A627" s="25"/>
      <c r="B627" s="172"/>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row>
    <row r="628" ht="15.75" customHeight="1" spans="1:51">
      <c r="A628" s="25"/>
      <c r="B628" s="172"/>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row>
    <row r="629" ht="15.75" customHeight="1" spans="1:51">
      <c r="A629" s="25"/>
      <c r="B629" s="172"/>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row>
    <row r="630" ht="15.75" customHeight="1" spans="1:51">
      <c r="A630" s="25"/>
      <c r="B630" s="172"/>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row>
    <row r="631" ht="15.75" customHeight="1" spans="1:51">
      <c r="A631" s="25"/>
      <c r="B631" s="172"/>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row>
    <row r="632" ht="15.75" customHeight="1" spans="1:51">
      <c r="A632" s="25"/>
      <c r="B632" s="172"/>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row>
    <row r="633" ht="15.75" customHeight="1" spans="1:51">
      <c r="A633" s="25"/>
      <c r="B633" s="172"/>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row>
    <row r="634" ht="15.75" customHeight="1" spans="1:51">
      <c r="A634" s="25"/>
      <c r="B634" s="172"/>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row>
    <row r="635" ht="15.75" customHeight="1" spans="1:51">
      <c r="A635" s="25"/>
      <c r="B635" s="172"/>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row>
    <row r="636" ht="15.75" customHeight="1" spans="1:51">
      <c r="A636" s="25"/>
      <c r="B636" s="172"/>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row>
    <row r="637" ht="15.75" customHeight="1" spans="1:51">
      <c r="A637" s="25"/>
      <c r="B637" s="172"/>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row>
    <row r="638" ht="15.75" customHeight="1" spans="1:51">
      <c r="A638" s="25"/>
      <c r="B638" s="172"/>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row>
    <row r="639" ht="15.75" customHeight="1" spans="1:51">
      <c r="A639" s="25"/>
      <c r="B639" s="172"/>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row>
    <row r="640" ht="15.75" customHeight="1" spans="1:51">
      <c r="A640" s="25"/>
      <c r="B640" s="172"/>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row>
    <row r="641" ht="15.75" customHeight="1" spans="1:51">
      <c r="A641" s="25"/>
      <c r="B641" s="172"/>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row>
    <row r="642" ht="15.75" customHeight="1" spans="1:51">
      <c r="A642" s="25"/>
      <c r="B642" s="172"/>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row>
    <row r="643" ht="15.75" customHeight="1" spans="1:51">
      <c r="A643" s="25"/>
      <c r="B643" s="172"/>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row>
    <row r="644" ht="15.75" customHeight="1" spans="1:51">
      <c r="A644" s="25"/>
      <c r="B644" s="172"/>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row>
    <row r="645" ht="15.75" customHeight="1" spans="1:51">
      <c r="A645" s="25"/>
      <c r="B645" s="172"/>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row>
    <row r="646" ht="15.75" customHeight="1" spans="1:51">
      <c r="A646" s="25"/>
      <c r="B646" s="172"/>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row>
    <row r="647" ht="15.75" customHeight="1" spans="1:51">
      <c r="A647" s="25"/>
      <c r="B647" s="172"/>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row>
    <row r="648" ht="15.75" customHeight="1" spans="1:51">
      <c r="A648" s="25"/>
      <c r="B648" s="172"/>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row>
    <row r="649" ht="15.75" customHeight="1" spans="1:51">
      <c r="A649" s="25"/>
      <c r="B649" s="172"/>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row>
    <row r="650" ht="15.75" customHeight="1" spans="1:51">
      <c r="A650" s="25"/>
      <c r="B650" s="172"/>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row>
    <row r="651" ht="15.75" customHeight="1" spans="1:51">
      <c r="A651" s="25"/>
      <c r="B651" s="172"/>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row>
    <row r="652" ht="15.75" customHeight="1" spans="1:51">
      <c r="A652" s="25"/>
      <c r="B652" s="172"/>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row>
    <row r="653" ht="15.75" customHeight="1" spans="1:51">
      <c r="A653" s="25"/>
      <c r="B653" s="172"/>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row>
    <row r="654" ht="15.75" customHeight="1" spans="1:51">
      <c r="A654" s="25"/>
      <c r="B654" s="172"/>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row>
    <row r="655" ht="15.75" customHeight="1" spans="1:51">
      <c r="A655" s="25"/>
      <c r="B655" s="172"/>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row>
    <row r="656" ht="15.75" customHeight="1" spans="1:51">
      <c r="A656" s="25"/>
      <c r="B656" s="172"/>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row>
    <row r="657" ht="15.75" customHeight="1" spans="1:51">
      <c r="A657" s="25"/>
      <c r="B657" s="172"/>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row>
    <row r="658" ht="15.75" customHeight="1" spans="1:51">
      <c r="A658" s="25"/>
      <c r="B658" s="172"/>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row>
    <row r="659" ht="15.75" customHeight="1" spans="1:51">
      <c r="A659" s="25"/>
      <c r="B659" s="172"/>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row>
    <row r="660" ht="15.75" customHeight="1" spans="1:51">
      <c r="A660" s="25"/>
      <c r="B660" s="172"/>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row>
    <row r="661" ht="15.75" customHeight="1" spans="1:51">
      <c r="A661" s="25"/>
      <c r="B661" s="172"/>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row>
    <row r="662" ht="15.75" customHeight="1" spans="1:51">
      <c r="A662" s="25"/>
      <c r="B662" s="172"/>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row>
    <row r="663" ht="15.75" customHeight="1" spans="1:51">
      <c r="A663" s="25"/>
      <c r="B663" s="172"/>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row>
    <row r="664" ht="15.75" customHeight="1" spans="1:51">
      <c r="A664" s="25"/>
      <c r="B664" s="172"/>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row>
    <row r="665" ht="15.75" customHeight="1" spans="1:51">
      <c r="A665" s="25"/>
      <c r="B665" s="172"/>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row>
    <row r="666" ht="15.75" customHeight="1" spans="1:51">
      <c r="A666" s="25"/>
      <c r="B666" s="172"/>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row>
    <row r="667" ht="15.75" customHeight="1" spans="1:51">
      <c r="A667" s="25"/>
      <c r="B667" s="172"/>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row>
    <row r="668" ht="15.75" customHeight="1" spans="1:51">
      <c r="A668" s="25"/>
      <c r="B668" s="172"/>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row>
    <row r="669" ht="15.75" customHeight="1" spans="1:51">
      <c r="A669" s="25"/>
      <c r="B669" s="172"/>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row>
    <row r="670" ht="15.75" customHeight="1" spans="1:51">
      <c r="A670" s="25"/>
      <c r="B670" s="172"/>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row>
    <row r="671" ht="15.75" customHeight="1" spans="1:51">
      <c r="A671" s="25"/>
      <c r="B671" s="172"/>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row>
    <row r="672" ht="15.75" customHeight="1" spans="1:51">
      <c r="A672" s="25"/>
      <c r="B672" s="172"/>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row>
    <row r="673" ht="15.75" customHeight="1" spans="1:51">
      <c r="A673" s="25"/>
      <c r="B673" s="172"/>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row>
    <row r="674" ht="15.75" customHeight="1" spans="1:51">
      <c r="A674" s="25"/>
      <c r="B674" s="172"/>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row>
    <row r="675" ht="15.75" customHeight="1" spans="1:51">
      <c r="A675" s="25"/>
      <c r="B675" s="172"/>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row>
    <row r="676" ht="15.75" customHeight="1" spans="1:51">
      <c r="A676" s="25"/>
      <c r="B676" s="172"/>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row>
    <row r="677" ht="15.75" customHeight="1" spans="1:51">
      <c r="A677" s="25"/>
      <c r="B677" s="172"/>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row>
    <row r="678" ht="15.75" customHeight="1" spans="1:51">
      <c r="A678" s="25"/>
      <c r="B678" s="172"/>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row>
    <row r="679" ht="15.75" customHeight="1" spans="1:51">
      <c r="A679" s="25"/>
      <c r="B679" s="172"/>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row>
    <row r="680" ht="15.75" customHeight="1" spans="1:51">
      <c r="A680" s="25"/>
      <c r="B680" s="172"/>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row>
    <row r="681" ht="15.75" customHeight="1" spans="1:51">
      <c r="A681" s="25"/>
      <c r="B681" s="172"/>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row>
    <row r="682" ht="15.75" customHeight="1" spans="1:51">
      <c r="A682" s="25"/>
      <c r="B682" s="172"/>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row>
    <row r="683" ht="15.75" customHeight="1" spans="1:51">
      <c r="A683" s="25"/>
      <c r="B683" s="172"/>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row>
    <row r="684" ht="15.75" customHeight="1" spans="1:51">
      <c r="A684" s="25"/>
      <c r="B684" s="172"/>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row>
    <row r="685" ht="15.75" customHeight="1" spans="1:51">
      <c r="A685" s="25"/>
      <c r="B685" s="172"/>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row>
    <row r="686" ht="15.75" customHeight="1" spans="1:51">
      <c r="A686" s="25"/>
      <c r="B686" s="172"/>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row>
    <row r="687" ht="15.75" customHeight="1" spans="1:51">
      <c r="A687" s="25"/>
      <c r="B687" s="172"/>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row>
    <row r="688" ht="15.75" customHeight="1" spans="1:51">
      <c r="A688" s="25"/>
      <c r="B688" s="172"/>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row>
    <row r="689" ht="15.75" customHeight="1" spans="1:51">
      <c r="A689" s="25"/>
      <c r="B689" s="172"/>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row>
    <row r="690" ht="15.75" customHeight="1" spans="1:51">
      <c r="A690" s="25"/>
      <c r="B690" s="172"/>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row>
    <row r="691" ht="15.75" customHeight="1" spans="1:51">
      <c r="A691" s="25"/>
      <c r="B691" s="172"/>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row>
    <row r="692" ht="15.75" customHeight="1" spans="1:51">
      <c r="A692" s="25"/>
      <c r="B692" s="172"/>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row>
    <row r="693" ht="15.75" customHeight="1" spans="1:51">
      <c r="A693" s="25"/>
      <c r="B693" s="172"/>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row>
    <row r="694" ht="15.75" customHeight="1" spans="1:51">
      <c r="A694" s="25"/>
      <c r="B694" s="172"/>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row>
    <row r="695" ht="15.75" customHeight="1" spans="1:51">
      <c r="A695" s="25"/>
      <c r="B695" s="172"/>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row>
    <row r="696" ht="15.75" customHeight="1" spans="1:51">
      <c r="A696" s="25"/>
      <c r="B696" s="172"/>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row>
    <row r="697" ht="15.75" customHeight="1" spans="1:51">
      <c r="A697" s="25"/>
      <c r="B697" s="172"/>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row>
    <row r="698" ht="15.75" customHeight="1" spans="1:51">
      <c r="A698" s="25"/>
      <c r="B698" s="172"/>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row>
    <row r="699" ht="15.75" customHeight="1" spans="1:51">
      <c r="A699" s="25"/>
      <c r="B699" s="172"/>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row>
    <row r="700" ht="15.75" customHeight="1" spans="1:51">
      <c r="A700" s="25"/>
      <c r="B700" s="172"/>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row>
    <row r="701" ht="15.75" customHeight="1" spans="1:51">
      <c r="A701" s="25"/>
      <c r="B701" s="172"/>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row>
    <row r="702" ht="15.75" customHeight="1" spans="1:51">
      <c r="A702" s="25"/>
      <c r="B702" s="172"/>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row>
    <row r="703" ht="15.75" customHeight="1" spans="1:51">
      <c r="A703" s="25"/>
      <c r="B703" s="172"/>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row>
    <row r="704" ht="15.75" customHeight="1" spans="1:51">
      <c r="A704" s="25"/>
      <c r="B704" s="172"/>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row>
    <row r="705" ht="15.75" customHeight="1" spans="1:51">
      <c r="A705" s="25"/>
      <c r="B705" s="172"/>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row>
    <row r="706" ht="15.75" customHeight="1" spans="1:51">
      <c r="A706" s="25"/>
      <c r="B706" s="172"/>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row>
    <row r="707" ht="15.75" customHeight="1" spans="1:51">
      <c r="A707" s="25"/>
      <c r="B707" s="172"/>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row>
    <row r="708" ht="15.75" customHeight="1" spans="1:51">
      <c r="A708" s="25"/>
      <c r="B708" s="172"/>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row>
    <row r="709" ht="15.75" customHeight="1" spans="1:51">
      <c r="A709" s="25"/>
      <c r="B709" s="172"/>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row>
    <row r="710" ht="15.75" customHeight="1" spans="1:51">
      <c r="A710" s="25"/>
      <c r="B710" s="172"/>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row>
    <row r="711" ht="15.75" customHeight="1" spans="1:51">
      <c r="A711" s="25"/>
      <c r="B711" s="172"/>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row>
    <row r="712" ht="15.75" customHeight="1" spans="1:51">
      <c r="A712" s="25"/>
      <c r="B712" s="172"/>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row>
    <row r="713" ht="15.75" customHeight="1" spans="1:51">
      <c r="A713" s="25"/>
      <c r="B713" s="172"/>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row>
    <row r="714" ht="15.75" customHeight="1" spans="1:51">
      <c r="A714" s="25"/>
      <c r="B714" s="172"/>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row>
    <row r="715" ht="15.75" customHeight="1" spans="1:51">
      <c r="A715" s="25"/>
      <c r="B715" s="172"/>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row>
    <row r="716" ht="15.75" customHeight="1" spans="1:51">
      <c r="A716" s="25"/>
      <c r="B716" s="172"/>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row>
    <row r="717" ht="15.75" customHeight="1" spans="1:51">
      <c r="A717" s="25"/>
      <c r="B717" s="172"/>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row>
    <row r="718" ht="15.75" customHeight="1" spans="1:51">
      <c r="A718" s="25"/>
      <c r="B718" s="172"/>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row>
    <row r="719" ht="15.75" customHeight="1" spans="1:51">
      <c r="A719" s="25"/>
      <c r="B719" s="172"/>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row>
    <row r="720" ht="15.75" customHeight="1" spans="1:51">
      <c r="A720" s="25"/>
      <c r="B720" s="172"/>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row>
    <row r="721" ht="15.75" customHeight="1" spans="1:51">
      <c r="A721" s="25"/>
      <c r="B721" s="172"/>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row>
    <row r="722" ht="15.75" customHeight="1" spans="1:51">
      <c r="A722" s="25"/>
      <c r="B722" s="172"/>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row>
    <row r="723" ht="15.75" customHeight="1" spans="1:51">
      <c r="A723" s="25"/>
      <c r="B723" s="172"/>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row>
    <row r="724" ht="15.75" customHeight="1" spans="1:51">
      <c r="A724" s="25"/>
      <c r="B724" s="172"/>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row>
    <row r="725" ht="15.75" customHeight="1" spans="1:51">
      <c r="A725" s="25"/>
      <c r="B725" s="172"/>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row>
    <row r="726" ht="15.75" customHeight="1" spans="1:51">
      <c r="A726" s="25"/>
      <c r="B726" s="172"/>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row>
    <row r="727" ht="15.75" customHeight="1" spans="1:51">
      <c r="A727" s="25"/>
      <c r="B727" s="172"/>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row>
    <row r="728" ht="15.75" customHeight="1" spans="1:51">
      <c r="A728" s="25"/>
      <c r="B728" s="172"/>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row>
    <row r="729" ht="15.75" customHeight="1" spans="1:51">
      <c r="A729" s="25"/>
      <c r="B729" s="172"/>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row>
    <row r="730" ht="15.75" customHeight="1" spans="1:51">
      <c r="A730" s="25"/>
      <c r="B730" s="172"/>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row>
    <row r="731" ht="15.75" customHeight="1" spans="1:51">
      <c r="A731" s="25"/>
      <c r="B731" s="172"/>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row>
    <row r="732" ht="15.75" customHeight="1" spans="1:51">
      <c r="A732" s="25"/>
      <c r="B732" s="172"/>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row>
    <row r="733" ht="15.75" customHeight="1" spans="1:51">
      <c r="A733" s="25"/>
      <c r="B733" s="172"/>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row>
    <row r="734" ht="15.75" customHeight="1" spans="1:51">
      <c r="A734" s="25"/>
      <c r="B734" s="172"/>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row>
    <row r="735" ht="15.75" customHeight="1" spans="1:51">
      <c r="A735" s="25"/>
      <c r="B735" s="172"/>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row>
    <row r="736" ht="15.75" customHeight="1" spans="1:51">
      <c r="A736" s="25"/>
      <c r="B736" s="172"/>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row>
    <row r="737" ht="15.75" customHeight="1" spans="1:51">
      <c r="A737" s="25"/>
      <c r="B737" s="172"/>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row>
    <row r="738" ht="15.75" customHeight="1" spans="1:51">
      <c r="A738" s="25"/>
      <c r="B738" s="172"/>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row>
    <row r="739" ht="15.75" customHeight="1" spans="1:51">
      <c r="A739" s="25"/>
      <c r="B739" s="172"/>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row>
    <row r="740" ht="15.75" customHeight="1" spans="1:51">
      <c r="A740" s="25"/>
      <c r="B740" s="172"/>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row>
    <row r="741" ht="15.75" customHeight="1" spans="1:51">
      <c r="A741" s="25"/>
      <c r="B741" s="172"/>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row>
    <row r="742" ht="15.75" customHeight="1" spans="1:51">
      <c r="A742" s="25"/>
      <c r="B742" s="172"/>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row>
    <row r="743" ht="15.75" customHeight="1" spans="1:51">
      <c r="A743" s="25"/>
      <c r="B743" s="172"/>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row>
    <row r="744" ht="15.75" customHeight="1" spans="1:51">
      <c r="A744" s="25"/>
      <c r="B744" s="172"/>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row>
    <row r="745" ht="15.75" customHeight="1" spans="1:51">
      <c r="A745" s="25"/>
      <c r="B745" s="172"/>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row>
    <row r="746" ht="15.75" customHeight="1" spans="1:51">
      <c r="A746" s="25"/>
      <c r="B746" s="172"/>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row>
    <row r="747" ht="15.75" customHeight="1" spans="1:51">
      <c r="A747" s="25"/>
      <c r="B747" s="172"/>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row>
    <row r="748" ht="15.75" customHeight="1" spans="1:51">
      <c r="A748" s="25"/>
      <c r="B748" s="172"/>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row>
    <row r="749" ht="15.75" customHeight="1" spans="1:51">
      <c r="A749" s="25"/>
      <c r="B749" s="172"/>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row>
    <row r="750" ht="15.75" customHeight="1" spans="1:51">
      <c r="A750" s="25"/>
      <c r="B750" s="172"/>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row>
    <row r="751" ht="15.75" customHeight="1" spans="1:51">
      <c r="A751" s="25"/>
      <c r="B751" s="172"/>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row>
    <row r="752" ht="15.75" customHeight="1" spans="1:51">
      <c r="A752" s="25"/>
      <c r="B752" s="172"/>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row>
    <row r="753" ht="15.75" customHeight="1" spans="1:51">
      <c r="A753" s="25"/>
      <c r="B753" s="172"/>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row>
    <row r="754" ht="15.75" customHeight="1" spans="1:51">
      <c r="A754" s="25"/>
      <c r="B754" s="172"/>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row>
    <row r="755" ht="15.75" customHeight="1" spans="1:51">
      <c r="A755" s="25"/>
      <c r="B755" s="172"/>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row>
    <row r="756" ht="15.75" customHeight="1" spans="1:51">
      <c r="A756" s="25"/>
      <c r="B756" s="172"/>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row>
    <row r="757" ht="15.75" customHeight="1" spans="1:51">
      <c r="A757" s="25"/>
      <c r="B757" s="172"/>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row>
    <row r="758" ht="15.75" customHeight="1" spans="1:51">
      <c r="A758" s="25"/>
      <c r="B758" s="172"/>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row>
    <row r="759" ht="15.75" customHeight="1" spans="1:51">
      <c r="A759" s="25"/>
      <c r="B759" s="172"/>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row>
    <row r="760" ht="15.75" customHeight="1" spans="1:51">
      <c r="A760" s="25"/>
      <c r="B760" s="172"/>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row>
    <row r="761" ht="15.75" customHeight="1" spans="1:51">
      <c r="A761" s="25"/>
      <c r="B761" s="172"/>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row>
    <row r="762" ht="15.75" customHeight="1" spans="1:51">
      <c r="A762" s="25"/>
      <c r="B762" s="172"/>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row>
    <row r="763" ht="15.75" customHeight="1" spans="1:51">
      <c r="A763" s="25"/>
      <c r="B763" s="172"/>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row>
    <row r="764" ht="15.75" customHeight="1" spans="1:51">
      <c r="A764" s="25"/>
      <c r="B764" s="172"/>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row>
    <row r="765" ht="15.75" customHeight="1" spans="1:51">
      <c r="A765" s="25"/>
      <c r="B765" s="172"/>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row>
    <row r="766" ht="15.75" customHeight="1" spans="1:51">
      <c r="A766" s="25"/>
      <c r="B766" s="172"/>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row>
    <row r="767" ht="15.75" customHeight="1" spans="1:51">
      <c r="A767" s="25"/>
      <c r="B767" s="172"/>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row>
    <row r="768" ht="15.75" customHeight="1" spans="1:51">
      <c r="A768" s="25"/>
      <c r="B768" s="172"/>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row>
    <row r="769" ht="15.75" customHeight="1" spans="1:51">
      <c r="A769" s="25"/>
      <c r="B769" s="172"/>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row>
    <row r="770" ht="15.75" customHeight="1" spans="1:51">
      <c r="A770" s="25"/>
      <c r="B770" s="172"/>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row>
    <row r="771" ht="15.75" customHeight="1" spans="1:51">
      <c r="A771" s="25"/>
      <c r="B771" s="172"/>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row>
    <row r="772" ht="15.75" customHeight="1" spans="1:51">
      <c r="A772" s="25"/>
      <c r="B772" s="172"/>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row>
    <row r="773" ht="15.75" customHeight="1" spans="1:51">
      <c r="A773" s="25"/>
      <c r="B773" s="172"/>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row>
    <row r="774" ht="15.75" customHeight="1" spans="1:51">
      <c r="A774" s="25"/>
      <c r="B774" s="172"/>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row>
    <row r="775" ht="15.75" customHeight="1" spans="1:51">
      <c r="A775" s="25"/>
      <c r="B775" s="172"/>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row>
    <row r="776" ht="15.75" customHeight="1" spans="1:51">
      <c r="A776" s="25"/>
      <c r="B776" s="172"/>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row>
    <row r="777" ht="15.75" customHeight="1" spans="1:51">
      <c r="A777" s="25"/>
      <c r="B777" s="172"/>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row>
    <row r="778" ht="15.75" customHeight="1" spans="1:51">
      <c r="A778" s="25"/>
      <c r="B778" s="172"/>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row>
    <row r="779" ht="15.75" customHeight="1" spans="1:51">
      <c r="A779" s="25"/>
      <c r="B779" s="172"/>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row>
    <row r="780" ht="15.75" customHeight="1" spans="1:51">
      <c r="A780" s="25"/>
      <c r="B780" s="172"/>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row>
    <row r="781" ht="15.75" customHeight="1" spans="1:51">
      <c r="A781" s="25"/>
      <c r="B781" s="172"/>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row>
    <row r="782" ht="15.75" customHeight="1" spans="1:51">
      <c r="A782" s="25"/>
      <c r="B782" s="172"/>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row>
    <row r="783" ht="15.75" customHeight="1" spans="1:51">
      <c r="A783" s="25"/>
      <c r="B783" s="172"/>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row>
    <row r="784" ht="15.75" customHeight="1" spans="1:51">
      <c r="A784" s="25"/>
      <c r="B784" s="172"/>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row>
    <row r="785" ht="15.75" customHeight="1" spans="1:51">
      <c r="A785" s="25"/>
      <c r="B785" s="172"/>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row>
    <row r="786" ht="15.75" customHeight="1" spans="1:51">
      <c r="A786" s="25"/>
      <c r="B786" s="172"/>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row>
    <row r="787" ht="15.75" customHeight="1" spans="1:51">
      <c r="A787" s="25"/>
      <c r="B787" s="172"/>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row>
    <row r="788" ht="15.75" customHeight="1" spans="1:51">
      <c r="A788" s="25"/>
      <c r="B788" s="172"/>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row>
    <row r="789" ht="15.75" customHeight="1" spans="1:51">
      <c r="A789" s="25"/>
      <c r="B789" s="172"/>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row>
    <row r="790" ht="15.75" customHeight="1" spans="1:51">
      <c r="A790" s="25"/>
      <c r="B790" s="172"/>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row>
    <row r="791" ht="15.75" customHeight="1" spans="1:51">
      <c r="A791" s="25"/>
      <c r="B791" s="172"/>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row>
    <row r="792" ht="15.75" customHeight="1" spans="1:51">
      <c r="A792" s="25"/>
      <c r="B792" s="172"/>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row>
    <row r="793" ht="15.75" customHeight="1" spans="1:51">
      <c r="A793" s="25"/>
      <c r="B793" s="172"/>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row>
    <row r="794" ht="15.75" customHeight="1" spans="1:51">
      <c r="A794" s="25"/>
      <c r="B794" s="172"/>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row>
    <row r="795" ht="15.75" customHeight="1" spans="1:51">
      <c r="A795" s="25"/>
      <c r="B795" s="172"/>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row>
    <row r="796" ht="15.75" customHeight="1" spans="1:51">
      <c r="A796" s="25"/>
      <c r="B796" s="172"/>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row>
    <row r="797" ht="15.75" customHeight="1" spans="1:51">
      <c r="A797" s="25"/>
      <c r="B797" s="172"/>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row>
    <row r="798" ht="15.75" customHeight="1" spans="1:51">
      <c r="A798" s="25"/>
      <c r="B798" s="172"/>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row>
    <row r="799" ht="15.75" customHeight="1" spans="1:51">
      <c r="A799" s="25"/>
      <c r="B799" s="172"/>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row>
    <row r="800" ht="15.75" customHeight="1" spans="1:51">
      <c r="A800" s="25"/>
      <c r="B800" s="172"/>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row>
    <row r="801" ht="15.75" customHeight="1" spans="1:51">
      <c r="A801" s="25"/>
      <c r="B801" s="172"/>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row>
    <row r="802" ht="15.75" customHeight="1" spans="1:51">
      <c r="A802" s="25"/>
      <c r="B802" s="172"/>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row>
    <row r="803" ht="15.75" customHeight="1" spans="1:51">
      <c r="A803" s="25"/>
      <c r="B803" s="172"/>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row>
    <row r="804" ht="15.75" customHeight="1" spans="1:51">
      <c r="A804" s="25"/>
      <c r="B804" s="172"/>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row>
    <row r="805" ht="15.75" customHeight="1" spans="1:51">
      <c r="A805" s="25"/>
      <c r="B805" s="172"/>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row>
    <row r="806" ht="15.75" customHeight="1" spans="1:51">
      <c r="A806" s="25"/>
      <c r="B806" s="172"/>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row>
    <row r="807" ht="15.75" customHeight="1" spans="1:51">
      <c r="A807" s="25"/>
      <c r="B807" s="172"/>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row>
    <row r="808" ht="15.75" customHeight="1" spans="1:51">
      <c r="A808" s="25"/>
      <c r="B808" s="172"/>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row>
    <row r="809" ht="15.75" customHeight="1" spans="1:51">
      <c r="A809" s="25"/>
      <c r="B809" s="172"/>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row>
    <row r="810" ht="15.75" customHeight="1" spans="1:51">
      <c r="A810" s="25"/>
      <c r="B810" s="172"/>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row>
    <row r="811" ht="15.75" customHeight="1" spans="1:51">
      <c r="A811" s="25"/>
      <c r="B811" s="172"/>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row>
    <row r="812" ht="15.75" customHeight="1" spans="1:51">
      <c r="A812" s="25"/>
      <c r="B812" s="172"/>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row>
    <row r="813" ht="15.75" customHeight="1" spans="1:51">
      <c r="A813" s="25"/>
      <c r="B813" s="172"/>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row>
    <row r="814" ht="15.75" customHeight="1" spans="1:51">
      <c r="A814" s="25"/>
      <c r="B814" s="172"/>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row>
    <row r="815" ht="15.75" customHeight="1" spans="1:51">
      <c r="A815" s="25"/>
      <c r="B815" s="172"/>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row>
    <row r="816" ht="15.75" customHeight="1" spans="1:51">
      <c r="A816" s="25"/>
      <c r="B816" s="172"/>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row>
    <row r="817" ht="15.75" customHeight="1" spans="1:51">
      <c r="A817" s="25"/>
      <c r="B817" s="172"/>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row>
    <row r="818" ht="15.75" customHeight="1" spans="1:51">
      <c r="A818" s="25"/>
      <c r="B818" s="172"/>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row>
    <row r="819" ht="15.75" customHeight="1" spans="1:51">
      <c r="A819" s="25"/>
      <c r="B819" s="172"/>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row>
    <row r="820" ht="15.75" customHeight="1" spans="1:51">
      <c r="A820" s="25"/>
      <c r="B820" s="172"/>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row>
    <row r="821" ht="15.75" customHeight="1" spans="1:51">
      <c r="A821" s="25"/>
      <c r="B821" s="172"/>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row>
    <row r="822" ht="15.75" customHeight="1" spans="1:51">
      <c r="A822" s="25"/>
      <c r="B822" s="172"/>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row>
    <row r="823" ht="15.75" customHeight="1" spans="1:51">
      <c r="A823" s="25"/>
      <c r="B823" s="172"/>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row>
    <row r="824" ht="15.75" customHeight="1" spans="1:51">
      <c r="A824" s="25"/>
      <c r="B824" s="172"/>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row>
    <row r="825" ht="15.75" customHeight="1" spans="1:51">
      <c r="A825" s="25"/>
      <c r="B825" s="172"/>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row>
    <row r="826" ht="15.75" customHeight="1" spans="1:51">
      <c r="A826" s="25"/>
      <c r="B826" s="172"/>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row>
    <row r="827" ht="15.75" customHeight="1" spans="1:51">
      <c r="A827" s="25"/>
      <c r="B827" s="172"/>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row>
    <row r="828" ht="15.75" customHeight="1" spans="1:51">
      <c r="A828" s="25"/>
      <c r="B828" s="172"/>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row>
    <row r="829" ht="15.75" customHeight="1" spans="1:51">
      <c r="A829" s="25"/>
      <c r="B829" s="172"/>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row>
    <row r="830" ht="15.75" customHeight="1" spans="1:51">
      <c r="A830" s="25"/>
      <c r="B830" s="172"/>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row>
    <row r="831" ht="15.75" customHeight="1" spans="1:51">
      <c r="A831" s="25"/>
      <c r="B831" s="172"/>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row>
    <row r="832" ht="15.75" customHeight="1" spans="1:51">
      <c r="A832" s="25"/>
      <c r="B832" s="172"/>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row>
    <row r="833" ht="15.75" customHeight="1" spans="1:51">
      <c r="A833" s="25"/>
      <c r="B833" s="172"/>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row>
    <row r="834" ht="15.75" customHeight="1" spans="1:51">
      <c r="A834" s="25"/>
      <c r="B834" s="172"/>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row>
    <row r="835" ht="15.75" customHeight="1" spans="1:51">
      <c r="A835" s="25"/>
      <c r="B835" s="172"/>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row>
    <row r="836" ht="15.75" customHeight="1" spans="1:51">
      <c r="A836" s="25"/>
      <c r="B836" s="172"/>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row>
    <row r="837" ht="15.75" customHeight="1" spans="1:51">
      <c r="A837" s="25"/>
      <c r="B837" s="172"/>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row>
    <row r="838" ht="15.75" customHeight="1" spans="1:51">
      <c r="A838" s="25"/>
      <c r="B838" s="172"/>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row>
    <row r="839" ht="15.75" customHeight="1" spans="1:51">
      <c r="A839" s="25"/>
      <c r="B839" s="172"/>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row>
    <row r="840" ht="15.75" customHeight="1" spans="1:51">
      <c r="A840" s="25"/>
      <c r="B840" s="172"/>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row>
    <row r="841" ht="15.75" customHeight="1" spans="1:51">
      <c r="A841" s="25"/>
      <c r="B841" s="172"/>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row>
    <row r="842" ht="15.75" customHeight="1" spans="1:51">
      <c r="A842" s="25"/>
      <c r="B842" s="172"/>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row>
    <row r="843" ht="15.75" customHeight="1" spans="1:51">
      <c r="A843" s="25"/>
      <c r="B843" s="172"/>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row>
    <row r="844" ht="15.75" customHeight="1" spans="1:51">
      <c r="A844" s="25"/>
      <c r="B844" s="172"/>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row>
    <row r="845" ht="15.75" customHeight="1" spans="1:51">
      <c r="A845" s="25"/>
      <c r="B845" s="172"/>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row>
    <row r="846" ht="15.75" customHeight="1" spans="1:51">
      <c r="A846" s="25"/>
      <c r="B846" s="172"/>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row>
    <row r="847" ht="15.75" customHeight="1" spans="1:51">
      <c r="A847" s="25"/>
      <c r="B847" s="172"/>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row>
    <row r="848" ht="15.75" customHeight="1" spans="1:51">
      <c r="A848" s="25"/>
      <c r="B848" s="172"/>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row>
    <row r="849" ht="15.75" customHeight="1" spans="1:51">
      <c r="A849" s="25"/>
      <c r="B849" s="172"/>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row>
    <row r="850" ht="15.75" customHeight="1" spans="1:51">
      <c r="A850" s="25"/>
      <c r="B850" s="172"/>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row>
    <row r="851" ht="15.75" customHeight="1" spans="1:51">
      <c r="A851" s="25"/>
      <c r="B851" s="172"/>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row>
    <row r="852" ht="15.75" customHeight="1" spans="1:51">
      <c r="A852" s="25"/>
      <c r="B852" s="172"/>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row>
    <row r="853" ht="15.75" customHeight="1" spans="1:51">
      <c r="A853" s="25"/>
      <c r="B853" s="172"/>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row>
    <row r="854" ht="15.75" customHeight="1" spans="1:51">
      <c r="A854" s="25"/>
      <c r="B854" s="172"/>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row>
    <row r="855" ht="15.75" customHeight="1" spans="1:51">
      <c r="A855" s="25"/>
      <c r="B855" s="172"/>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row>
    <row r="856" ht="15.75" customHeight="1" spans="1:51">
      <c r="A856" s="25"/>
      <c r="B856" s="172"/>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row>
    <row r="857" ht="15.75" customHeight="1" spans="1:51">
      <c r="A857" s="25"/>
      <c r="B857" s="172"/>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row>
    <row r="858" ht="15.75" customHeight="1" spans="1:51">
      <c r="A858" s="25"/>
      <c r="B858" s="172"/>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row>
    <row r="859" ht="15.75" customHeight="1" spans="1:51">
      <c r="A859" s="25"/>
      <c r="B859" s="172"/>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row>
    <row r="860" ht="15.75" customHeight="1" spans="1:51">
      <c r="A860" s="25"/>
      <c r="B860" s="172"/>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row>
    <row r="861" ht="15.75" customHeight="1" spans="1:51">
      <c r="A861" s="25"/>
      <c r="B861" s="172"/>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row>
    <row r="862" ht="15.75" customHeight="1" spans="1:51">
      <c r="A862" s="25"/>
      <c r="B862" s="172"/>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row>
    <row r="863" ht="15.75" customHeight="1" spans="1:51">
      <c r="A863" s="25"/>
      <c r="B863" s="172"/>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row>
    <row r="864" ht="15.75" customHeight="1" spans="1:51">
      <c r="A864" s="25"/>
      <c r="B864" s="172"/>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row>
    <row r="865" ht="15.75" customHeight="1" spans="1:51">
      <c r="A865" s="25"/>
      <c r="B865" s="172"/>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row>
    <row r="866" ht="15.75" customHeight="1" spans="1:51">
      <c r="A866" s="25"/>
      <c r="B866" s="172"/>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row>
    <row r="867" ht="15.75" customHeight="1" spans="1:51">
      <c r="A867" s="25"/>
      <c r="B867" s="172"/>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row>
    <row r="868" ht="15.75" customHeight="1" spans="1:51">
      <c r="A868" s="25"/>
      <c r="B868" s="172"/>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row>
    <row r="869" ht="15.75" customHeight="1" spans="1:51">
      <c r="A869" s="25"/>
      <c r="B869" s="172"/>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row>
    <row r="870" ht="15.75" customHeight="1" spans="1:51">
      <c r="A870" s="25"/>
      <c r="B870" s="172"/>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row>
    <row r="871" ht="15.75" customHeight="1" spans="1:51">
      <c r="A871" s="25"/>
      <c r="B871" s="172"/>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row>
    <row r="872" ht="15.75" customHeight="1" spans="1:51">
      <c r="A872" s="25"/>
      <c r="B872" s="172"/>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row>
    <row r="873" ht="15.75" customHeight="1" spans="1:51">
      <c r="A873" s="25"/>
      <c r="B873" s="172"/>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row>
    <row r="874" ht="15.75" customHeight="1" spans="1:51">
      <c r="A874" s="25"/>
      <c r="B874" s="172"/>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row>
    <row r="875" ht="15.75" customHeight="1" spans="1:51">
      <c r="A875" s="25"/>
      <c r="B875" s="172"/>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row>
    <row r="876" ht="15.75" customHeight="1" spans="1:51">
      <c r="A876" s="25"/>
      <c r="B876" s="172"/>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row>
    <row r="877" ht="15.75" customHeight="1" spans="1:51">
      <c r="A877" s="25"/>
      <c r="B877" s="172"/>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row>
    <row r="878" ht="15.75" customHeight="1" spans="1:51">
      <c r="A878" s="25"/>
      <c r="B878" s="172"/>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row>
    <row r="879" ht="15.75" customHeight="1" spans="1:51">
      <c r="A879" s="25"/>
      <c r="B879" s="172"/>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row>
    <row r="880" ht="15.75" customHeight="1" spans="1:51">
      <c r="A880" s="25"/>
      <c r="B880" s="172"/>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row>
    <row r="881" ht="15.75" customHeight="1" spans="1:51">
      <c r="A881" s="25"/>
      <c r="B881" s="172"/>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row>
    <row r="882" ht="15.75" customHeight="1" spans="1:51">
      <c r="A882" s="25"/>
      <c r="B882" s="172"/>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row>
    <row r="883" ht="15.75" customHeight="1" spans="1:51">
      <c r="A883" s="25"/>
      <c r="B883" s="172"/>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row>
    <row r="884" ht="15.75" customHeight="1" spans="1:51">
      <c r="A884" s="25"/>
      <c r="B884" s="172"/>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row>
    <row r="885" ht="15.75" customHeight="1" spans="1:51">
      <c r="A885" s="25"/>
      <c r="B885" s="172"/>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row>
    <row r="886" ht="15.75" customHeight="1" spans="1:51">
      <c r="A886" s="25"/>
      <c r="B886" s="172"/>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row>
    <row r="887" ht="15.75" customHeight="1" spans="1:51">
      <c r="A887" s="25"/>
      <c r="B887" s="172"/>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row>
    <row r="888" ht="15.75" customHeight="1" spans="1:51">
      <c r="A888" s="25"/>
      <c r="B888" s="172"/>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row>
    <row r="889" ht="15.75" customHeight="1" spans="1:51">
      <c r="A889" s="25"/>
      <c r="B889" s="172"/>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row>
    <row r="890" ht="15.75" customHeight="1" spans="1:51">
      <c r="A890" s="25"/>
      <c r="B890" s="172"/>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row>
    <row r="891" ht="15.75" customHeight="1" spans="1:51">
      <c r="A891" s="25"/>
      <c r="B891" s="172"/>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row>
    <row r="892" ht="15.75" customHeight="1" spans="1:51">
      <c r="A892" s="25"/>
      <c r="B892" s="172"/>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row>
    <row r="893" ht="15.75" customHeight="1" spans="1:51">
      <c r="A893" s="25"/>
      <c r="B893" s="172"/>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row>
    <row r="894" ht="15.75" customHeight="1" spans="1:51">
      <c r="A894" s="25"/>
      <c r="B894" s="172"/>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row>
    <row r="895" ht="15.75" customHeight="1" spans="1:51">
      <c r="A895" s="25"/>
      <c r="B895" s="172"/>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row>
    <row r="896" ht="15.75" customHeight="1" spans="1:51">
      <c r="A896" s="25"/>
      <c r="B896" s="172"/>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row>
    <row r="897" ht="15.75" customHeight="1" spans="1:51">
      <c r="A897" s="25"/>
      <c r="B897" s="172"/>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row>
    <row r="898" ht="15.75" customHeight="1" spans="1:51">
      <c r="A898" s="25"/>
      <c r="B898" s="172"/>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row>
    <row r="899" ht="15.75" customHeight="1" spans="1:51">
      <c r="A899" s="25"/>
      <c r="B899" s="172"/>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row>
    <row r="900" ht="15.75" customHeight="1" spans="1:51">
      <c r="A900" s="25"/>
      <c r="B900" s="172"/>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row>
    <row r="901" ht="15.75" customHeight="1" spans="1:51">
      <c r="A901" s="25"/>
      <c r="B901" s="172"/>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row>
    <row r="902" ht="15.75" customHeight="1" spans="1:51">
      <c r="A902" s="25"/>
      <c r="B902" s="172"/>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row>
    <row r="903" ht="15.75" customHeight="1" spans="1:51">
      <c r="A903" s="25"/>
      <c r="B903" s="172"/>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row>
    <row r="904" ht="15.75" customHeight="1" spans="1:51">
      <c r="A904" s="25"/>
      <c r="B904" s="172"/>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row>
    <row r="905" ht="15.75" customHeight="1" spans="1:51">
      <c r="A905" s="25"/>
      <c r="B905" s="172"/>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row>
    <row r="906" ht="15.75" customHeight="1" spans="1:51">
      <c r="A906" s="25"/>
      <c r="B906" s="172"/>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row>
    <row r="907" ht="15.75" customHeight="1" spans="1:51">
      <c r="A907" s="25"/>
      <c r="B907" s="172"/>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row>
    <row r="908" ht="15.75" customHeight="1" spans="1:51">
      <c r="A908" s="25"/>
      <c r="B908" s="172"/>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row>
    <row r="909" ht="15.75" customHeight="1" spans="1:51">
      <c r="A909" s="25"/>
      <c r="B909" s="172"/>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row>
    <row r="910" ht="15.75" customHeight="1" spans="1:51">
      <c r="A910" s="25"/>
      <c r="B910" s="172"/>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row>
    <row r="911" ht="15.75" customHeight="1" spans="1:51">
      <c r="A911" s="25"/>
      <c r="B911" s="172"/>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row>
    <row r="912" ht="15.75" customHeight="1" spans="1:51">
      <c r="A912" s="25"/>
      <c r="B912" s="172"/>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row>
    <row r="913" ht="15.75" customHeight="1" spans="1:51">
      <c r="A913" s="25"/>
      <c r="B913" s="172"/>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row>
    <row r="914" ht="15.75" customHeight="1" spans="1:51">
      <c r="A914" s="25"/>
      <c r="B914" s="172"/>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row>
    <row r="915" ht="15.75" customHeight="1" spans="1:51">
      <c r="A915" s="25"/>
      <c r="B915" s="172"/>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row>
    <row r="916" ht="15.75" customHeight="1" spans="1:51">
      <c r="A916" s="25"/>
      <c r="B916" s="172"/>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row>
    <row r="917" ht="15.75" customHeight="1" spans="1:51">
      <c r="A917" s="25"/>
      <c r="B917" s="172"/>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row>
    <row r="918" ht="15.75" customHeight="1" spans="1:51">
      <c r="A918" s="25"/>
      <c r="B918" s="172"/>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row>
    <row r="919" ht="15.75" customHeight="1" spans="1:51">
      <c r="A919" s="25"/>
      <c r="B919" s="172"/>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row>
    <row r="920" ht="15.75" customHeight="1" spans="1:51">
      <c r="A920" s="25"/>
      <c r="B920" s="172"/>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row>
    <row r="921" ht="15.75" customHeight="1" spans="1:51">
      <c r="A921" s="25"/>
      <c r="B921" s="172"/>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row>
    <row r="922" ht="15.75" customHeight="1" spans="1:51">
      <c r="A922" s="25"/>
      <c r="B922" s="172"/>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row>
    <row r="923" ht="15.75" customHeight="1" spans="1:51">
      <c r="A923" s="25"/>
      <c r="B923" s="172"/>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row>
    <row r="924" ht="15.75" customHeight="1" spans="1:51">
      <c r="A924" s="25"/>
      <c r="B924" s="172"/>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row>
    <row r="925" ht="15.75" customHeight="1" spans="1:51">
      <c r="A925" s="25"/>
      <c r="B925" s="172"/>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row>
    <row r="926" ht="15.75" customHeight="1" spans="1:51">
      <c r="A926" s="25"/>
      <c r="B926" s="172"/>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row>
    <row r="927" ht="15.75" customHeight="1" spans="1:51">
      <c r="A927" s="25"/>
      <c r="B927" s="172"/>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row>
    <row r="928" ht="15.75" customHeight="1" spans="1:51">
      <c r="A928" s="25"/>
      <c r="B928" s="172"/>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row>
    <row r="929" ht="15.75" customHeight="1" spans="1:51">
      <c r="A929" s="25"/>
      <c r="B929" s="172"/>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row>
    <row r="930" ht="15.75" customHeight="1" spans="1:51">
      <c r="A930" s="25"/>
      <c r="B930" s="172"/>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row>
    <row r="931" ht="15.75" customHeight="1" spans="1:51">
      <c r="A931" s="25"/>
      <c r="B931" s="172"/>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row>
    <row r="932" ht="15.75" customHeight="1" spans="1:51">
      <c r="A932" s="25"/>
      <c r="B932" s="172"/>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row>
    <row r="933" ht="15.75" customHeight="1" spans="1:51">
      <c r="A933" s="25"/>
      <c r="B933" s="172"/>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row>
    <row r="934" ht="15.75" customHeight="1" spans="1:51">
      <c r="A934" s="25"/>
      <c r="B934" s="172"/>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row>
    <row r="935" ht="15.75" customHeight="1" spans="1:51">
      <c r="A935" s="25"/>
      <c r="B935" s="172"/>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row>
    <row r="936" ht="15.75" customHeight="1" spans="1:51">
      <c r="A936" s="25"/>
      <c r="B936" s="172"/>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row>
    <row r="937" ht="15.75" customHeight="1" spans="1:51">
      <c r="A937" s="25"/>
      <c r="B937" s="172"/>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row>
    <row r="938" ht="15.75" customHeight="1" spans="1:51">
      <c r="A938" s="25"/>
      <c r="B938" s="172"/>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row>
    <row r="939" ht="15.75" customHeight="1" spans="1:51">
      <c r="A939" s="25"/>
      <c r="B939" s="172"/>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row>
    <row r="940" ht="15.75" customHeight="1" spans="1:51">
      <c r="A940" s="25"/>
      <c r="B940" s="172"/>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row>
    <row r="941" ht="15.75" customHeight="1" spans="1:51">
      <c r="A941" s="25"/>
      <c r="B941" s="172"/>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row>
    <row r="942" ht="15.75" customHeight="1" spans="1:51">
      <c r="A942" s="25"/>
      <c r="B942" s="172"/>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row>
    <row r="943" ht="15.75" customHeight="1" spans="1:51">
      <c r="A943" s="25"/>
      <c r="B943" s="172"/>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row>
    <row r="944" ht="15.75" customHeight="1" spans="1:51">
      <c r="A944" s="25"/>
      <c r="B944" s="172"/>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row>
    <row r="945" ht="15.75" customHeight="1" spans="1:51">
      <c r="A945" s="25"/>
      <c r="B945" s="172"/>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row>
    <row r="946" ht="15.75" customHeight="1" spans="1:51">
      <c r="A946" s="25"/>
      <c r="B946" s="172"/>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row>
    <row r="947" ht="15.75" customHeight="1" spans="1:51">
      <c r="A947" s="25"/>
      <c r="B947" s="172"/>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row>
    <row r="948" ht="15.75" customHeight="1" spans="1:51">
      <c r="A948" s="25"/>
      <c r="B948" s="172"/>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row>
    <row r="949" ht="15.75" customHeight="1" spans="1:51">
      <c r="A949" s="25"/>
      <c r="B949" s="172"/>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row>
    <row r="950" ht="15.75" customHeight="1" spans="1:51">
      <c r="A950" s="25"/>
      <c r="B950" s="172"/>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row>
    <row r="951" ht="15.75" customHeight="1" spans="1:51">
      <c r="A951" s="25"/>
      <c r="B951" s="172"/>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row>
    <row r="952" ht="15.75" customHeight="1" spans="1:51">
      <c r="A952" s="25"/>
      <c r="B952" s="172"/>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row>
    <row r="953" ht="15.75" customHeight="1" spans="1:51">
      <c r="A953" s="25"/>
      <c r="B953" s="172"/>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row>
    <row r="954" ht="15.75" customHeight="1" spans="1:51">
      <c r="A954" s="25"/>
      <c r="B954" s="172"/>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row>
    <row r="955" ht="15.75" customHeight="1" spans="1:51">
      <c r="A955" s="25"/>
      <c r="B955" s="172"/>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row>
    <row r="956" ht="15.75" customHeight="1" spans="1:51">
      <c r="A956" s="25"/>
      <c r="B956" s="172"/>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row>
    <row r="957" ht="15.75" customHeight="1" spans="1:51">
      <c r="A957" s="25"/>
      <c r="B957" s="172"/>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row>
    <row r="958" ht="15.75" customHeight="1" spans="1:51">
      <c r="A958" s="25"/>
      <c r="B958" s="172"/>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row>
    <row r="959" ht="15.75" customHeight="1" spans="1:51">
      <c r="A959" s="25"/>
      <c r="B959" s="172"/>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row>
    <row r="960" ht="15.75" customHeight="1" spans="1:51">
      <c r="A960" s="25"/>
      <c r="B960" s="172"/>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row>
    <row r="961" ht="15.75" customHeight="1" spans="1:51">
      <c r="A961" s="25"/>
      <c r="B961" s="172"/>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row>
    <row r="962" ht="15.75" customHeight="1" spans="1:51">
      <c r="A962" s="25"/>
      <c r="B962" s="172"/>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row>
    <row r="963" ht="15.75" customHeight="1" spans="1:51">
      <c r="A963" s="25"/>
      <c r="B963" s="172"/>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row>
    <row r="964" ht="15.75" customHeight="1" spans="1:51">
      <c r="A964" s="25"/>
      <c r="B964" s="172"/>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row>
    <row r="965" ht="15.75" customHeight="1" spans="1:51">
      <c r="A965" s="25"/>
      <c r="B965" s="172"/>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row>
    <row r="966" ht="15.75" customHeight="1" spans="1:51">
      <c r="A966" s="25"/>
      <c r="B966" s="172"/>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row>
    <row r="967" ht="15.75" customHeight="1" spans="1:51">
      <c r="A967" s="25"/>
      <c r="B967" s="172"/>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row>
    <row r="968" ht="15.75" customHeight="1" spans="1:51">
      <c r="A968" s="25"/>
      <c r="B968" s="172"/>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row>
    <row r="969" ht="15.75" customHeight="1" spans="1:51">
      <c r="A969" s="25"/>
      <c r="B969" s="172"/>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row>
    <row r="970" ht="15.75" customHeight="1" spans="1:51">
      <c r="A970" s="25"/>
      <c r="B970" s="172"/>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row>
    <row r="971" ht="15.75" customHeight="1" spans="1:51">
      <c r="A971" s="25"/>
      <c r="B971" s="172"/>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row>
    <row r="972" ht="15.75" customHeight="1" spans="1:51">
      <c r="A972" s="25"/>
      <c r="B972" s="172"/>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row>
    <row r="973" ht="15.75" customHeight="1" spans="1:51">
      <c r="A973" s="25"/>
      <c r="B973" s="172"/>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row>
    <row r="974" ht="15.75" customHeight="1" spans="1:51">
      <c r="A974" s="25"/>
      <c r="B974" s="172"/>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row>
    <row r="975" ht="15.75" customHeight="1" spans="1:51">
      <c r="A975" s="25"/>
      <c r="B975" s="172"/>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row>
    <row r="976" ht="15.75" customHeight="1" spans="1:51">
      <c r="A976" s="25"/>
      <c r="B976" s="172"/>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row>
    <row r="977" ht="15.75" customHeight="1" spans="1:51">
      <c r="A977" s="25"/>
      <c r="B977" s="172"/>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row>
    <row r="978" ht="15.75" customHeight="1" spans="1:51">
      <c r="A978" s="25"/>
      <c r="B978" s="172"/>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row>
    <row r="979" ht="15.75" customHeight="1" spans="1:51">
      <c r="A979" s="25"/>
      <c r="B979" s="172"/>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row>
    <row r="980" ht="15.75" customHeight="1" spans="1:51">
      <c r="A980" s="25"/>
      <c r="B980" s="172"/>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row>
    <row r="981" ht="15.75" customHeight="1" spans="1:51">
      <c r="A981" s="25"/>
      <c r="B981" s="172"/>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row>
    <row r="982" ht="15.75" customHeight="1" spans="1:51">
      <c r="A982" s="25"/>
      <c r="B982" s="172"/>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row>
    <row r="983" ht="15.75" customHeight="1" spans="1:51">
      <c r="A983" s="25"/>
      <c r="B983" s="172"/>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row>
    <row r="984" ht="15.75" customHeight="1" spans="1:51">
      <c r="A984" s="25"/>
      <c r="B984" s="172"/>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row>
    <row r="985" ht="15.75" customHeight="1" spans="1:51">
      <c r="A985" s="25"/>
      <c r="B985" s="172"/>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row>
    <row r="986" ht="15.75" customHeight="1" spans="1:51">
      <c r="A986" s="25"/>
      <c r="B986" s="172"/>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row>
    <row r="987" ht="15.75" customHeight="1" spans="1:51">
      <c r="A987" s="25"/>
      <c r="B987" s="172"/>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row>
    <row r="988" ht="15.75" customHeight="1" spans="1:51">
      <c r="A988" s="25"/>
      <c r="B988" s="172"/>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row>
    <row r="989" ht="15.75" customHeight="1" spans="1:51">
      <c r="A989" s="25"/>
      <c r="B989" s="172"/>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row>
    <row r="990" ht="15.75" customHeight="1" spans="1:51">
      <c r="A990" s="25"/>
      <c r="B990" s="172"/>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row>
    <row r="991" ht="15.75" customHeight="1" spans="1:51">
      <c r="A991" s="25"/>
      <c r="B991" s="172"/>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row>
    <row r="992" ht="15.75" customHeight="1" spans="1:51">
      <c r="A992" s="25"/>
      <c r="B992" s="172"/>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row>
    <row r="993" ht="15.75" customHeight="1" spans="1:51">
      <c r="A993" s="25"/>
      <c r="B993" s="172"/>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row>
    <row r="994" ht="15.75" customHeight="1" spans="1:51">
      <c r="A994" s="25"/>
      <c r="B994" s="172"/>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row>
    <row r="995" ht="15.75" customHeight="1" spans="1:51">
      <c r="A995" s="25"/>
      <c r="B995" s="172"/>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row>
    <row r="996" ht="15.75" customHeight="1" spans="1:51">
      <c r="A996" s="25"/>
      <c r="B996" s="172"/>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row>
    <row r="997" ht="15.75" customHeight="1" spans="1:51">
      <c r="A997" s="25"/>
      <c r="B997" s="172"/>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row>
    <row r="998" ht="15.75" customHeight="1" spans="1:51">
      <c r="A998" s="25"/>
      <c r="B998" s="172"/>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row>
    <row r="999" ht="15.75" customHeight="1" spans="1:51">
      <c r="A999" s="25"/>
      <c r="B999" s="172"/>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row>
    <row r="1000" ht="15.75" customHeight="1" spans="1:51">
      <c r="A1000" s="25"/>
      <c r="B1000" s="172"/>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row>
  </sheetData>
  <mergeCells count="1">
    <mergeCell ref="P1:AO1"/>
  </mergeCells>
  <pageMargins left="0.7" right="0.7" top="0.75" bottom="0.75" header="0" footer="0"/>
  <pageSetup paperSize="1" orientation="portrait"/>
  <headerFooter>
    <oddFooter>&amp;C000000000000&amp;P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1000"/>
  <sheetViews>
    <sheetView showGridLines="0" workbookViewId="0">
      <selection activeCell="B1" sqref="B$1:B$1048576"/>
    </sheetView>
  </sheetViews>
  <sheetFormatPr defaultColWidth="12.5714285714286" defaultRowHeight="15" customHeight="1"/>
  <cols>
    <col min="1" max="1" width="19.4285714285714" customWidth="1"/>
    <col min="2" max="2" width="18.4285714285714" style="139" customWidth="1"/>
    <col min="3" max="3" width="15.4285714285714" customWidth="1"/>
    <col min="4" max="4" width="19.4285714285714" customWidth="1"/>
    <col min="5" max="5" width="16.2857142857143" customWidth="1"/>
    <col min="6" max="9" width="15" customWidth="1"/>
    <col min="10" max="10" width="7.71428571428571" customWidth="1"/>
    <col min="11" max="11" width="15.2857142857143" customWidth="1"/>
    <col min="12" max="12" width="18.4285714285714" customWidth="1"/>
    <col min="13" max="14" width="16.7142857142857" customWidth="1"/>
    <col min="15" max="15" width="12.2857142857143" customWidth="1"/>
    <col min="16" max="16" width="13.8571428571429" customWidth="1"/>
    <col min="17" max="17" width="11.4285714285714" customWidth="1"/>
    <col min="18" max="18" width="13" customWidth="1"/>
    <col min="19" max="21" width="15" customWidth="1"/>
    <col min="22" max="22" width="12.8571428571429" customWidth="1"/>
    <col min="23" max="23" width="14.4285714285714" customWidth="1"/>
    <col min="24" max="40" width="19.1428571428571" customWidth="1"/>
    <col min="41" max="41" width="13.8571428571429" customWidth="1"/>
    <col min="42" max="51" width="9.14285714285714" customWidth="1"/>
  </cols>
  <sheetData>
    <row r="1" ht="15.75" customHeight="1" spans="1:51">
      <c r="A1" s="26" t="s">
        <v>189</v>
      </c>
      <c r="B1" s="140" t="s">
        <v>116</v>
      </c>
      <c r="C1" s="26" t="s">
        <v>156</v>
      </c>
      <c r="D1" s="26" t="s">
        <v>152</v>
      </c>
      <c r="E1" s="26" t="s">
        <v>190</v>
      </c>
      <c r="F1" s="26" t="s">
        <v>154</v>
      </c>
      <c r="G1" s="26" t="s">
        <v>155</v>
      </c>
      <c r="H1" s="26" t="s">
        <v>133</v>
      </c>
      <c r="I1" s="26" t="s">
        <v>157</v>
      </c>
      <c r="J1" s="26" t="s">
        <v>40</v>
      </c>
      <c r="K1" s="26" t="s">
        <v>158</v>
      </c>
      <c r="L1" s="26" t="s">
        <v>159</v>
      </c>
      <c r="M1" s="71" t="s">
        <v>160</v>
      </c>
      <c r="N1" s="26" t="s">
        <v>193</v>
      </c>
      <c r="O1" s="72"/>
      <c r="P1" s="73" t="s">
        <v>162</v>
      </c>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34"/>
      <c r="AP1" s="135"/>
      <c r="AQ1" s="69"/>
      <c r="AR1" s="69"/>
      <c r="AS1" s="69"/>
      <c r="AT1" s="69"/>
      <c r="AU1" s="69"/>
      <c r="AV1" s="69"/>
      <c r="AW1" s="69"/>
      <c r="AX1" s="69"/>
      <c r="AY1" s="69"/>
    </row>
    <row r="2" ht="15.75" customHeight="1" spans="1:51">
      <c r="A2" s="27"/>
      <c r="B2" s="141"/>
      <c r="C2" s="29"/>
      <c r="D2" s="27"/>
      <c r="E2" s="27"/>
      <c r="F2" s="27"/>
      <c r="G2" s="27"/>
      <c r="H2" s="27"/>
      <c r="I2" s="27"/>
      <c r="J2" s="29"/>
      <c r="K2" s="164"/>
      <c r="L2" s="75"/>
      <c r="M2" s="76"/>
      <c r="N2" s="165"/>
      <c r="O2" s="78">
        <v>0.7</v>
      </c>
      <c r="P2" s="79" t="s">
        <v>163</v>
      </c>
      <c r="Q2" s="129" t="s">
        <v>164</v>
      </c>
      <c r="R2" s="129" t="s">
        <v>165</v>
      </c>
      <c r="S2" s="129" t="s">
        <v>166</v>
      </c>
      <c r="T2" s="129" t="s">
        <v>167</v>
      </c>
      <c r="U2" s="130" t="s">
        <v>168</v>
      </c>
      <c r="V2" s="79" t="s">
        <v>169</v>
      </c>
      <c r="W2" s="130" t="s">
        <v>170</v>
      </c>
      <c r="X2" s="131" t="s">
        <v>195</v>
      </c>
      <c r="Y2" s="131" t="s">
        <v>196</v>
      </c>
      <c r="Z2" s="131" t="s">
        <v>197</v>
      </c>
      <c r="AA2" s="131" t="s">
        <v>198</v>
      </c>
      <c r="AB2" s="131" t="s">
        <v>199</v>
      </c>
      <c r="AC2" s="131" t="s">
        <v>200</v>
      </c>
      <c r="AD2" s="131" t="s">
        <v>201</v>
      </c>
      <c r="AE2" s="131" t="s">
        <v>202</v>
      </c>
      <c r="AF2" s="131" t="s">
        <v>203</v>
      </c>
      <c r="AG2" s="131" t="s">
        <v>204</v>
      </c>
      <c r="AH2" s="131" t="s">
        <v>205</v>
      </c>
      <c r="AI2" s="131" t="s">
        <v>206</v>
      </c>
      <c r="AJ2" s="131" t="s">
        <v>207</v>
      </c>
      <c r="AK2" s="131" t="s">
        <v>208</v>
      </c>
      <c r="AL2" s="131" t="s">
        <v>209</v>
      </c>
      <c r="AM2" s="131" t="s">
        <v>217</v>
      </c>
      <c r="AN2" s="131" t="s">
        <v>210</v>
      </c>
      <c r="AO2" s="131" t="s">
        <v>44</v>
      </c>
      <c r="AP2" s="135"/>
      <c r="AQ2" s="69"/>
      <c r="AR2" s="69"/>
      <c r="AS2" s="69"/>
      <c r="AT2" s="69"/>
      <c r="AU2" s="69"/>
      <c r="AV2" s="69"/>
      <c r="AW2" s="69"/>
      <c r="AX2" s="69"/>
      <c r="AY2" s="69"/>
    </row>
    <row r="3" ht="15.75" customHeight="1" spans="1:51">
      <c r="A3" s="142" t="s">
        <v>139</v>
      </c>
      <c r="B3" s="143">
        <v>45108</v>
      </c>
      <c r="C3" s="32">
        <v>705500</v>
      </c>
      <c r="D3" s="32">
        <f t="shared" ref="D3:D33" si="0">C3-E3-F3-G3-H3</f>
        <v>701500</v>
      </c>
      <c r="E3" s="33"/>
      <c r="F3" s="33"/>
      <c r="G3" s="33">
        <v>4000</v>
      </c>
      <c r="H3" s="33"/>
      <c r="I3" s="33">
        <f>'Détail Dépenses'!Y85</f>
        <v>311750</v>
      </c>
      <c r="J3" s="80">
        <f t="shared" ref="J3:J33" si="1">I3/C3</f>
        <v>0.441885187810064</v>
      </c>
      <c r="K3" s="85">
        <f t="shared" ref="K3:K33" si="2">D3-I3</f>
        <v>389750</v>
      </c>
      <c r="L3" s="81">
        <f>419750-30000</f>
        <v>389750</v>
      </c>
      <c r="M3" s="81">
        <f t="shared" ref="M3:M33" si="3">L3-K3</f>
        <v>0</v>
      </c>
      <c r="N3" s="86">
        <f t="shared" ref="N3:N33" si="4">N2+L3</f>
        <v>389750</v>
      </c>
      <c r="O3" s="83"/>
      <c r="P3" s="84"/>
      <c r="Q3" s="84"/>
      <c r="R3" s="84"/>
      <c r="S3" s="84"/>
      <c r="T3" s="84"/>
      <c r="U3" s="84"/>
      <c r="V3" s="84">
        <v>15500</v>
      </c>
      <c r="W3" s="84"/>
      <c r="X3" s="84">
        <v>43000</v>
      </c>
      <c r="Y3" s="84"/>
      <c r="Z3" s="84">
        <v>2000</v>
      </c>
      <c r="AA3" s="84"/>
      <c r="AB3" s="84">
        <v>500</v>
      </c>
      <c r="AC3" s="84"/>
      <c r="AD3" s="84"/>
      <c r="AE3" s="84"/>
      <c r="AF3" s="84"/>
      <c r="AG3" s="84"/>
      <c r="AH3" s="84"/>
      <c r="AI3" s="84"/>
      <c r="AJ3" s="84"/>
      <c r="AK3" s="84"/>
      <c r="AL3" s="84"/>
      <c r="AM3" s="84"/>
      <c r="AN3" s="84">
        <v>1000</v>
      </c>
      <c r="AO3" s="136">
        <f t="shared" ref="AO3:AO33" si="5">SUM(P3:AN3)</f>
        <v>62000</v>
      </c>
      <c r="AP3" s="133"/>
      <c r="AQ3" s="69"/>
      <c r="AR3" s="69"/>
      <c r="AS3" s="69"/>
      <c r="AT3" s="69"/>
      <c r="AU3" s="69"/>
      <c r="AV3" s="69"/>
      <c r="AW3" s="69"/>
      <c r="AX3" s="69"/>
      <c r="AY3" s="69"/>
    </row>
    <row r="4" ht="15.75" customHeight="1" spans="1:51">
      <c r="A4" s="144" t="s">
        <v>140</v>
      </c>
      <c r="B4" s="145">
        <v>45109</v>
      </c>
      <c r="C4" s="44">
        <f>475000-11500</f>
        <v>463500</v>
      </c>
      <c r="D4" s="41">
        <f t="shared" si="0"/>
        <v>463500</v>
      </c>
      <c r="E4" s="42"/>
      <c r="F4" s="42"/>
      <c r="G4" s="42"/>
      <c r="H4" s="42"/>
      <c r="I4" s="42">
        <f>'Détail Dépenses'!Y86</f>
        <v>1641600</v>
      </c>
      <c r="J4" s="89">
        <f t="shared" si="1"/>
        <v>3.54174757281553</v>
      </c>
      <c r="K4" s="85">
        <f t="shared" si="2"/>
        <v>-1178100</v>
      </c>
      <c r="L4" s="90">
        <f>337500-1515750</f>
        <v>-1178250</v>
      </c>
      <c r="M4" s="90">
        <f t="shared" si="3"/>
        <v>-150</v>
      </c>
      <c r="N4" s="91">
        <f t="shared" si="4"/>
        <v>-788500</v>
      </c>
      <c r="O4" s="92"/>
      <c r="P4" s="93"/>
      <c r="Q4" s="93"/>
      <c r="R4" s="93"/>
      <c r="S4" s="93"/>
      <c r="T4" s="93"/>
      <c r="U4" s="93"/>
      <c r="V4" s="93">
        <v>9500</v>
      </c>
      <c r="W4" s="93"/>
      <c r="X4" s="93">
        <v>174500</v>
      </c>
      <c r="Y4" s="93">
        <v>11500</v>
      </c>
      <c r="Z4" s="93"/>
      <c r="AA4" s="93"/>
      <c r="AB4" s="93">
        <v>1000</v>
      </c>
      <c r="AC4" s="93"/>
      <c r="AD4" s="93"/>
      <c r="AE4" s="93"/>
      <c r="AF4" s="93"/>
      <c r="AG4" s="93"/>
      <c r="AH4" s="93"/>
      <c r="AI4" s="93"/>
      <c r="AJ4" s="93"/>
      <c r="AK4" s="93"/>
      <c r="AL4" s="93"/>
      <c r="AM4" s="93"/>
      <c r="AN4" s="93"/>
      <c r="AO4" s="138">
        <f t="shared" si="5"/>
        <v>196500</v>
      </c>
      <c r="AP4" s="133"/>
      <c r="AQ4" s="69"/>
      <c r="AR4" s="69"/>
      <c r="AS4" s="69"/>
      <c r="AT4" s="69"/>
      <c r="AU4" s="69"/>
      <c r="AV4" s="69"/>
      <c r="AW4" s="69"/>
      <c r="AX4" s="69"/>
      <c r="AY4" s="69"/>
    </row>
    <row r="5" ht="15.75" customHeight="1" spans="1:51">
      <c r="A5" s="142" t="s">
        <v>141</v>
      </c>
      <c r="B5" s="143">
        <v>45110</v>
      </c>
      <c r="C5" s="43">
        <v>465000</v>
      </c>
      <c r="D5" s="32">
        <f t="shared" si="0"/>
        <v>462000</v>
      </c>
      <c r="E5" s="33"/>
      <c r="F5" s="33"/>
      <c r="G5" s="33">
        <v>3000</v>
      </c>
      <c r="H5" s="33"/>
      <c r="I5" s="33">
        <f>'Détail Dépenses'!Y87</f>
        <v>255250</v>
      </c>
      <c r="J5" s="80">
        <f t="shared" si="1"/>
        <v>0.548924731182796</v>
      </c>
      <c r="K5" s="85">
        <f t="shared" si="2"/>
        <v>206750</v>
      </c>
      <c r="L5" s="81">
        <f>296600-10000-80000</f>
        <v>206600</v>
      </c>
      <c r="M5" s="81">
        <f t="shared" si="3"/>
        <v>-150</v>
      </c>
      <c r="N5" s="166">
        <f t="shared" si="4"/>
        <v>-581900</v>
      </c>
      <c r="O5" s="167"/>
      <c r="P5" s="84">
        <v>3500</v>
      </c>
      <c r="Q5" s="84">
        <v>2000</v>
      </c>
      <c r="R5" s="84">
        <v>15000</v>
      </c>
      <c r="S5" s="84"/>
      <c r="T5" s="84"/>
      <c r="U5" s="84"/>
      <c r="V5" s="84">
        <v>5500</v>
      </c>
      <c r="W5" s="84"/>
      <c r="X5" s="84">
        <v>41500</v>
      </c>
      <c r="Y5" s="84"/>
      <c r="Z5" s="84">
        <v>2000</v>
      </c>
      <c r="AA5" s="84"/>
      <c r="AB5" s="84">
        <v>2000</v>
      </c>
      <c r="AC5" s="84"/>
      <c r="AD5" s="84"/>
      <c r="AE5" s="84"/>
      <c r="AF5" s="84"/>
      <c r="AG5" s="84"/>
      <c r="AH5" s="84"/>
      <c r="AI5" s="84"/>
      <c r="AJ5" s="84"/>
      <c r="AK5" s="84"/>
      <c r="AL5" s="84"/>
      <c r="AM5" s="84"/>
      <c r="AN5" s="84">
        <v>1000</v>
      </c>
      <c r="AO5" s="136">
        <f t="shared" si="5"/>
        <v>72500</v>
      </c>
      <c r="AP5" s="133"/>
      <c r="AQ5" s="69"/>
      <c r="AR5" s="69"/>
      <c r="AS5" s="69"/>
      <c r="AT5" s="69"/>
      <c r="AU5" s="69"/>
      <c r="AV5" s="69"/>
      <c r="AW5" s="69"/>
      <c r="AX5" s="69"/>
      <c r="AY5" s="69"/>
    </row>
    <row r="6" ht="15.75" customHeight="1" spans="1:51">
      <c r="A6" s="146" t="s">
        <v>142</v>
      </c>
      <c r="B6" s="147">
        <v>45111</v>
      </c>
      <c r="C6" s="37">
        <v>355750</v>
      </c>
      <c r="D6" s="37">
        <f t="shared" si="0"/>
        <v>355750</v>
      </c>
      <c r="E6" s="38"/>
      <c r="F6" s="38"/>
      <c r="G6" s="38"/>
      <c r="H6" s="38"/>
      <c r="I6" s="38">
        <f>'Détail Dépenses'!Y88</f>
        <v>114550</v>
      </c>
      <c r="J6" s="24">
        <f t="shared" si="1"/>
        <v>0.321995783555868</v>
      </c>
      <c r="K6" s="85">
        <f t="shared" si="2"/>
        <v>241200</v>
      </c>
      <c r="L6" s="85">
        <f>261500-20000</f>
        <v>241500</v>
      </c>
      <c r="M6" s="85">
        <f t="shared" si="3"/>
        <v>300</v>
      </c>
      <c r="N6" s="86">
        <f t="shared" si="4"/>
        <v>-340400</v>
      </c>
      <c r="O6" s="92"/>
      <c r="P6" s="88">
        <v>9000</v>
      </c>
      <c r="Q6" s="88"/>
      <c r="R6" s="88"/>
      <c r="S6" s="88"/>
      <c r="T6" s="88"/>
      <c r="U6" s="88"/>
      <c r="V6" s="88">
        <v>7000</v>
      </c>
      <c r="W6" s="88"/>
      <c r="X6" s="88">
        <v>43000</v>
      </c>
      <c r="Y6" s="88">
        <v>8000</v>
      </c>
      <c r="Z6" s="88">
        <v>2000</v>
      </c>
      <c r="AA6" s="88">
        <v>1500</v>
      </c>
      <c r="AB6" s="88"/>
      <c r="AC6" s="88"/>
      <c r="AD6" s="88"/>
      <c r="AE6" s="88"/>
      <c r="AF6" s="88">
        <v>500</v>
      </c>
      <c r="AG6" s="88"/>
      <c r="AH6" s="88"/>
      <c r="AI6" s="88"/>
      <c r="AJ6" s="88"/>
      <c r="AK6" s="88"/>
      <c r="AL6" s="88"/>
      <c r="AM6" s="88"/>
      <c r="AN6" s="88">
        <v>1500</v>
      </c>
      <c r="AO6" s="137">
        <f t="shared" si="5"/>
        <v>72500</v>
      </c>
      <c r="AP6" s="133"/>
      <c r="AQ6" s="69"/>
      <c r="AR6" s="69"/>
      <c r="AS6" s="69"/>
      <c r="AT6" s="69"/>
      <c r="AU6" s="69"/>
      <c r="AV6" s="69"/>
      <c r="AW6" s="69"/>
      <c r="AX6" s="69"/>
      <c r="AY6" s="69"/>
    </row>
    <row r="7" ht="15.75" customHeight="1" spans="1:51">
      <c r="A7" s="146" t="s">
        <v>143</v>
      </c>
      <c r="B7" s="147">
        <v>45112</v>
      </c>
      <c r="C7" s="37">
        <v>1286500</v>
      </c>
      <c r="D7" s="37">
        <f t="shared" si="0"/>
        <v>1110500</v>
      </c>
      <c r="E7" s="38">
        <v>176000</v>
      </c>
      <c r="F7" s="38"/>
      <c r="G7" s="38"/>
      <c r="H7" s="38"/>
      <c r="I7" s="38">
        <f>'Détail Dépenses'!Y89</f>
        <v>509900</v>
      </c>
      <c r="J7" s="24">
        <f t="shared" si="1"/>
        <v>0.396346677030703</v>
      </c>
      <c r="K7" s="85">
        <f t="shared" si="2"/>
        <v>600600</v>
      </c>
      <c r="L7" s="85">
        <f>890500-200000-10000-80000</f>
        <v>600500</v>
      </c>
      <c r="M7" s="85">
        <f t="shared" si="3"/>
        <v>-100</v>
      </c>
      <c r="N7" s="86">
        <f t="shared" si="4"/>
        <v>260100</v>
      </c>
      <c r="O7" s="83"/>
      <c r="P7" s="88">
        <v>10000</v>
      </c>
      <c r="Q7" s="88">
        <v>56500</v>
      </c>
      <c r="R7" s="88">
        <v>18000</v>
      </c>
      <c r="S7" s="88">
        <v>18500</v>
      </c>
      <c r="T7" s="88"/>
      <c r="U7" s="88"/>
      <c r="V7" s="88"/>
      <c r="W7" s="88"/>
      <c r="X7" s="88">
        <v>161000</v>
      </c>
      <c r="Y7" s="88">
        <v>34000</v>
      </c>
      <c r="Z7" s="88"/>
      <c r="AA7" s="88"/>
      <c r="AB7" s="88">
        <v>2000</v>
      </c>
      <c r="AC7" s="88"/>
      <c r="AD7" s="88"/>
      <c r="AE7" s="88"/>
      <c r="AF7" s="88">
        <v>500</v>
      </c>
      <c r="AG7" s="88"/>
      <c r="AH7" s="88"/>
      <c r="AI7" s="88"/>
      <c r="AJ7" s="88"/>
      <c r="AK7" s="88"/>
      <c r="AL7" s="88"/>
      <c r="AM7" s="88"/>
      <c r="AN7" s="88">
        <v>3000</v>
      </c>
      <c r="AO7" s="137">
        <f t="shared" si="5"/>
        <v>303500</v>
      </c>
      <c r="AP7" s="133"/>
      <c r="AQ7" s="69"/>
      <c r="AR7" s="69"/>
      <c r="AS7" s="69"/>
      <c r="AT7" s="69"/>
      <c r="AU7" s="69"/>
      <c r="AV7" s="69"/>
      <c r="AW7" s="69"/>
      <c r="AX7" s="69"/>
      <c r="AY7" s="69"/>
    </row>
    <row r="8" ht="15.75" customHeight="1" spans="1:51">
      <c r="A8" s="146" t="s">
        <v>144</v>
      </c>
      <c r="B8" s="147">
        <v>45113</v>
      </c>
      <c r="C8" s="37">
        <v>566000</v>
      </c>
      <c r="D8" s="37">
        <f t="shared" si="0"/>
        <v>566000</v>
      </c>
      <c r="E8" s="38"/>
      <c r="F8" s="38"/>
      <c r="G8" s="38"/>
      <c r="H8" s="38"/>
      <c r="I8" s="38">
        <f>'Détail Dépenses'!Y90</f>
        <v>231200</v>
      </c>
      <c r="J8" s="24">
        <f t="shared" si="1"/>
        <v>0.408480565371025</v>
      </c>
      <c r="K8" s="85">
        <f t="shared" si="2"/>
        <v>334800</v>
      </c>
      <c r="L8" s="85">
        <v>335000</v>
      </c>
      <c r="M8" s="85">
        <f t="shared" si="3"/>
        <v>200</v>
      </c>
      <c r="N8" s="86">
        <f t="shared" si="4"/>
        <v>595100</v>
      </c>
      <c r="O8" s="87"/>
      <c r="P8" s="88">
        <v>1000</v>
      </c>
      <c r="Q8" s="88">
        <f>18500+13000</f>
        <v>31500</v>
      </c>
      <c r="R8" s="88"/>
      <c r="S8" s="88"/>
      <c r="T8" s="88"/>
      <c r="U8" s="88"/>
      <c r="V8" s="88">
        <v>3500</v>
      </c>
      <c r="W8" s="88"/>
      <c r="X8" s="88">
        <v>97500</v>
      </c>
      <c r="Y8" s="88">
        <v>40000</v>
      </c>
      <c r="Z8" s="88">
        <v>2000</v>
      </c>
      <c r="AA8" s="88"/>
      <c r="AB8" s="88"/>
      <c r="AC8" s="88"/>
      <c r="AD8" s="88"/>
      <c r="AE8" s="88"/>
      <c r="AF8" s="88">
        <v>500</v>
      </c>
      <c r="AG8" s="88"/>
      <c r="AH8" s="88"/>
      <c r="AI8" s="88">
        <v>500</v>
      </c>
      <c r="AJ8" s="88"/>
      <c r="AK8" s="88"/>
      <c r="AL8" s="88"/>
      <c r="AM8" s="88"/>
      <c r="AN8" s="88"/>
      <c r="AO8" s="137">
        <f t="shared" si="5"/>
        <v>176500</v>
      </c>
      <c r="AP8" s="133"/>
      <c r="AQ8" s="69"/>
      <c r="AR8" s="69"/>
      <c r="AS8" s="69"/>
      <c r="AT8" s="69"/>
      <c r="AU8" s="69"/>
      <c r="AV8" s="69"/>
      <c r="AW8" s="69"/>
      <c r="AX8" s="69"/>
      <c r="AY8" s="69"/>
    </row>
    <row r="9" ht="15.75" customHeight="1" spans="1:51">
      <c r="A9" s="146" t="s">
        <v>145</v>
      </c>
      <c r="B9" s="147">
        <v>45114</v>
      </c>
      <c r="C9" s="36">
        <v>1675250</v>
      </c>
      <c r="D9" s="37">
        <f t="shared" si="0"/>
        <v>1664750</v>
      </c>
      <c r="E9" s="38"/>
      <c r="F9" s="38"/>
      <c r="G9" s="38">
        <v>10500</v>
      </c>
      <c r="H9" s="38"/>
      <c r="I9" s="38">
        <f>'Détail Dépenses'!Y91</f>
        <v>242025</v>
      </c>
      <c r="J9" s="24">
        <f t="shared" si="1"/>
        <v>0.144470974481421</v>
      </c>
      <c r="K9" s="85">
        <f t="shared" si="2"/>
        <v>1422725</v>
      </c>
      <c r="L9" s="85">
        <v>1422500</v>
      </c>
      <c r="M9" s="85">
        <f t="shared" si="3"/>
        <v>-225</v>
      </c>
      <c r="N9" s="86">
        <f t="shared" si="4"/>
        <v>2017600</v>
      </c>
      <c r="O9" s="87"/>
      <c r="P9" s="88"/>
      <c r="Q9" s="88"/>
      <c r="R9" s="88"/>
      <c r="S9" s="88">
        <v>5000</v>
      </c>
      <c r="T9" s="88"/>
      <c r="U9" s="88"/>
      <c r="V9" s="88">
        <v>3000</v>
      </c>
      <c r="W9" s="88"/>
      <c r="X9" s="88">
        <v>253000</v>
      </c>
      <c r="Y9" s="88"/>
      <c r="Z9" s="88">
        <v>2000</v>
      </c>
      <c r="AA9" s="88"/>
      <c r="AB9" s="88">
        <v>1000</v>
      </c>
      <c r="AC9" s="88"/>
      <c r="AD9" s="88"/>
      <c r="AE9" s="88"/>
      <c r="AF9" s="88"/>
      <c r="AG9" s="88"/>
      <c r="AH9" s="88"/>
      <c r="AI9" s="88"/>
      <c r="AJ9" s="88"/>
      <c r="AK9" s="88"/>
      <c r="AL9" s="88"/>
      <c r="AM9" s="88"/>
      <c r="AN9" s="88">
        <v>2000</v>
      </c>
      <c r="AO9" s="137">
        <f t="shared" si="5"/>
        <v>266000</v>
      </c>
      <c r="AP9" s="133"/>
      <c r="AQ9" s="69"/>
      <c r="AR9" s="69"/>
      <c r="AS9" s="69"/>
      <c r="AT9" s="69"/>
      <c r="AU9" s="69"/>
      <c r="AV9" s="69"/>
      <c r="AW9" s="69"/>
      <c r="AX9" s="69"/>
      <c r="AY9" s="69"/>
    </row>
    <row r="10" ht="15.75" customHeight="1" spans="1:51">
      <c r="A10" s="146" t="s">
        <v>139</v>
      </c>
      <c r="B10" s="147">
        <v>45115</v>
      </c>
      <c r="C10" s="36">
        <v>1010250</v>
      </c>
      <c r="D10" s="37">
        <f t="shared" si="0"/>
        <v>1001250</v>
      </c>
      <c r="E10" s="38"/>
      <c r="F10" s="38"/>
      <c r="G10" s="38">
        <v>9000</v>
      </c>
      <c r="H10" s="38"/>
      <c r="I10" s="38">
        <f>'Détail Dépenses'!Y92</f>
        <v>937650</v>
      </c>
      <c r="J10" s="24">
        <f t="shared" si="1"/>
        <v>0.928136599851522</v>
      </c>
      <c r="K10" s="85">
        <f t="shared" si="2"/>
        <v>63600</v>
      </c>
      <c r="L10" s="85">
        <f>733700-270000-400000</f>
        <v>63700</v>
      </c>
      <c r="M10" s="85">
        <f t="shared" si="3"/>
        <v>100</v>
      </c>
      <c r="N10" s="86">
        <f t="shared" si="4"/>
        <v>2081300</v>
      </c>
      <c r="O10" s="87"/>
      <c r="P10" s="88">
        <v>47500</v>
      </c>
      <c r="Q10" s="88"/>
      <c r="R10" s="88">
        <v>16000</v>
      </c>
      <c r="S10" s="88"/>
      <c r="T10" s="88"/>
      <c r="U10" s="88"/>
      <c r="V10" s="88">
        <v>7000</v>
      </c>
      <c r="W10" s="88"/>
      <c r="X10" s="88">
        <v>172000</v>
      </c>
      <c r="Y10" s="88"/>
      <c r="Z10" s="88"/>
      <c r="AA10" s="88"/>
      <c r="AB10" s="88">
        <v>2000</v>
      </c>
      <c r="AC10" s="88"/>
      <c r="AD10" s="88"/>
      <c r="AE10" s="88"/>
      <c r="AF10" s="88">
        <v>500</v>
      </c>
      <c r="AG10" s="88">
        <v>500</v>
      </c>
      <c r="AH10" s="88"/>
      <c r="AI10" s="88"/>
      <c r="AJ10" s="88"/>
      <c r="AK10" s="88"/>
      <c r="AL10" s="88"/>
      <c r="AM10" s="88"/>
      <c r="AN10" s="88">
        <v>1000</v>
      </c>
      <c r="AO10" s="137">
        <f t="shared" si="5"/>
        <v>246500</v>
      </c>
      <c r="AP10" s="133"/>
      <c r="AQ10" s="69"/>
      <c r="AR10" s="69"/>
      <c r="AS10" s="69"/>
      <c r="AT10" s="69"/>
      <c r="AU10" s="69"/>
      <c r="AV10" s="69"/>
      <c r="AW10" s="69"/>
      <c r="AX10" s="69"/>
      <c r="AY10" s="69"/>
    </row>
    <row r="11" ht="15.75" customHeight="1" spans="1:51">
      <c r="A11" s="144" t="s">
        <v>140</v>
      </c>
      <c r="B11" s="145">
        <v>45116</v>
      </c>
      <c r="C11" s="41">
        <v>1693000</v>
      </c>
      <c r="D11" s="41">
        <f t="shared" si="0"/>
        <v>1693000</v>
      </c>
      <c r="E11" s="42"/>
      <c r="F11" s="42"/>
      <c r="G11" s="42"/>
      <c r="H11" s="42"/>
      <c r="I11" s="42">
        <f>'Détail Dépenses'!Y93</f>
        <v>1763350</v>
      </c>
      <c r="J11" s="89">
        <f t="shared" si="1"/>
        <v>1.04155345540461</v>
      </c>
      <c r="K11" s="85">
        <f t="shared" si="2"/>
        <v>-70350</v>
      </c>
      <c r="L11" s="90">
        <f>1535000-1605050</f>
        <v>-70050</v>
      </c>
      <c r="M11" s="90">
        <f t="shared" si="3"/>
        <v>300</v>
      </c>
      <c r="N11" s="91">
        <f t="shared" si="4"/>
        <v>2011250</v>
      </c>
      <c r="O11" s="92"/>
      <c r="P11" s="93">
        <v>8000</v>
      </c>
      <c r="Q11" s="93"/>
      <c r="R11" s="93">
        <v>33000</v>
      </c>
      <c r="S11" s="93"/>
      <c r="T11" s="93"/>
      <c r="U11" s="93"/>
      <c r="V11" s="93">
        <v>11500</v>
      </c>
      <c r="W11" s="93"/>
      <c r="X11" s="93">
        <v>135500</v>
      </c>
      <c r="Y11" s="93"/>
      <c r="Z11" s="93">
        <v>2000</v>
      </c>
      <c r="AA11" s="93"/>
      <c r="AB11" s="93">
        <v>2000</v>
      </c>
      <c r="AC11" s="93"/>
      <c r="AD11" s="93"/>
      <c r="AE11" s="93"/>
      <c r="AF11" s="93">
        <v>2000</v>
      </c>
      <c r="AG11" s="93"/>
      <c r="AH11" s="93"/>
      <c r="AI11" s="93"/>
      <c r="AJ11" s="93"/>
      <c r="AK11" s="93"/>
      <c r="AL11" s="93"/>
      <c r="AM11" s="93"/>
      <c r="AN11" s="93">
        <v>1000</v>
      </c>
      <c r="AO11" s="138">
        <f t="shared" si="5"/>
        <v>195000</v>
      </c>
      <c r="AP11" s="133"/>
      <c r="AQ11" s="69"/>
      <c r="AR11" s="69"/>
      <c r="AS11" s="69"/>
      <c r="AT11" s="69"/>
      <c r="AU11" s="69"/>
      <c r="AV11" s="69"/>
      <c r="AW11" s="69"/>
      <c r="AX11" s="69"/>
      <c r="AY11" s="69"/>
    </row>
    <row r="12" ht="15.75" customHeight="1" spans="1:51">
      <c r="A12" s="142" t="s">
        <v>141</v>
      </c>
      <c r="B12" s="143">
        <v>45117</v>
      </c>
      <c r="C12" s="32">
        <v>394250</v>
      </c>
      <c r="D12" s="32">
        <f t="shared" si="0"/>
        <v>391250</v>
      </c>
      <c r="E12" s="33"/>
      <c r="F12" s="33"/>
      <c r="G12" s="33">
        <v>3000</v>
      </c>
      <c r="H12" s="33"/>
      <c r="I12" s="33">
        <f>'Détail Dépenses'!Y94</f>
        <v>330150</v>
      </c>
      <c r="J12" s="80">
        <f t="shared" si="1"/>
        <v>0.837412809131262</v>
      </c>
      <c r="K12" s="85">
        <f t="shared" si="2"/>
        <v>61100</v>
      </c>
      <c r="L12" s="81">
        <f>111100-50000</f>
        <v>61100</v>
      </c>
      <c r="M12" s="81">
        <f t="shared" si="3"/>
        <v>0</v>
      </c>
      <c r="N12" s="166">
        <f t="shared" si="4"/>
        <v>2072350</v>
      </c>
      <c r="O12" s="167"/>
      <c r="P12" s="84">
        <v>8000</v>
      </c>
      <c r="Q12" s="84">
        <v>13000</v>
      </c>
      <c r="R12" s="84">
        <v>11500</v>
      </c>
      <c r="S12" s="84">
        <v>6000</v>
      </c>
      <c r="T12" s="84">
        <v>25000</v>
      </c>
      <c r="U12" s="84">
        <v>11000</v>
      </c>
      <c r="V12" s="84">
        <v>4500</v>
      </c>
      <c r="W12" s="84"/>
      <c r="X12" s="84">
        <v>81000</v>
      </c>
      <c r="Y12" s="84"/>
      <c r="Z12" s="84"/>
      <c r="AA12" s="84"/>
      <c r="AB12" s="84">
        <v>500</v>
      </c>
      <c r="AC12" s="84"/>
      <c r="AD12" s="84"/>
      <c r="AE12" s="84"/>
      <c r="AF12" s="84"/>
      <c r="AG12" s="84"/>
      <c r="AH12" s="84"/>
      <c r="AI12" s="84"/>
      <c r="AJ12" s="84">
        <v>500</v>
      </c>
      <c r="AK12" s="84"/>
      <c r="AL12" s="84"/>
      <c r="AM12" s="84"/>
      <c r="AN12" s="84">
        <v>500</v>
      </c>
      <c r="AO12" s="136">
        <f t="shared" si="5"/>
        <v>161500</v>
      </c>
      <c r="AP12" s="133"/>
      <c r="AQ12" s="69"/>
      <c r="AR12" s="69"/>
      <c r="AS12" s="69"/>
      <c r="AT12" s="69"/>
      <c r="AU12" s="69"/>
      <c r="AV12" s="69"/>
      <c r="AW12" s="69"/>
      <c r="AX12" s="69"/>
      <c r="AY12" s="69"/>
    </row>
    <row r="13" ht="15.75" customHeight="1" spans="1:51">
      <c r="A13" s="146" t="s">
        <v>142</v>
      </c>
      <c r="B13" s="147">
        <v>45118</v>
      </c>
      <c r="C13" s="37">
        <v>388250</v>
      </c>
      <c r="D13" s="37">
        <f t="shared" si="0"/>
        <v>388250</v>
      </c>
      <c r="E13" s="38"/>
      <c r="F13" s="38"/>
      <c r="G13" s="38"/>
      <c r="H13" s="38"/>
      <c r="I13" s="38">
        <f>'Détail Dépenses'!Y95</f>
        <v>78450</v>
      </c>
      <c r="J13" s="24">
        <f t="shared" si="1"/>
        <v>0.202060528010303</v>
      </c>
      <c r="K13" s="85">
        <f t="shared" si="2"/>
        <v>309800</v>
      </c>
      <c r="L13" s="85">
        <v>309000</v>
      </c>
      <c r="M13" s="85">
        <f t="shared" si="3"/>
        <v>-800</v>
      </c>
      <c r="N13" s="86">
        <f t="shared" si="4"/>
        <v>2381350</v>
      </c>
      <c r="O13" s="92"/>
      <c r="P13" s="88">
        <v>6000</v>
      </c>
      <c r="Q13" s="88"/>
      <c r="R13" s="88"/>
      <c r="S13" s="88"/>
      <c r="T13" s="88"/>
      <c r="U13" s="88"/>
      <c r="V13" s="88"/>
      <c r="W13" s="88"/>
      <c r="X13" s="88">
        <v>44500</v>
      </c>
      <c r="Y13" s="88">
        <v>9000</v>
      </c>
      <c r="Z13" s="88">
        <f>500+500</f>
        <v>1000</v>
      </c>
      <c r="AA13" s="88">
        <v>1500</v>
      </c>
      <c r="AB13" s="88"/>
      <c r="AC13" s="88"/>
      <c r="AD13" s="88"/>
      <c r="AE13" s="88"/>
      <c r="AF13" s="88"/>
      <c r="AG13" s="88"/>
      <c r="AH13" s="88"/>
      <c r="AI13" s="88"/>
      <c r="AJ13" s="88"/>
      <c r="AK13" s="88"/>
      <c r="AL13" s="88"/>
      <c r="AM13" s="88"/>
      <c r="AN13" s="88"/>
      <c r="AO13" s="137">
        <f t="shared" si="5"/>
        <v>62000</v>
      </c>
      <c r="AP13" s="133"/>
      <c r="AQ13" s="69"/>
      <c r="AR13" s="69"/>
      <c r="AS13" s="69"/>
      <c r="AT13" s="69"/>
      <c r="AU13" s="69"/>
      <c r="AV13" s="69"/>
      <c r="AW13" s="69"/>
      <c r="AX13" s="69"/>
      <c r="AY13" s="69"/>
    </row>
    <row r="14" ht="15.75" customHeight="1" spans="1:51">
      <c r="A14" s="146" t="s">
        <v>143</v>
      </c>
      <c r="B14" s="147">
        <v>45119</v>
      </c>
      <c r="C14" s="36">
        <v>1230500</v>
      </c>
      <c r="D14" s="37">
        <f t="shared" si="0"/>
        <v>1221000</v>
      </c>
      <c r="E14" s="38">
        <v>9500</v>
      </c>
      <c r="F14" s="38"/>
      <c r="G14" s="38"/>
      <c r="H14" s="38"/>
      <c r="I14" s="38">
        <f>'Détail Dépenses'!Y96</f>
        <v>389925</v>
      </c>
      <c r="J14" s="24">
        <f t="shared" si="1"/>
        <v>0.316883380739537</v>
      </c>
      <c r="K14" s="85">
        <f t="shared" si="2"/>
        <v>831075</v>
      </c>
      <c r="L14" s="85">
        <f>1063000-106000-5000-8000-3600-100000-10000</f>
        <v>830400</v>
      </c>
      <c r="M14" s="85">
        <f t="shared" si="3"/>
        <v>-675</v>
      </c>
      <c r="N14" s="86">
        <f t="shared" si="4"/>
        <v>3211750</v>
      </c>
      <c r="O14" s="83"/>
      <c r="P14" s="88">
        <v>6500</v>
      </c>
      <c r="Q14" s="88"/>
      <c r="R14" s="88">
        <v>20500</v>
      </c>
      <c r="S14" s="88"/>
      <c r="T14" s="88"/>
      <c r="U14" s="88"/>
      <c r="V14" s="88"/>
      <c r="W14" s="88">
        <v>5000</v>
      </c>
      <c r="X14" s="88">
        <v>161000</v>
      </c>
      <c r="Y14" s="88">
        <f>45000+28500+7500</f>
        <v>81000</v>
      </c>
      <c r="Z14" s="88"/>
      <c r="AA14" s="88"/>
      <c r="AB14" s="88">
        <v>2500</v>
      </c>
      <c r="AC14" s="88"/>
      <c r="AD14" s="88">
        <v>4500</v>
      </c>
      <c r="AE14" s="88"/>
      <c r="AF14" s="88">
        <v>500</v>
      </c>
      <c r="AG14" s="88"/>
      <c r="AH14" s="88"/>
      <c r="AI14" s="88"/>
      <c r="AJ14" s="88"/>
      <c r="AK14" s="88"/>
      <c r="AL14" s="88"/>
      <c r="AM14" s="88"/>
      <c r="AN14" s="88">
        <v>1000</v>
      </c>
      <c r="AO14" s="137">
        <f t="shared" si="5"/>
        <v>282500</v>
      </c>
      <c r="AP14" s="133"/>
      <c r="AQ14" s="69"/>
      <c r="AR14" s="69"/>
      <c r="AS14" s="69"/>
      <c r="AT14" s="69"/>
      <c r="AU14" s="69"/>
      <c r="AV14" s="69"/>
      <c r="AW14" s="69"/>
      <c r="AX14" s="69"/>
      <c r="AY14" s="69"/>
    </row>
    <row r="15" ht="15.75" customHeight="1" spans="1:51">
      <c r="A15" s="146" t="s">
        <v>144</v>
      </c>
      <c r="B15" s="147">
        <v>45120</v>
      </c>
      <c r="C15" s="36">
        <v>1125500</v>
      </c>
      <c r="D15" s="37">
        <f t="shared" si="0"/>
        <v>1125500</v>
      </c>
      <c r="E15" s="38"/>
      <c r="F15" s="38"/>
      <c r="G15" s="38"/>
      <c r="H15" s="38"/>
      <c r="I15" s="38">
        <f>'Détail Dépenses'!Y97</f>
        <v>454775</v>
      </c>
      <c r="J15" s="24">
        <f t="shared" si="1"/>
        <v>0.404064860062195</v>
      </c>
      <c r="K15" s="85">
        <f t="shared" si="2"/>
        <v>670725</v>
      </c>
      <c r="L15" s="85">
        <f>870000-200000</f>
        <v>670000</v>
      </c>
      <c r="M15" s="85">
        <f t="shared" si="3"/>
        <v>-725</v>
      </c>
      <c r="N15" s="86">
        <f t="shared" si="4"/>
        <v>3881750</v>
      </c>
      <c r="O15" s="87"/>
      <c r="P15" s="88"/>
      <c r="Q15" s="88"/>
      <c r="R15" s="88"/>
      <c r="S15" s="88"/>
      <c r="T15" s="88"/>
      <c r="U15" s="88"/>
      <c r="V15" s="88">
        <v>4500</v>
      </c>
      <c r="W15" s="88"/>
      <c r="X15" s="88">
        <v>187500</v>
      </c>
      <c r="Y15" s="88">
        <v>40000</v>
      </c>
      <c r="Z15" s="88"/>
      <c r="AA15" s="88"/>
      <c r="AB15" s="88"/>
      <c r="AC15" s="88"/>
      <c r="AD15" s="88"/>
      <c r="AE15" s="88"/>
      <c r="AF15" s="88">
        <v>500</v>
      </c>
      <c r="AG15" s="88"/>
      <c r="AH15" s="88"/>
      <c r="AI15" s="88"/>
      <c r="AJ15" s="88"/>
      <c r="AK15" s="88"/>
      <c r="AL15" s="88"/>
      <c r="AM15" s="88"/>
      <c r="AN15" s="88">
        <v>2500</v>
      </c>
      <c r="AO15" s="137">
        <f t="shared" si="5"/>
        <v>235000</v>
      </c>
      <c r="AP15" s="133"/>
      <c r="AQ15" s="69"/>
      <c r="AR15" s="69"/>
      <c r="AS15" s="69"/>
      <c r="AT15" s="69"/>
      <c r="AU15" s="69"/>
      <c r="AV15" s="69"/>
      <c r="AW15" s="69"/>
      <c r="AX15" s="69"/>
      <c r="AY15" s="69"/>
    </row>
    <row r="16" ht="15.75" customHeight="1" spans="1:51">
      <c r="A16" s="146" t="s">
        <v>145</v>
      </c>
      <c r="B16" s="147">
        <v>45121</v>
      </c>
      <c r="C16" s="37">
        <v>1189750</v>
      </c>
      <c r="D16" s="37">
        <f t="shared" si="0"/>
        <v>1115750</v>
      </c>
      <c r="E16" s="38">
        <v>74000</v>
      </c>
      <c r="F16" s="38"/>
      <c r="G16" s="38"/>
      <c r="H16" s="38"/>
      <c r="I16" s="38">
        <f>'Détail Dépenses'!Y98</f>
        <v>435550</v>
      </c>
      <c r="J16" s="24">
        <f t="shared" si="1"/>
        <v>0.366085312040345</v>
      </c>
      <c r="K16" s="85">
        <f t="shared" si="2"/>
        <v>680200</v>
      </c>
      <c r="L16" s="85">
        <f>780000-100000</f>
        <v>680000</v>
      </c>
      <c r="M16" s="85">
        <f t="shared" si="3"/>
        <v>-200</v>
      </c>
      <c r="N16" s="86">
        <f t="shared" si="4"/>
        <v>4561750</v>
      </c>
      <c r="O16" s="87"/>
      <c r="P16" s="88">
        <v>3000</v>
      </c>
      <c r="Q16" s="88"/>
      <c r="R16" s="88"/>
      <c r="S16" s="88"/>
      <c r="T16" s="88"/>
      <c r="U16" s="88"/>
      <c r="V16" s="88">
        <v>9000</v>
      </c>
      <c r="W16" s="88"/>
      <c r="X16" s="88">
        <v>133000</v>
      </c>
      <c r="Y16" s="88"/>
      <c r="Z16" s="88">
        <v>2000</v>
      </c>
      <c r="AA16" s="88"/>
      <c r="AB16" s="88">
        <v>2000</v>
      </c>
      <c r="AC16" s="88"/>
      <c r="AD16" s="88"/>
      <c r="AE16" s="88"/>
      <c r="AF16" s="88"/>
      <c r="AG16" s="88"/>
      <c r="AH16" s="88"/>
      <c r="AI16" s="88">
        <v>500</v>
      </c>
      <c r="AJ16" s="88"/>
      <c r="AK16" s="88"/>
      <c r="AL16" s="88"/>
      <c r="AM16" s="88"/>
      <c r="AN16" s="88">
        <v>3000</v>
      </c>
      <c r="AO16" s="137">
        <f t="shared" si="5"/>
        <v>152500</v>
      </c>
      <c r="AP16" s="133"/>
      <c r="AQ16" s="69"/>
      <c r="AR16" s="69"/>
      <c r="AS16" s="69"/>
      <c r="AT16" s="69"/>
      <c r="AU16" s="69"/>
      <c r="AV16" s="69"/>
      <c r="AW16" s="69"/>
      <c r="AX16" s="69"/>
      <c r="AY16" s="69"/>
    </row>
    <row r="17" ht="15.75" customHeight="1" spans="1:51">
      <c r="A17" s="146" t="s">
        <v>139</v>
      </c>
      <c r="B17" s="147">
        <v>45122</v>
      </c>
      <c r="C17" s="37">
        <v>950750</v>
      </c>
      <c r="D17" s="37">
        <f t="shared" si="0"/>
        <v>945250</v>
      </c>
      <c r="E17" s="38"/>
      <c r="F17" s="38"/>
      <c r="G17" s="38">
        <v>5500</v>
      </c>
      <c r="H17" s="38"/>
      <c r="I17" s="38">
        <f>'Détail Dépenses'!Y99</f>
        <v>382000</v>
      </c>
      <c r="J17" s="24">
        <f t="shared" si="1"/>
        <v>0.401788062056271</v>
      </c>
      <c r="K17" s="85">
        <f t="shared" si="2"/>
        <v>563250</v>
      </c>
      <c r="L17" s="85">
        <v>563000</v>
      </c>
      <c r="M17" s="85">
        <f t="shared" si="3"/>
        <v>-250</v>
      </c>
      <c r="N17" s="86">
        <f t="shared" si="4"/>
        <v>5124750</v>
      </c>
      <c r="O17" s="87"/>
      <c r="P17" s="88"/>
      <c r="Q17" s="88"/>
      <c r="R17" s="88"/>
      <c r="S17" s="88"/>
      <c r="T17" s="88"/>
      <c r="U17" s="88"/>
      <c r="V17" s="88">
        <v>3500</v>
      </c>
      <c r="W17" s="88"/>
      <c r="X17" s="88">
        <v>176000</v>
      </c>
      <c r="Y17" s="88"/>
      <c r="Z17" s="88">
        <v>2000</v>
      </c>
      <c r="AA17" s="88"/>
      <c r="AB17" s="88"/>
      <c r="AC17" s="88"/>
      <c r="AD17" s="88"/>
      <c r="AE17" s="88"/>
      <c r="AF17" s="88"/>
      <c r="AG17" s="88"/>
      <c r="AH17" s="88"/>
      <c r="AI17" s="88"/>
      <c r="AJ17" s="88"/>
      <c r="AK17" s="88"/>
      <c r="AL17" s="88"/>
      <c r="AM17" s="88"/>
      <c r="AN17" s="88">
        <v>1000</v>
      </c>
      <c r="AO17" s="137">
        <f t="shared" si="5"/>
        <v>182500</v>
      </c>
      <c r="AP17" s="133"/>
      <c r="AQ17" s="69"/>
      <c r="AR17" s="69"/>
      <c r="AS17" s="69"/>
      <c r="AT17" s="69"/>
      <c r="AU17" s="69"/>
      <c r="AV17" s="69"/>
      <c r="AW17" s="69"/>
      <c r="AX17" s="69"/>
      <c r="AY17" s="69"/>
    </row>
    <row r="18" ht="15.75" customHeight="1" spans="1:51">
      <c r="A18" s="144" t="s">
        <v>140</v>
      </c>
      <c r="B18" s="145">
        <v>45123</v>
      </c>
      <c r="C18" s="41">
        <f>932000-59500</f>
        <v>872500</v>
      </c>
      <c r="D18" s="41">
        <f t="shared" si="0"/>
        <v>815500</v>
      </c>
      <c r="E18" s="42">
        <v>57000</v>
      </c>
      <c r="F18" s="42"/>
      <c r="G18" s="42"/>
      <c r="H18" s="42"/>
      <c r="I18" s="42">
        <f>'Détail Dépenses'!Y100</f>
        <v>1038250</v>
      </c>
      <c r="J18" s="89">
        <f t="shared" si="1"/>
        <v>1.18997134670487</v>
      </c>
      <c r="K18" s="85">
        <f t="shared" si="2"/>
        <v>-222750</v>
      </c>
      <c r="L18" s="90">
        <f>732500-35500-919850</f>
        <v>-222850</v>
      </c>
      <c r="M18" s="90">
        <f t="shared" si="3"/>
        <v>-100</v>
      </c>
      <c r="N18" s="91">
        <f t="shared" si="4"/>
        <v>4901900</v>
      </c>
      <c r="O18" s="92"/>
      <c r="P18" s="93">
        <v>47500</v>
      </c>
      <c r="Q18" s="93"/>
      <c r="R18" s="93"/>
      <c r="S18" s="93">
        <v>12000</v>
      </c>
      <c r="T18" s="93"/>
      <c r="U18" s="93"/>
      <c r="V18" s="93">
        <v>5000</v>
      </c>
      <c r="W18" s="93"/>
      <c r="X18" s="93">
        <v>44500</v>
      </c>
      <c r="Y18" s="93"/>
      <c r="Z18" s="93"/>
      <c r="AA18" s="93"/>
      <c r="AB18" s="93"/>
      <c r="AC18" s="93"/>
      <c r="AD18" s="93"/>
      <c r="AE18" s="93"/>
      <c r="AF18" s="93">
        <v>500</v>
      </c>
      <c r="AG18" s="93"/>
      <c r="AH18" s="93"/>
      <c r="AI18" s="93"/>
      <c r="AJ18" s="93"/>
      <c r="AK18" s="93"/>
      <c r="AL18" s="93"/>
      <c r="AM18" s="93"/>
      <c r="AN18" s="93">
        <v>1000</v>
      </c>
      <c r="AO18" s="138">
        <f t="shared" si="5"/>
        <v>110500</v>
      </c>
      <c r="AP18" s="133"/>
      <c r="AQ18" s="69"/>
      <c r="AR18" s="69"/>
      <c r="AS18" s="69"/>
      <c r="AT18" s="69"/>
      <c r="AU18" s="69"/>
      <c r="AV18" s="69"/>
      <c r="AW18" s="69"/>
      <c r="AX18" s="69"/>
      <c r="AY18" s="69"/>
    </row>
    <row r="19" ht="15.75" customHeight="1" spans="1:51">
      <c r="A19" s="142" t="s">
        <v>141</v>
      </c>
      <c r="B19" s="143">
        <v>45124</v>
      </c>
      <c r="C19" s="43">
        <v>361500</v>
      </c>
      <c r="D19" s="32">
        <f t="shared" si="0"/>
        <v>361500</v>
      </c>
      <c r="E19" s="33"/>
      <c r="F19" s="33"/>
      <c r="G19" s="33"/>
      <c r="H19" s="33"/>
      <c r="I19" s="33">
        <f>'Détail Dépenses'!Y101</f>
        <v>390100</v>
      </c>
      <c r="J19" s="80">
        <f t="shared" si="1"/>
        <v>1.07911479944675</v>
      </c>
      <c r="K19" s="85">
        <f t="shared" si="2"/>
        <v>-28600</v>
      </c>
      <c r="L19" s="81">
        <f>107500-136500</f>
        <v>-29000</v>
      </c>
      <c r="M19" s="81">
        <f t="shared" si="3"/>
        <v>-400</v>
      </c>
      <c r="N19" s="166">
        <f t="shared" si="4"/>
        <v>4872900</v>
      </c>
      <c r="O19" s="167"/>
      <c r="P19" s="84">
        <v>8000</v>
      </c>
      <c r="Q19" s="84">
        <v>4000</v>
      </c>
      <c r="R19" s="84">
        <v>7500</v>
      </c>
      <c r="S19" s="84"/>
      <c r="T19" s="84"/>
      <c r="U19" s="84"/>
      <c r="V19" s="84">
        <v>2500</v>
      </c>
      <c r="W19" s="84"/>
      <c r="X19" s="84">
        <v>179500</v>
      </c>
      <c r="Y19" s="84"/>
      <c r="Z19" s="84">
        <v>2000</v>
      </c>
      <c r="AA19" s="84"/>
      <c r="AB19" s="84">
        <v>500</v>
      </c>
      <c r="AC19" s="84"/>
      <c r="AD19" s="84"/>
      <c r="AE19" s="84"/>
      <c r="AF19" s="84"/>
      <c r="AG19" s="84"/>
      <c r="AH19" s="84"/>
      <c r="AI19" s="84">
        <v>500</v>
      </c>
      <c r="AJ19" s="84"/>
      <c r="AK19" s="84"/>
      <c r="AL19" s="84"/>
      <c r="AM19" s="84"/>
      <c r="AN19" s="84"/>
      <c r="AO19" s="136">
        <f t="shared" si="5"/>
        <v>204500</v>
      </c>
      <c r="AP19" s="133"/>
      <c r="AQ19" s="69"/>
      <c r="AR19" s="69"/>
      <c r="AS19" s="69"/>
      <c r="AT19" s="69"/>
      <c r="AU19" s="69"/>
      <c r="AV19" s="69"/>
      <c r="AW19" s="69"/>
      <c r="AX19" s="69"/>
      <c r="AY19" s="69"/>
    </row>
    <row r="20" ht="15.75" customHeight="1" spans="1:51">
      <c r="A20" s="146" t="s">
        <v>142</v>
      </c>
      <c r="B20" s="147">
        <v>45125</v>
      </c>
      <c r="C20" s="36">
        <v>539000</v>
      </c>
      <c r="D20" s="37">
        <f t="shared" si="0"/>
        <v>534500</v>
      </c>
      <c r="E20" s="38"/>
      <c r="F20" s="38"/>
      <c r="G20" s="38">
        <v>4500</v>
      </c>
      <c r="H20" s="38"/>
      <c r="I20" s="38">
        <f>'Détail Dépenses'!Y102</f>
        <v>163850</v>
      </c>
      <c r="J20" s="24">
        <f t="shared" si="1"/>
        <v>0.303988868274583</v>
      </c>
      <c r="K20" s="85">
        <f t="shared" si="2"/>
        <v>370650</v>
      </c>
      <c r="L20" s="85">
        <v>370850</v>
      </c>
      <c r="M20" s="85">
        <f t="shared" si="3"/>
        <v>200</v>
      </c>
      <c r="N20" s="86">
        <f t="shared" si="4"/>
        <v>5243750</v>
      </c>
      <c r="O20" s="92"/>
      <c r="P20" s="88"/>
      <c r="Q20" s="88"/>
      <c r="R20" s="88"/>
      <c r="S20" s="88"/>
      <c r="T20" s="88"/>
      <c r="U20" s="88"/>
      <c r="V20" s="88">
        <f>7000+2500</f>
        <v>9500</v>
      </c>
      <c r="W20" s="88"/>
      <c r="X20" s="88">
        <v>76500</v>
      </c>
      <c r="Y20" s="88"/>
      <c r="Z20" s="88"/>
      <c r="AA20" s="88">
        <v>1500</v>
      </c>
      <c r="AB20" s="88"/>
      <c r="AC20" s="88"/>
      <c r="AD20" s="88"/>
      <c r="AE20" s="88"/>
      <c r="AF20" s="88">
        <v>500</v>
      </c>
      <c r="AG20" s="88"/>
      <c r="AH20" s="88"/>
      <c r="AI20" s="88"/>
      <c r="AJ20" s="88"/>
      <c r="AK20" s="88">
        <v>500</v>
      </c>
      <c r="AL20" s="88">
        <v>2500</v>
      </c>
      <c r="AM20" s="88"/>
      <c r="AN20" s="88"/>
      <c r="AO20" s="137">
        <f t="shared" si="5"/>
        <v>91000</v>
      </c>
      <c r="AP20" s="133"/>
      <c r="AQ20" s="69"/>
      <c r="AR20" s="69"/>
      <c r="AS20" s="69"/>
      <c r="AT20" s="69"/>
      <c r="AU20" s="69"/>
      <c r="AV20" s="69"/>
      <c r="AW20" s="69"/>
      <c r="AX20" s="69"/>
      <c r="AY20" s="69"/>
    </row>
    <row r="21" ht="15.75" customHeight="1" spans="1:51">
      <c r="A21" s="146" t="s">
        <v>143</v>
      </c>
      <c r="B21" s="147">
        <v>45126</v>
      </c>
      <c r="C21" s="37">
        <v>909000</v>
      </c>
      <c r="D21" s="37">
        <f t="shared" si="0"/>
        <v>909000</v>
      </c>
      <c r="E21" s="38"/>
      <c r="F21" s="38"/>
      <c r="G21" s="38"/>
      <c r="H21" s="38"/>
      <c r="I21" s="38">
        <f>'Détail Dépenses'!Y103</f>
        <v>971150</v>
      </c>
      <c r="J21" s="24">
        <f t="shared" si="1"/>
        <v>1.06837183718372</v>
      </c>
      <c r="K21" s="85">
        <f t="shared" si="2"/>
        <v>-62150</v>
      </c>
      <c r="L21" s="85">
        <f>802650-70000-735000-60000</f>
        <v>-62350</v>
      </c>
      <c r="M21" s="85">
        <f t="shared" si="3"/>
        <v>-200</v>
      </c>
      <c r="N21" s="86">
        <f t="shared" si="4"/>
        <v>5181400</v>
      </c>
      <c r="O21" s="83"/>
      <c r="P21" s="88">
        <v>10500</v>
      </c>
      <c r="Q21" s="88">
        <v>50500</v>
      </c>
      <c r="R21" s="88">
        <v>17500</v>
      </c>
      <c r="S21" s="88"/>
      <c r="T21" s="88"/>
      <c r="U21" s="88">
        <v>45000</v>
      </c>
      <c r="V21" s="88"/>
      <c r="W21" s="88">
        <v>8000</v>
      </c>
      <c r="X21" s="88">
        <v>217500</v>
      </c>
      <c r="Y21" s="88"/>
      <c r="Z21" s="88"/>
      <c r="AA21" s="88"/>
      <c r="AB21" s="88">
        <v>500</v>
      </c>
      <c r="AC21" s="88"/>
      <c r="AD21" s="88"/>
      <c r="AE21" s="88">
        <v>500</v>
      </c>
      <c r="AF21" s="88">
        <v>500</v>
      </c>
      <c r="AG21" s="88"/>
      <c r="AH21" s="88"/>
      <c r="AI21" s="88">
        <v>2000</v>
      </c>
      <c r="AJ21" s="88"/>
      <c r="AK21" s="88">
        <v>500</v>
      </c>
      <c r="AL21" s="88"/>
      <c r="AM21" s="88"/>
      <c r="AN21" s="88">
        <v>2500</v>
      </c>
      <c r="AO21" s="137">
        <f t="shared" si="5"/>
        <v>355500</v>
      </c>
      <c r="AP21" s="133"/>
      <c r="AQ21" s="69"/>
      <c r="AR21" s="69"/>
      <c r="AS21" s="69"/>
      <c r="AT21" s="69"/>
      <c r="AU21" s="69"/>
      <c r="AV21" s="69"/>
      <c r="AW21" s="69"/>
      <c r="AX21" s="69"/>
      <c r="AY21" s="69"/>
    </row>
    <row r="22" ht="15.75" customHeight="1" spans="1:51">
      <c r="A22" s="146" t="s">
        <v>144</v>
      </c>
      <c r="B22" s="147">
        <v>45127</v>
      </c>
      <c r="C22" s="37">
        <v>947750</v>
      </c>
      <c r="D22" s="37">
        <f t="shared" si="0"/>
        <v>947750</v>
      </c>
      <c r="E22" s="38"/>
      <c r="F22" s="38"/>
      <c r="G22" s="38"/>
      <c r="H22" s="38"/>
      <c r="I22" s="38">
        <f>'Détail Dépenses'!Y104</f>
        <v>241300</v>
      </c>
      <c r="J22" s="24">
        <f t="shared" si="1"/>
        <v>0.254603007122131</v>
      </c>
      <c r="K22" s="85">
        <f t="shared" si="2"/>
        <v>706450</v>
      </c>
      <c r="L22" s="85">
        <v>706200</v>
      </c>
      <c r="M22" s="85">
        <f t="shared" si="3"/>
        <v>-250</v>
      </c>
      <c r="N22" s="86">
        <f t="shared" si="4"/>
        <v>5887600</v>
      </c>
      <c r="O22" s="87"/>
      <c r="P22" s="88"/>
      <c r="Q22" s="88"/>
      <c r="R22" s="88"/>
      <c r="S22" s="88"/>
      <c r="T22" s="88"/>
      <c r="U22" s="88"/>
      <c r="V22" s="88">
        <v>4500</v>
      </c>
      <c r="W22" s="88"/>
      <c r="X22" s="88">
        <v>229500</v>
      </c>
      <c r="Y22" s="88">
        <v>40000</v>
      </c>
      <c r="Z22" s="88"/>
      <c r="AA22" s="88"/>
      <c r="AB22" s="88"/>
      <c r="AC22" s="88"/>
      <c r="AD22" s="88"/>
      <c r="AE22" s="88"/>
      <c r="AF22" s="88">
        <v>500</v>
      </c>
      <c r="AG22" s="88"/>
      <c r="AH22" s="88"/>
      <c r="AI22" s="88"/>
      <c r="AJ22" s="88"/>
      <c r="AK22" s="88"/>
      <c r="AL22" s="88"/>
      <c r="AM22" s="88"/>
      <c r="AN22" s="88">
        <v>2500</v>
      </c>
      <c r="AO22" s="137">
        <f t="shared" si="5"/>
        <v>277000</v>
      </c>
      <c r="AP22" s="133"/>
      <c r="AQ22" s="69"/>
      <c r="AR22" s="69"/>
      <c r="AS22" s="69"/>
      <c r="AT22" s="69"/>
      <c r="AU22" s="69"/>
      <c r="AV22" s="69"/>
      <c r="AW22" s="69"/>
      <c r="AX22" s="69"/>
      <c r="AY22" s="69"/>
    </row>
    <row r="23" ht="15.75" customHeight="1" spans="1:51">
      <c r="A23" s="146" t="s">
        <v>145</v>
      </c>
      <c r="B23" s="147">
        <v>45128</v>
      </c>
      <c r="C23" s="37">
        <v>1934000</v>
      </c>
      <c r="D23" s="37">
        <f t="shared" si="0"/>
        <v>1910500</v>
      </c>
      <c r="E23" s="38"/>
      <c r="F23" s="38"/>
      <c r="G23" s="38">
        <v>14000</v>
      </c>
      <c r="H23" s="38">
        <v>9500</v>
      </c>
      <c r="I23" s="38">
        <f>'Détail Dépenses'!Y105</f>
        <v>383300</v>
      </c>
      <c r="J23" s="24">
        <f t="shared" si="1"/>
        <v>0.198190279214064</v>
      </c>
      <c r="K23" s="85">
        <f t="shared" si="2"/>
        <v>1527200</v>
      </c>
      <c r="L23" s="85">
        <f>1754000-226800</f>
        <v>1527200</v>
      </c>
      <c r="M23" s="85">
        <f t="shared" si="3"/>
        <v>0</v>
      </c>
      <c r="N23" s="86">
        <f t="shared" si="4"/>
        <v>7414800</v>
      </c>
      <c r="O23" s="87"/>
      <c r="P23" s="88">
        <v>6000</v>
      </c>
      <c r="Q23" s="88">
        <v>30500</v>
      </c>
      <c r="R23" s="88"/>
      <c r="S23" s="88">
        <v>21000</v>
      </c>
      <c r="T23" s="88"/>
      <c r="U23" s="88"/>
      <c r="V23" s="88">
        <v>4500</v>
      </c>
      <c r="W23" s="88"/>
      <c r="X23" s="88">
        <v>174500</v>
      </c>
      <c r="Y23" s="88"/>
      <c r="Z23" s="88">
        <v>2000</v>
      </c>
      <c r="AA23" s="88"/>
      <c r="AB23" s="88">
        <v>2000</v>
      </c>
      <c r="AC23" s="88"/>
      <c r="AD23" s="88"/>
      <c r="AE23" s="88"/>
      <c r="AF23" s="88">
        <v>2500</v>
      </c>
      <c r="AG23" s="88"/>
      <c r="AH23" s="88"/>
      <c r="AI23" s="88"/>
      <c r="AJ23" s="88"/>
      <c r="AK23" s="88"/>
      <c r="AL23" s="88"/>
      <c r="AM23" s="88"/>
      <c r="AN23" s="88">
        <v>2500</v>
      </c>
      <c r="AO23" s="137">
        <f t="shared" si="5"/>
        <v>245500</v>
      </c>
      <c r="AP23" s="133"/>
      <c r="AQ23" s="69"/>
      <c r="AR23" s="69"/>
      <c r="AS23" s="69"/>
      <c r="AT23" s="69"/>
      <c r="AU23" s="69"/>
      <c r="AV23" s="69"/>
      <c r="AW23" s="69"/>
      <c r="AX23" s="69"/>
      <c r="AY23" s="69"/>
    </row>
    <row r="24" ht="15.75" customHeight="1" spans="1:51">
      <c r="A24" s="146" t="s">
        <v>139</v>
      </c>
      <c r="B24" s="147">
        <v>45129</v>
      </c>
      <c r="C24" s="36">
        <v>1042750</v>
      </c>
      <c r="D24" s="37">
        <f t="shared" si="0"/>
        <v>1036750</v>
      </c>
      <c r="E24" s="38"/>
      <c r="F24" s="38"/>
      <c r="G24" s="38">
        <v>6000</v>
      </c>
      <c r="H24" s="38"/>
      <c r="I24" s="38">
        <f>'Détail Dépenses'!Y106</f>
        <v>348750</v>
      </c>
      <c r="J24" s="24">
        <f t="shared" si="1"/>
        <v>0.334452169743467</v>
      </c>
      <c r="K24" s="85">
        <f t="shared" si="2"/>
        <v>688000</v>
      </c>
      <c r="L24" s="85">
        <f>743000-55000</f>
        <v>688000</v>
      </c>
      <c r="M24" s="85">
        <f t="shared" si="3"/>
        <v>0</v>
      </c>
      <c r="N24" s="86">
        <f t="shared" si="4"/>
        <v>8102800</v>
      </c>
      <c r="O24" s="87"/>
      <c r="P24" s="88">
        <v>11000</v>
      </c>
      <c r="Q24" s="88">
        <v>19500</v>
      </c>
      <c r="R24" s="88"/>
      <c r="S24" s="88">
        <v>16000</v>
      </c>
      <c r="T24" s="88"/>
      <c r="U24" s="88"/>
      <c r="V24" s="88">
        <v>3500</v>
      </c>
      <c r="W24" s="88">
        <v>4500</v>
      </c>
      <c r="X24" s="88">
        <v>139000</v>
      </c>
      <c r="Y24" s="88"/>
      <c r="Z24" s="88">
        <v>2000</v>
      </c>
      <c r="AA24" s="88"/>
      <c r="AB24" s="88"/>
      <c r="AC24" s="88"/>
      <c r="AD24" s="88"/>
      <c r="AE24" s="88"/>
      <c r="AF24" s="88">
        <v>2500</v>
      </c>
      <c r="AG24" s="88"/>
      <c r="AH24" s="88"/>
      <c r="AI24" s="88"/>
      <c r="AJ24" s="88"/>
      <c r="AK24" s="88"/>
      <c r="AL24" s="88"/>
      <c r="AM24" s="88"/>
      <c r="AN24" s="88">
        <v>2500</v>
      </c>
      <c r="AO24" s="137">
        <f t="shared" si="5"/>
        <v>200500</v>
      </c>
      <c r="AP24" s="133"/>
      <c r="AQ24" s="69"/>
      <c r="AR24" s="69"/>
      <c r="AS24" s="69"/>
      <c r="AT24" s="69"/>
      <c r="AU24" s="69"/>
      <c r="AV24" s="69"/>
      <c r="AW24" s="69"/>
      <c r="AX24" s="69"/>
      <c r="AY24" s="69"/>
    </row>
    <row r="25" ht="15.75" customHeight="1" spans="1:51">
      <c r="A25" s="144" t="s">
        <v>140</v>
      </c>
      <c r="B25" s="145">
        <v>45130</v>
      </c>
      <c r="C25" s="44">
        <v>1412000</v>
      </c>
      <c r="D25" s="41">
        <f t="shared" si="0"/>
        <v>1356500</v>
      </c>
      <c r="E25" s="42"/>
      <c r="F25" s="42"/>
      <c r="G25" s="42">
        <v>5500</v>
      </c>
      <c r="H25" s="42">
        <v>50000</v>
      </c>
      <c r="I25" s="42">
        <f>'Détail Dépenses'!Y107</f>
        <v>1801025</v>
      </c>
      <c r="J25" s="89">
        <f t="shared" si="1"/>
        <v>1.27551345609065</v>
      </c>
      <c r="K25" s="85">
        <f t="shared" si="2"/>
        <v>-444525</v>
      </c>
      <c r="L25" s="90">
        <f>993000-50000-8000-1379500</f>
        <v>-444500</v>
      </c>
      <c r="M25" s="90">
        <f t="shared" si="3"/>
        <v>25</v>
      </c>
      <c r="N25" s="91">
        <f t="shared" si="4"/>
        <v>7658300</v>
      </c>
      <c r="O25" s="92"/>
      <c r="P25" s="93"/>
      <c r="Q25" s="93"/>
      <c r="R25" s="93"/>
      <c r="S25" s="93"/>
      <c r="T25" s="93"/>
      <c r="U25" s="93"/>
      <c r="V25" s="93">
        <v>13000</v>
      </c>
      <c r="W25" s="93"/>
      <c r="X25" s="93">
        <v>116500</v>
      </c>
      <c r="Y25" s="93"/>
      <c r="Z25" s="93"/>
      <c r="AA25" s="93"/>
      <c r="AB25" s="93">
        <v>2000</v>
      </c>
      <c r="AC25" s="93"/>
      <c r="AD25" s="93"/>
      <c r="AE25" s="93"/>
      <c r="AF25" s="93">
        <v>2000</v>
      </c>
      <c r="AG25" s="93"/>
      <c r="AH25" s="93"/>
      <c r="AI25" s="93"/>
      <c r="AJ25" s="93"/>
      <c r="AK25" s="93"/>
      <c r="AL25" s="93"/>
      <c r="AM25" s="93"/>
      <c r="AN25" s="93">
        <v>2500</v>
      </c>
      <c r="AO25" s="138">
        <f t="shared" si="5"/>
        <v>136000</v>
      </c>
      <c r="AP25" s="133"/>
      <c r="AQ25" s="69"/>
      <c r="AR25" s="69"/>
      <c r="AS25" s="69"/>
      <c r="AT25" s="69"/>
      <c r="AU25" s="69"/>
      <c r="AV25" s="69"/>
      <c r="AW25" s="69"/>
      <c r="AX25" s="69"/>
      <c r="AY25" s="69"/>
    </row>
    <row r="26" ht="15.75" customHeight="1" spans="1:51">
      <c r="A26" s="142" t="s">
        <v>141</v>
      </c>
      <c r="B26" s="143">
        <v>45131</v>
      </c>
      <c r="C26" s="32">
        <v>343500</v>
      </c>
      <c r="D26" s="32">
        <f t="shared" si="0"/>
        <v>343500</v>
      </c>
      <c r="E26" s="33"/>
      <c r="F26" s="33"/>
      <c r="G26" s="33"/>
      <c r="H26" s="33"/>
      <c r="I26" s="33">
        <f>'Détail Dépenses'!Y108</f>
        <v>205650</v>
      </c>
      <c r="J26" s="80">
        <f t="shared" si="1"/>
        <v>0.598689956331878</v>
      </c>
      <c r="K26" s="85">
        <f t="shared" si="2"/>
        <v>137850</v>
      </c>
      <c r="L26" s="81">
        <v>137800</v>
      </c>
      <c r="M26" s="81">
        <f t="shared" si="3"/>
        <v>-50</v>
      </c>
      <c r="N26" s="166">
        <f t="shared" si="4"/>
        <v>7796100</v>
      </c>
      <c r="O26" s="167"/>
      <c r="P26" s="84">
        <f>8000+6250</f>
        <v>14250</v>
      </c>
      <c r="Q26" s="84">
        <v>500</v>
      </c>
      <c r="R26" s="84">
        <f>12500+6250</f>
        <v>18750</v>
      </c>
      <c r="S26" s="84"/>
      <c r="T26" s="84"/>
      <c r="U26" s="84"/>
      <c r="V26" s="84">
        <v>3000</v>
      </c>
      <c r="W26" s="84"/>
      <c r="X26" s="84">
        <v>271500</v>
      </c>
      <c r="Y26" s="84"/>
      <c r="Z26" s="84">
        <v>2000</v>
      </c>
      <c r="AA26" s="84"/>
      <c r="AB26" s="84">
        <v>500</v>
      </c>
      <c r="AC26" s="84"/>
      <c r="AD26" s="84"/>
      <c r="AE26" s="84"/>
      <c r="AF26" s="84"/>
      <c r="AG26" s="84"/>
      <c r="AH26" s="84"/>
      <c r="AI26" s="84"/>
      <c r="AJ26" s="84"/>
      <c r="AK26" s="84"/>
      <c r="AL26" s="84"/>
      <c r="AM26" s="84"/>
      <c r="AN26" s="84">
        <v>2000</v>
      </c>
      <c r="AO26" s="136">
        <f t="shared" si="5"/>
        <v>312500</v>
      </c>
      <c r="AP26" s="133"/>
      <c r="AQ26" s="69"/>
      <c r="AR26" s="69"/>
      <c r="AS26" s="69"/>
      <c r="AT26" s="69"/>
      <c r="AU26" s="69"/>
      <c r="AV26" s="69"/>
      <c r="AW26" s="69"/>
      <c r="AX26" s="69"/>
      <c r="AY26" s="69"/>
    </row>
    <row r="27" ht="15.75" customHeight="1" spans="1:51">
      <c r="A27" s="146" t="s">
        <v>142</v>
      </c>
      <c r="B27" s="147">
        <v>45132</v>
      </c>
      <c r="C27" s="37">
        <v>418750</v>
      </c>
      <c r="D27" s="37">
        <f t="shared" si="0"/>
        <v>418750</v>
      </c>
      <c r="E27" s="38"/>
      <c r="F27" s="38"/>
      <c r="G27" s="38"/>
      <c r="H27" s="38"/>
      <c r="I27" s="38">
        <f>'Détail Dépenses'!Y109</f>
        <v>401000</v>
      </c>
      <c r="J27" s="24">
        <f t="shared" si="1"/>
        <v>0.957611940298507</v>
      </c>
      <c r="K27" s="85">
        <f t="shared" si="2"/>
        <v>17750</v>
      </c>
      <c r="L27" s="85">
        <f>317000-200000-100000</f>
        <v>17000</v>
      </c>
      <c r="M27" s="85">
        <f t="shared" si="3"/>
        <v>-750</v>
      </c>
      <c r="N27" s="86">
        <f t="shared" si="4"/>
        <v>7813100</v>
      </c>
      <c r="O27" s="92"/>
      <c r="P27" s="88">
        <v>4000</v>
      </c>
      <c r="Q27" s="88"/>
      <c r="R27" s="88"/>
      <c r="S27" s="88"/>
      <c r="T27" s="88"/>
      <c r="U27" s="88"/>
      <c r="V27" s="88">
        <f>5500+27500</f>
        <v>33000</v>
      </c>
      <c r="W27" s="88"/>
      <c r="X27" s="88">
        <v>44500</v>
      </c>
      <c r="Y27" s="88"/>
      <c r="Z27" s="88"/>
      <c r="AA27" s="88">
        <v>2500</v>
      </c>
      <c r="AB27" s="88"/>
      <c r="AC27" s="88"/>
      <c r="AD27" s="88"/>
      <c r="AE27" s="88"/>
      <c r="AF27" s="88">
        <v>500</v>
      </c>
      <c r="AG27" s="88"/>
      <c r="AH27" s="88"/>
      <c r="AI27" s="88">
        <f>500+1000</f>
        <v>1500</v>
      </c>
      <c r="AJ27" s="88"/>
      <c r="AK27" s="88"/>
      <c r="AL27" s="88">
        <f>2500+500</f>
        <v>3000</v>
      </c>
      <c r="AM27" s="88"/>
      <c r="AN27" s="88"/>
      <c r="AO27" s="137">
        <f t="shared" si="5"/>
        <v>89000</v>
      </c>
      <c r="AP27" s="133"/>
      <c r="AQ27" s="69"/>
      <c r="AR27" s="69"/>
      <c r="AS27" s="69"/>
      <c r="AT27" s="69"/>
      <c r="AU27" s="69"/>
      <c r="AV27" s="69"/>
      <c r="AW27" s="69"/>
      <c r="AX27" s="69"/>
      <c r="AY27" s="69"/>
    </row>
    <row r="28" ht="15.75" customHeight="1" spans="1:51">
      <c r="A28" s="146" t="s">
        <v>143</v>
      </c>
      <c r="B28" s="147">
        <v>45133</v>
      </c>
      <c r="C28" s="37">
        <v>395000</v>
      </c>
      <c r="D28" s="37">
        <f t="shared" si="0"/>
        <v>384500</v>
      </c>
      <c r="E28" s="38"/>
      <c r="F28" s="38"/>
      <c r="G28" s="38">
        <f>7500+3000</f>
        <v>10500</v>
      </c>
      <c r="H28" s="38"/>
      <c r="I28" s="38">
        <f>'Détail Dépenses'!Y110</f>
        <v>295700</v>
      </c>
      <c r="J28" s="24">
        <f t="shared" si="1"/>
        <v>0.748607594936709</v>
      </c>
      <c r="K28" s="85">
        <f t="shared" si="2"/>
        <v>88800</v>
      </c>
      <c r="L28" s="85">
        <v>88000</v>
      </c>
      <c r="M28" s="85">
        <f t="shared" si="3"/>
        <v>-800</v>
      </c>
      <c r="N28" s="86">
        <f t="shared" si="4"/>
        <v>7901100</v>
      </c>
      <c r="O28" s="83"/>
      <c r="P28" s="88"/>
      <c r="Q28" s="88"/>
      <c r="R28" s="88"/>
      <c r="S28" s="88"/>
      <c r="T28" s="88"/>
      <c r="U28" s="88"/>
      <c r="V28" s="88">
        <f>6500+6500</f>
        <v>13000</v>
      </c>
      <c r="W28" s="88"/>
      <c r="X28" s="88">
        <v>89500</v>
      </c>
      <c r="Y28" s="88">
        <v>14500</v>
      </c>
      <c r="Z28" s="88"/>
      <c r="AA28" s="88"/>
      <c r="AB28" s="88">
        <v>500</v>
      </c>
      <c r="AC28" s="88"/>
      <c r="AD28" s="88"/>
      <c r="AE28" s="88">
        <v>500</v>
      </c>
      <c r="AF28" s="88"/>
      <c r="AG28" s="88"/>
      <c r="AH28" s="88"/>
      <c r="AI28" s="88"/>
      <c r="AJ28" s="88"/>
      <c r="AK28" s="88">
        <v>500</v>
      </c>
      <c r="AL28" s="88"/>
      <c r="AM28" s="88"/>
      <c r="AN28" s="88">
        <v>2500</v>
      </c>
      <c r="AO28" s="137">
        <f t="shared" si="5"/>
        <v>121000</v>
      </c>
      <c r="AP28" s="133"/>
      <c r="AQ28" s="69"/>
      <c r="AR28" s="69"/>
      <c r="AS28" s="69"/>
      <c r="AT28" s="69"/>
      <c r="AU28" s="69"/>
      <c r="AV28" s="69"/>
      <c r="AW28" s="69"/>
      <c r="AX28" s="69"/>
      <c r="AY28" s="69"/>
    </row>
    <row r="29" ht="15.75" customHeight="1" spans="1:51">
      <c r="A29" s="146" t="s">
        <v>144</v>
      </c>
      <c r="B29" s="147">
        <v>45134</v>
      </c>
      <c r="C29" s="36">
        <v>1350500</v>
      </c>
      <c r="D29" s="37">
        <f t="shared" si="0"/>
        <v>1350500</v>
      </c>
      <c r="E29" s="38"/>
      <c r="F29" s="38"/>
      <c r="G29" s="38"/>
      <c r="H29" s="38"/>
      <c r="I29" s="38">
        <f>'Détail Dépenses'!Y111</f>
        <v>106100</v>
      </c>
      <c r="J29" s="24">
        <f t="shared" si="1"/>
        <v>0.0785634950018512</v>
      </c>
      <c r="K29" s="85">
        <f t="shared" si="2"/>
        <v>1244400</v>
      </c>
      <c r="L29" s="85">
        <v>1244200</v>
      </c>
      <c r="M29" s="85">
        <f t="shared" si="3"/>
        <v>-200</v>
      </c>
      <c r="N29" s="86">
        <f t="shared" si="4"/>
        <v>9145300</v>
      </c>
      <c r="O29" s="87"/>
      <c r="P29" s="88"/>
      <c r="Q29" s="88"/>
      <c r="R29" s="88">
        <v>95000</v>
      </c>
      <c r="S29" s="88"/>
      <c r="T29" s="88"/>
      <c r="U29" s="88"/>
      <c r="V29" s="88">
        <v>1500</v>
      </c>
      <c r="W29" s="88"/>
      <c r="X29" s="88">
        <v>44500</v>
      </c>
      <c r="Y29" s="88">
        <v>40000</v>
      </c>
      <c r="Z29" s="88"/>
      <c r="AA29" s="88"/>
      <c r="AB29" s="88"/>
      <c r="AC29" s="88"/>
      <c r="AD29" s="88"/>
      <c r="AE29" s="88"/>
      <c r="AF29" s="88">
        <v>500</v>
      </c>
      <c r="AG29" s="88"/>
      <c r="AH29" s="88"/>
      <c r="AI29" s="88"/>
      <c r="AJ29" s="88"/>
      <c r="AK29" s="88"/>
      <c r="AL29" s="88"/>
      <c r="AM29" s="88"/>
      <c r="AN29" s="88">
        <v>2500</v>
      </c>
      <c r="AO29" s="137">
        <f t="shared" si="5"/>
        <v>184000</v>
      </c>
      <c r="AP29" s="133"/>
      <c r="AQ29" s="69"/>
      <c r="AR29" s="69"/>
      <c r="AS29" s="69"/>
      <c r="AT29" s="69"/>
      <c r="AU29" s="69"/>
      <c r="AV29" s="69"/>
      <c r="AW29" s="69"/>
      <c r="AX29" s="69"/>
      <c r="AY29" s="69"/>
    </row>
    <row r="30" ht="15.75" customHeight="1" spans="1:51">
      <c r="A30" s="146" t="s">
        <v>145</v>
      </c>
      <c r="B30" s="147">
        <v>45135</v>
      </c>
      <c r="C30" s="36">
        <v>1633250</v>
      </c>
      <c r="D30" s="37">
        <f t="shared" si="0"/>
        <v>1633250</v>
      </c>
      <c r="E30" s="38"/>
      <c r="F30" s="38"/>
      <c r="G30" s="38"/>
      <c r="H30" s="38"/>
      <c r="I30" s="38">
        <f>'Détail Dépenses'!Y112</f>
        <v>1259800</v>
      </c>
      <c r="J30" s="24">
        <f t="shared" si="1"/>
        <v>0.771345476810041</v>
      </c>
      <c r="K30" s="85">
        <f t="shared" si="2"/>
        <v>373450</v>
      </c>
      <c r="L30" s="85">
        <f>1374600-812000-79200-60000-50000</f>
        <v>373400</v>
      </c>
      <c r="M30" s="85">
        <f t="shared" si="3"/>
        <v>-50</v>
      </c>
      <c r="N30" s="86">
        <f t="shared" si="4"/>
        <v>9518700</v>
      </c>
      <c r="O30" s="87"/>
      <c r="P30" s="88">
        <f>10000+28500</f>
        <v>38500</v>
      </c>
      <c r="Q30" s="88">
        <v>5000</v>
      </c>
      <c r="R30" s="88">
        <v>64000</v>
      </c>
      <c r="S30" s="88"/>
      <c r="T30" s="88"/>
      <c r="U30" s="88"/>
      <c r="V30" s="88">
        <f>40000+4000</f>
        <v>44000</v>
      </c>
      <c r="W30" s="88"/>
      <c r="X30" s="88">
        <v>221000</v>
      </c>
      <c r="Y30" s="88"/>
      <c r="Z30" s="88">
        <v>2000</v>
      </c>
      <c r="AA30" s="88"/>
      <c r="AB30" s="88">
        <v>2000</v>
      </c>
      <c r="AC30" s="88"/>
      <c r="AD30" s="88"/>
      <c r="AE30" s="88"/>
      <c r="AF30" s="88">
        <v>500</v>
      </c>
      <c r="AG30" s="88"/>
      <c r="AH30" s="88"/>
      <c r="AI30" s="88"/>
      <c r="AJ30" s="88"/>
      <c r="AK30" s="88">
        <v>500</v>
      </c>
      <c r="AL30" s="88"/>
      <c r="AM30" s="88"/>
      <c r="AN30" s="88">
        <v>2500</v>
      </c>
      <c r="AO30" s="137">
        <f t="shared" si="5"/>
        <v>380000</v>
      </c>
      <c r="AP30" s="133"/>
      <c r="AQ30" s="69"/>
      <c r="AR30" s="69"/>
      <c r="AS30" s="69"/>
      <c r="AT30" s="69"/>
      <c r="AU30" s="69"/>
      <c r="AV30" s="69"/>
      <c r="AW30" s="69"/>
      <c r="AX30" s="69"/>
      <c r="AY30" s="69"/>
    </row>
    <row r="31" ht="15.75" customHeight="1" spans="1:51">
      <c r="A31" s="146" t="s">
        <v>139</v>
      </c>
      <c r="B31" s="147">
        <v>45136</v>
      </c>
      <c r="C31" s="37">
        <v>1259750</v>
      </c>
      <c r="D31" s="37">
        <f t="shared" si="0"/>
        <v>1251750</v>
      </c>
      <c r="E31" s="38"/>
      <c r="F31" s="38"/>
      <c r="G31" s="38">
        <v>8000</v>
      </c>
      <c r="H31" s="38"/>
      <c r="I31" s="38">
        <f>'Détail Dépenses'!Y113</f>
        <v>205250</v>
      </c>
      <c r="J31" s="24">
        <f t="shared" si="1"/>
        <v>0.162929152609645</v>
      </c>
      <c r="K31" s="85">
        <f t="shared" si="2"/>
        <v>1046500</v>
      </c>
      <c r="L31" s="85">
        <v>1046500</v>
      </c>
      <c r="M31" s="85">
        <f t="shared" si="3"/>
        <v>0</v>
      </c>
      <c r="N31" s="86">
        <f t="shared" si="4"/>
        <v>10565200</v>
      </c>
      <c r="O31" s="87"/>
      <c r="P31" s="88"/>
      <c r="Q31" s="88"/>
      <c r="R31" s="88"/>
      <c r="S31" s="88">
        <v>6500</v>
      </c>
      <c r="T31" s="88"/>
      <c r="U31" s="88"/>
      <c r="V31" s="88">
        <f>3500+20000</f>
        <v>23500</v>
      </c>
      <c r="W31" s="88"/>
      <c r="X31" s="88">
        <v>81000</v>
      </c>
      <c r="Y31" s="88"/>
      <c r="Z31" s="88"/>
      <c r="AA31" s="88"/>
      <c r="AB31" s="88">
        <v>500</v>
      </c>
      <c r="AC31" s="88"/>
      <c r="AD31" s="88"/>
      <c r="AE31" s="88"/>
      <c r="AF31" s="88">
        <v>500</v>
      </c>
      <c r="AG31" s="88"/>
      <c r="AH31" s="88"/>
      <c r="AI31" s="88"/>
      <c r="AJ31" s="88"/>
      <c r="AK31" s="88"/>
      <c r="AL31" s="88"/>
      <c r="AM31" s="88"/>
      <c r="AN31" s="88">
        <v>1000</v>
      </c>
      <c r="AO31" s="137">
        <f t="shared" si="5"/>
        <v>113000</v>
      </c>
      <c r="AP31" s="133"/>
      <c r="AQ31" s="69"/>
      <c r="AR31" s="69"/>
      <c r="AS31" s="69"/>
      <c r="AT31" s="69"/>
      <c r="AU31" s="69"/>
      <c r="AV31" s="69"/>
      <c r="AW31" s="69"/>
      <c r="AX31" s="69"/>
      <c r="AY31" s="69"/>
    </row>
    <row r="32" ht="15.75" customHeight="1" spans="1:51">
      <c r="A32" s="144" t="s">
        <v>140</v>
      </c>
      <c r="B32" s="145">
        <v>45137</v>
      </c>
      <c r="C32" s="41">
        <v>1497000</v>
      </c>
      <c r="D32" s="41">
        <f t="shared" si="0"/>
        <v>1423500</v>
      </c>
      <c r="E32" s="42">
        <v>62000</v>
      </c>
      <c r="F32" s="42"/>
      <c r="G32" s="42">
        <v>11500</v>
      </c>
      <c r="H32" s="42"/>
      <c r="I32" s="42">
        <f>'Détail Dépenses'!Y114</f>
        <v>2014850</v>
      </c>
      <c r="J32" s="24">
        <f t="shared" si="1"/>
        <v>1.34592518370073</v>
      </c>
      <c r="K32" s="90">
        <f t="shared" si="2"/>
        <v>-591350</v>
      </c>
      <c r="L32" s="90">
        <f>1188500-45000-150000-31000-5000-1499150-50000</f>
        <v>-591650</v>
      </c>
      <c r="M32" s="90">
        <f t="shared" si="3"/>
        <v>-300</v>
      </c>
      <c r="N32" s="91">
        <f t="shared" si="4"/>
        <v>9973550</v>
      </c>
      <c r="O32" s="92"/>
      <c r="P32" s="93">
        <f>70500+15000</f>
        <v>85500</v>
      </c>
      <c r="Q32" s="93"/>
      <c r="R32" s="93"/>
      <c r="S32" s="93">
        <v>15000</v>
      </c>
      <c r="T32" s="93"/>
      <c r="U32" s="93"/>
      <c r="V32" s="93">
        <f>10000</f>
        <v>10000</v>
      </c>
      <c r="W32" s="93"/>
      <c r="X32" s="93">
        <v>214500</v>
      </c>
      <c r="Y32" s="93">
        <v>167500</v>
      </c>
      <c r="Z32" s="93">
        <v>2500</v>
      </c>
      <c r="AA32" s="93"/>
      <c r="AB32" s="93">
        <v>1000</v>
      </c>
      <c r="AC32" s="93"/>
      <c r="AD32" s="93"/>
      <c r="AE32" s="93"/>
      <c r="AF32" s="93">
        <v>500</v>
      </c>
      <c r="AG32" s="93">
        <v>500</v>
      </c>
      <c r="AH32" s="93"/>
      <c r="AI32" s="93"/>
      <c r="AJ32" s="93"/>
      <c r="AK32" s="93">
        <v>500</v>
      </c>
      <c r="AL32" s="93"/>
      <c r="AM32" s="93">
        <v>30000</v>
      </c>
      <c r="AN32" s="93">
        <v>1000</v>
      </c>
      <c r="AO32" s="138">
        <f t="shared" si="5"/>
        <v>528500</v>
      </c>
      <c r="AP32" s="133"/>
      <c r="AQ32" s="69"/>
      <c r="AR32" s="69"/>
      <c r="AS32" s="69"/>
      <c r="AT32" s="69"/>
      <c r="AU32" s="69"/>
      <c r="AV32" s="69"/>
      <c r="AW32" s="69"/>
      <c r="AX32" s="69"/>
      <c r="AY32" s="69"/>
    </row>
    <row r="33" ht="15.75" customHeight="1" spans="1:51">
      <c r="A33" s="148" t="s">
        <v>141</v>
      </c>
      <c r="B33" s="143">
        <v>45138</v>
      </c>
      <c r="C33" s="32">
        <v>405750</v>
      </c>
      <c r="D33" s="32">
        <f t="shared" si="0"/>
        <v>399750</v>
      </c>
      <c r="E33" s="33"/>
      <c r="F33" s="33"/>
      <c r="G33" s="33">
        <v>6000</v>
      </c>
      <c r="H33" s="33"/>
      <c r="I33" s="33">
        <f>'Détail Dépenses'!Y115</f>
        <v>811050</v>
      </c>
      <c r="J33" s="89">
        <f t="shared" si="1"/>
        <v>1.99889094269871</v>
      </c>
      <c r="K33" s="33">
        <f t="shared" si="2"/>
        <v>-411300</v>
      </c>
      <c r="L33" s="33">
        <f>214500-200000-33750-392500</f>
        <v>-411750</v>
      </c>
      <c r="M33" s="81">
        <f t="shared" si="3"/>
        <v>-450</v>
      </c>
      <c r="N33" s="166">
        <f t="shared" si="4"/>
        <v>9561800</v>
      </c>
      <c r="O33" s="168"/>
      <c r="P33" s="84">
        <v>6500</v>
      </c>
      <c r="Q33" s="84"/>
      <c r="R33" s="84">
        <v>14500</v>
      </c>
      <c r="S33" s="84"/>
      <c r="T33" s="84"/>
      <c r="U33" s="84"/>
      <c r="V33" s="84">
        <v>5500</v>
      </c>
      <c r="W33" s="84"/>
      <c r="X33" s="84">
        <v>83000</v>
      </c>
      <c r="Y33" s="84"/>
      <c r="Z33" s="84">
        <v>1000</v>
      </c>
      <c r="AA33" s="84"/>
      <c r="AB33" s="84">
        <v>500</v>
      </c>
      <c r="AC33" s="84"/>
      <c r="AD33" s="84"/>
      <c r="AE33" s="84"/>
      <c r="AF33" s="84"/>
      <c r="AG33" s="84"/>
      <c r="AH33" s="84"/>
      <c r="AI33" s="84"/>
      <c r="AJ33" s="84"/>
      <c r="AK33" s="84"/>
      <c r="AL33" s="84">
        <v>7500</v>
      </c>
      <c r="AM33" s="84"/>
      <c r="AN33" s="84">
        <v>1000</v>
      </c>
      <c r="AO33" s="170">
        <f t="shared" si="5"/>
        <v>119500</v>
      </c>
      <c r="AP33" s="171"/>
      <c r="AQ33" s="69"/>
      <c r="AR33" s="69"/>
      <c r="AS33" s="69"/>
      <c r="AT33" s="69"/>
      <c r="AU33" s="69"/>
      <c r="AV33" s="69"/>
      <c r="AW33" s="69"/>
      <c r="AX33" s="69"/>
      <c r="AY33" s="69"/>
    </row>
    <row r="34" ht="16.5" customHeight="1" spans="1:51">
      <c r="A34" s="149"/>
      <c r="B34" s="150" t="s">
        <v>44</v>
      </c>
      <c r="C34" s="151">
        <f t="shared" ref="C34:I34" si="6">SUM(C3:C33)</f>
        <v>28821750</v>
      </c>
      <c r="D34" s="151">
        <f t="shared" si="6"/>
        <v>28282750</v>
      </c>
      <c r="E34" s="151">
        <f t="shared" si="6"/>
        <v>378500</v>
      </c>
      <c r="F34" s="151">
        <f t="shared" si="6"/>
        <v>0</v>
      </c>
      <c r="G34" s="151">
        <f t="shared" si="6"/>
        <v>101000</v>
      </c>
      <c r="H34" s="151">
        <f t="shared" si="6"/>
        <v>59500</v>
      </c>
      <c r="I34" s="151">
        <f t="shared" si="6"/>
        <v>18715250</v>
      </c>
      <c r="J34" s="49"/>
      <c r="K34" s="151">
        <f t="shared" ref="K34:M34" si="7">SUM(K3:K33)</f>
        <v>9567500</v>
      </c>
      <c r="L34" s="169">
        <f t="shared" si="7"/>
        <v>9561800</v>
      </c>
      <c r="M34" s="151">
        <f t="shared" si="7"/>
        <v>-5700</v>
      </c>
      <c r="N34" s="151">
        <f>N33</f>
        <v>9561800</v>
      </c>
      <c r="O34" s="97"/>
      <c r="P34" s="151">
        <f t="shared" ref="P34:AN34" si="8">SUM(P3:P33)</f>
        <v>334250</v>
      </c>
      <c r="Q34" s="151">
        <f t="shared" si="8"/>
        <v>213000</v>
      </c>
      <c r="R34" s="151">
        <f t="shared" si="8"/>
        <v>331250</v>
      </c>
      <c r="S34" s="151">
        <f t="shared" si="8"/>
        <v>100000</v>
      </c>
      <c r="T34" s="151">
        <f t="shared" si="8"/>
        <v>25000</v>
      </c>
      <c r="U34" s="151">
        <f t="shared" si="8"/>
        <v>56000</v>
      </c>
      <c r="V34" s="151">
        <f t="shared" si="8"/>
        <v>260000</v>
      </c>
      <c r="W34" s="151">
        <f t="shared" si="8"/>
        <v>17500</v>
      </c>
      <c r="X34" s="151">
        <f t="shared" si="8"/>
        <v>4131000</v>
      </c>
      <c r="Y34" s="151">
        <f t="shared" si="8"/>
        <v>485500</v>
      </c>
      <c r="Z34" s="151">
        <f t="shared" si="8"/>
        <v>30500</v>
      </c>
      <c r="AA34" s="151">
        <f t="shared" si="8"/>
        <v>7000</v>
      </c>
      <c r="AB34" s="151">
        <f t="shared" si="8"/>
        <v>25500</v>
      </c>
      <c r="AC34" s="151">
        <f t="shared" si="8"/>
        <v>0</v>
      </c>
      <c r="AD34" s="151">
        <f t="shared" si="8"/>
        <v>4500</v>
      </c>
      <c r="AE34" s="151">
        <f t="shared" si="8"/>
        <v>1000</v>
      </c>
      <c r="AF34" s="151">
        <f t="shared" si="8"/>
        <v>16500</v>
      </c>
      <c r="AG34" s="151">
        <f t="shared" si="8"/>
        <v>1000</v>
      </c>
      <c r="AH34" s="151">
        <f t="shared" si="8"/>
        <v>0</v>
      </c>
      <c r="AI34" s="151">
        <f t="shared" si="8"/>
        <v>5000</v>
      </c>
      <c r="AJ34" s="151">
        <f t="shared" si="8"/>
        <v>500</v>
      </c>
      <c r="AK34" s="151">
        <f t="shared" si="8"/>
        <v>2500</v>
      </c>
      <c r="AL34" s="151">
        <f t="shared" si="8"/>
        <v>13000</v>
      </c>
      <c r="AM34" s="151">
        <f t="shared" si="8"/>
        <v>30000</v>
      </c>
      <c r="AN34" s="151">
        <f t="shared" si="8"/>
        <v>44500</v>
      </c>
      <c r="AO34" s="151">
        <f>SUM(P34:AN34)-X34</f>
        <v>2004000</v>
      </c>
      <c r="AP34" s="133"/>
      <c r="AQ34" s="69"/>
      <c r="AR34" s="69"/>
      <c r="AS34" s="69"/>
      <c r="AT34" s="69"/>
      <c r="AU34" s="69"/>
      <c r="AV34" s="69"/>
      <c r="AW34" s="69"/>
      <c r="AX34" s="69"/>
      <c r="AY34" s="69"/>
    </row>
    <row r="35" ht="15.75" customHeight="1" spans="1:51">
      <c r="A35" s="50"/>
      <c r="B35" s="152" t="s">
        <v>40</v>
      </c>
      <c r="C35" s="50"/>
      <c r="D35" s="50"/>
      <c r="E35" s="50">
        <f t="shared" ref="E35:I35" si="9">E34/$C$34</f>
        <v>0.0131324433804332</v>
      </c>
      <c r="F35" s="50">
        <f t="shared" si="9"/>
        <v>0</v>
      </c>
      <c r="G35" s="50">
        <f t="shared" si="9"/>
        <v>0.00350429796941546</v>
      </c>
      <c r="H35" s="50">
        <f t="shared" si="9"/>
        <v>0.0020644131602002</v>
      </c>
      <c r="I35" s="50">
        <f t="shared" si="9"/>
        <v>0.64934467893171</v>
      </c>
      <c r="J35" s="50"/>
      <c r="K35" s="50">
        <f>K34/$C$34</f>
        <v>0.331954166558242</v>
      </c>
      <c r="L35" s="50">
        <f>L33/$C$34</f>
        <v>-0.0142860860287803</v>
      </c>
      <c r="M35" s="50">
        <f>M34/$C$34</f>
        <v>-0.000197767311145229</v>
      </c>
      <c r="N35" s="50"/>
      <c r="O35" s="97"/>
      <c r="P35" s="50">
        <f t="shared" ref="P35:AL35" si="10">P34/$C$34</f>
        <v>0.0115971445175952</v>
      </c>
      <c r="Q35" s="50">
        <f t="shared" si="10"/>
        <v>0.00739025215332171</v>
      </c>
      <c r="R35" s="50">
        <f t="shared" si="10"/>
        <v>0.0114930564590977</v>
      </c>
      <c r="S35" s="50">
        <f t="shared" si="10"/>
        <v>0.0034696019499163</v>
      </c>
      <c r="T35" s="50">
        <f t="shared" si="10"/>
        <v>0.000867400487479074</v>
      </c>
      <c r="U35" s="50">
        <f t="shared" si="10"/>
        <v>0.00194297709195313</v>
      </c>
      <c r="V35" s="50">
        <f t="shared" si="10"/>
        <v>0.00902096506978237</v>
      </c>
      <c r="W35" s="50">
        <f t="shared" si="10"/>
        <v>0.000607180341235352</v>
      </c>
      <c r="X35" s="50">
        <f t="shared" si="10"/>
        <v>0.143329256551042</v>
      </c>
      <c r="Y35" s="50">
        <f t="shared" si="10"/>
        <v>0.0168449174668436</v>
      </c>
      <c r="Z35" s="50">
        <f t="shared" si="10"/>
        <v>0.00105822859472447</v>
      </c>
      <c r="AA35" s="50">
        <f t="shared" si="10"/>
        <v>0.000242872136494141</v>
      </c>
      <c r="AB35" s="50">
        <f t="shared" si="10"/>
        <v>0.000884748497228655</v>
      </c>
      <c r="AC35" s="50">
        <f t="shared" si="10"/>
        <v>0</v>
      </c>
      <c r="AD35" s="50">
        <f t="shared" si="10"/>
        <v>0.000156132087746233</v>
      </c>
      <c r="AE35" s="50">
        <f t="shared" si="10"/>
        <v>3.4696019499163e-5</v>
      </c>
      <c r="AF35" s="50">
        <f t="shared" si="10"/>
        <v>0.000572484321736189</v>
      </c>
      <c r="AG35" s="50">
        <f t="shared" si="10"/>
        <v>3.4696019499163e-5</v>
      </c>
      <c r="AH35" s="50">
        <f t="shared" si="10"/>
        <v>0</v>
      </c>
      <c r="AI35" s="50">
        <f t="shared" si="10"/>
        <v>0.000173480097495815</v>
      </c>
      <c r="AJ35" s="50">
        <f t="shared" si="10"/>
        <v>1.73480097495815e-5</v>
      </c>
      <c r="AK35" s="50">
        <f t="shared" si="10"/>
        <v>8.67400487479074e-5</v>
      </c>
      <c r="AL35" s="50">
        <f t="shared" si="10"/>
        <v>0.000451048253489118</v>
      </c>
      <c r="AM35" s="50"/>
      <c r="AN35" s="50">
        <f t="shared" ref="AN35:AO35" si="11">AN34/$C$34</f>
        <v>0.00154397286771275</v>
      </c>
      <c r="AO35" s="50">
        <f t="shared" si="11"/>
        <v>0.0695308230763226</v>
      </c>
      <c r="AP35" s="133"/>
      <c r="AQ35" s="69"/>
      <c r="AR35" s="69"/>
      <c r="AS35" s="69"/>
      <c r="AT35" s="69"/>
      <c r="AU35" s="69"/>
      <c r="AV35" s="69"/>
      <c r="AW35" s="69"/>
      <c r="AX35" s="69"/>
      <c r="AY35" s="69"/>
    </row>
    <row r="36" ht="15.75" customHeight="1" spans="1:51">
      <c r="A36" s="50"/>
      <c r="B36" s="152" t="s">
        <v>148</v>
      </c>
      <c r="C36" s="50">
        <f>C34/'JUIN 23'!C33-1</f>
        <v>0.407930731278394</v>
      </c>
      <c r="D36" s="50">
        <f>D34/'JUIN 23'!D33-1</f>
        <v>0.402914186507936</v>
      </c>
      <c r="E36" s="50">
        <f>E34/'JUIN 23'!E33-1</f>
        <v>1.02949061662198</v>
      </c>
      <c r="F36" s="50"/>
      <c r="G36" s="50">
        <f>G34/'JUIN 23'!G33-1</f>
        <v>0.565891472868217</v>
      </c>
      <c r="H36" s="50">
        <f>H34/'JUIN 23'!H33-1</f>
        <v>-0.0083333333333333</v>
      </c>
      <c r="I36" s="50">
        <f>I34/'JUIN 23'!I33-1</f>
        <v>0.536322479754717</v>
      </c>
      <c r="J36" s="50"/>
      <c r="K36" s="50">
        <f>K34/'JUIN 23'!K33-1</f>
        <v>0.199212850096827</v>
      </c>
      <c r="L36" s="50">
        <f>L33/'JUIN 23'!L33-1</f>
        <v>-1.05115605859186</v>
      </c>
      <c r="M36" s="50">
        <f>M34/'JUIN 23'!M33-1</f>
        <v>-1.08799691238904</v>
      </c>
      <c r="N36" s="50">
        <f>N34/'JUIN 23'!N33-1</f>
        <v>0.187963572662103</v>
      </c>
      <c r="O36" s="98"/>
      <c r="P36" s="50">
        <f>P34/'JUIN 23'!P33-1</f>
        <v>0.17693661971831</v>
      </c>
      <c r="Q36" s="50">
        <f>Q34/'JUIN 23'!Q33-1</f>
        <v>-0.4453125</v>
      </c>
      <c r="R36" s="50">
        <f>R34/'JUIN 23'!R33-1</f>
        <v>-0.4746233148295</v>
      </c>
      <c r="S36" s="50">
        <f>S34/'JUIN 23'!S33-1</f>
        <v>-0.741602067183463</v>
      </c>
      <c r="T36" s="50">
        <f>T34/'JUIN 23'!T33-1</f>
        <v>-0.509803921568627</v>
      </c>
      <c r="U36" s="50">
        <f>U34/'JUIN 23'!U33-1</f>
        <v>2.73333333333333</v>
      </c>
      <c r="V36" s="50">
        <f>V34/'JUIN 23'!V33-1</f>
        <v>0.0420841683366733</v>
      </c>
      <c r="W36" s="50">
        <f>W34/'JUIN 23'!W33-1</f>
        <v>34</v>
      </c>
      <c r="X36" s="50">
        <f>X34/'JUIN 23'!Y33-1</f>
        <v>0.684747145187602</v>
      </c>
      <c r="Y36" s="50">
        <f>Y34/'JUIN 23'!Z33-1</f>
        <v>-0.0433497536945813</v>
      </c>
      <c r="Z36" s="50">
        <f>Z34/'JUIN 23'!AA33-1</f>
        <v>-0.33695652173913</v>
      </c>
      <c r="AA36" s="50">
        <f>AA34/'JUIN 23'!AB33-1</f>
        <v>0.555555555555556</v>
      </c>
      <c r="AB36" s="50">
        <f>AB34/'JUIN 23'!AC33-1</f>
        <v>1.68421052631579</v>
      </c>
      <c r="AC36" s="50">
        <f>AC34/'JUIN 23'!AD33-1</f>
        <v>-1</v>
      </c>
      <c r="AD36" s="50">
        <f>AD34/'JUIN 23'!AE33-1</f>
        <v>-0.7</v>
      </c>
      <c r="AE36" s="50">
        <f>AE34/'JUIN 23'!AF33-1</f>
        <v>1</v>
      </c>
      <c r="AF36" s="50">
        <f>AF34/'JUIN 23'!AG33-1</f>
        <v>1.75</v>
      </c>
      <c r="AG36" s="50">
        <f>AG34/'JUIN 23'!AH33-1</f>
        <v>1</v>
      </c>
      <c r="AH36" s="50">
        <f>AH34/'JUIN 23'!AI33-1</f>
        <v>-1</v>
      </c>
      <c r="AI36" s="50" t="e">
        <f>AI34/'JUIN 23'!AJ33-1</f>
        <v>#DIV/0!</v>
      </c>
      <c r="AJ36" s="50" t="e">
        <f>AJ34/'JUIN 23'!AK33-1</f>
        <v>#DIV/0!</v>
      </c>
      <c r="AK36" s="50" t="e">
        <f>AK34/'JUIN 23'!AL33-1</f>
        <v>#DIV/0!</v>
      </c>
      <c r="AL36" s="50" t="e">
        <f>AL34/'JUIN 23'!AM33-1</f>
        <v>#DIV/0!</v>
      </c>
      <c r="AM36" s="50"/>
      <c r="AN36" s="50">
        <f>AN34/'JUIN 23'!AN33-1</f>
        <v>0.459016393442623</v>
      </c>
      <c r="AO36" s="50">
        <f>AO34/'JUIN 23'!AO34-1</f>
        <v>-0.238022813688213</v>
      </c>
      <c r="AP36" s="133"/>
      <c r="AQ36" s="69"/>
      <c r="AR36" s="69"/>
      <c r="AS36" s="69"/>
      <c r="AT36" s="69"/>
      <c r="AU36" s="69"/>
      <c r="AV36" s="69"/>
      <c r="AW36" s="69"/>
      <c r="AX36" s="69"/>
      <c r="AY36" s="69"/>
    </row>
    <row r="37" ht="15.75" customHeight="1" spans="1:51">
      <c r="A37" s="52" t="s">
        <v>156</v>
      </c>
      <c r="B37" s="153">
        <f>C34</f>
        <v>28821750</v>
      </c>
      <c r="C37" s="154"/>
      <c r="D37" s="66"/>
      <c r="E37" s="66"/>
      <c r="F37" s="57"/>
      <c r="G37" s="57"/>
      <c r="H37" s="57"/>
      <c r="I37" s="57"/>
      <c r="J37" s="99"/>
      <c r="K37" s="100"/>
      <c r="L37" s="101"/>
      <c r="M37" s="102"/>
      <c r="N37" s="103"/>
      <c r="O37" s="104" t="s">
        <v>185</v>
      </c>
      <c r="P37" s="105">
        <f>'AVRIL 23'!N15</f>
        <v>25950</v>
      </c>
      <c r="Q37" s="105">
        <f>'AVRIL 23'!O15</f>
        <v>94950</v>
      </c>
      <c r="R37" s="105">
        <f>'AVRIL 23'!P15</f>
        <v>4500</v>
      </c>
      <c r="S37" s="132"/>
      <c r="T37" s="66"/>
      <c r="U37" s="66"/>
      <c r="V37" s="66"/>
      <c r="W37" s="66"/>
      <c r="X37" s="66"/>
      <c r="Y37" s="66"/>
      <c r="Z37" s="66"/>
      <c r="AA37" s="66"/>
      <c r="AB37" s="66"/>
      <c r="AC37" s="66"/>
      <c r="AD37" s="66"/>
      <c r="AE37" s="66"/>
      <c r="AF37" s="66"/>
      <c r="AG37" s="66"/>
      <c r="AH37" s="66"/>
      <c r="AI37" s="66"/>
      <c r="AJ37" s="66"/>
      <c r="AK37" s="66"/>
      <c r="AL37" s="66"/>
      <c r="AM37" s="66"/>
      <c r="AN37" s="66"/>
      <c r="AO37" s="66"/>
      <c r="AP37" s="69"/>
      <c r="AQ37" s="69"/>
      <c r="AR37" s="69"/>
      <c r="AS37" s="69"/>
      <c r="AT37" s="69"/>
      <c r="AU37" s="69"/>
      <c r="AV37" s="69"/>
      <c r="AW37" s="69"/>
      <c r="AX37" s="69"/>
      <c r="AY37" s="69"/>
    </row>
    <row r="38" ht="15.75" customHeight="1" spans="1:51">
      <c r="A38" s="52" t="s">
        <v>176</v>
      </c>
      <c r="B38" s="153">
        <f>'Détail Dépenses'!D116+'Détail Dépenses'!E116+'Détail Dépenses'!G116+'Détail Dépenses'!H116+'Détail Dépenses'!I116</f>
        <v>15256125</v>
      </c>
      <c r="C38" s="155"/>
      <c r="D38" s="69"/>
      <c r="E38" s="69"/>
      <c r="F38" s="106"/>
      <c r="G38" s="106"/>
      <c r="H38" s="106"/>
      <c r="I38" s="106"/>
      <c r="J38" s="107"/>
      <c r="K38" s="108"/>
      <c r="L38" s="109"/>
      <c r="M38" s="110"/>
      <c r="N38" s="111"/>
      <c r="O38" s="104" t="s">
        <v>186</v>
      </c>
      <c r="P38" s="105">
        <f>'MAI 23'!O37</f>
        <v>107550</v>
      </c>
      <c r="Q38" s="105">
        <f>'MAI 23'!P37</f>
        <v>213000</v>
      </c>
      <c r="R38" s="105">
        <f>'MAI 23'!Q37</f>
        <v>70950</v>
      </c>
      <c r="S38" s="133"/>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row>
    <row r="39" ht="15.75" customHeight="1" spans="1:51">
      <c r="A39" s="52" t="s">
        <v>177</v>
      </c>
      <c r="B39" s="153">
        <f>C34-B38</f>
        <v>13565625</v>
      </c>
      <c r="C39" s="156"/>
      <c r="D39" s="69"/>
      <c r="E39" s="69"/>
      <c r="F39" s="112"/>
      <c r="G39" s="112"/>
      <c r="H39" s="112"/>
      <c r="I39" s="112"/>
      <c r="J39" s="113"/>
      <c r="K39" s="114"/>
      <c r="L39" s="115"/>
      <c r="M39" s="116"/>
      <c r="N39" s="117"/>
      <c r="O39" s="104" t="s">
        <v>212</v>
      </c>
      <c r="P39" s="105">
        <f>'JUIN 23'!P38</f>
        <v>85200</v>
      </c>
      <c r="Q39" s="105">
        <f>'JUIN 23'!Q38</f>
        <v>115200</v>
      </c>
      <c r="R39" s="105">
        <f>'JUIN 23'!R38</f>
        <v>189150</v>
      </c>
      <c r="S39" s="133"/>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row>
    <row r="40" ht="15.75" customHeight="1" spans="1:51">
      <c r="A40" s="52" t="s">
        <v>178</v>
      </c>
      <c r="B40" s="157">
        <f>B39/C34</f>
        <v>0.470673189518333</v>
      </c>
      <c r="C40" s="65"/>
      <c r="D40" s="126"/>
      <c r="E40" s="158"/>
      <c r="F40" s="59"/>
      <c r="G40" s="59"/>
      <c r="H40" s="59"/>
      <c r="I40" s="59"/>
      <c r="J40" s="118"/>
      <c r="K40" s="119"/>
      <c r="L40" s="120"/>
      <c r="M40" s="121"/>
      <c r="N40" s="122"/>
      <c r="O40" s="104" t="s">
        <v>218</v>
      </c>
      <c r="P40" s="105">
        <f t="shared" ref="P40:R40" si="12">P34*(1-$O$2)</f>
        <v>100275</v>
      </c>
      <c r="Q40" s="105">
        <f t="shared" si="12"/>
        <v>63900</v>
      </c>
      <c r="R40" s="105">
        <f t="shared" si="12"/>
        <v>99375</v>
      </c>
      <c r="S40" s="133"/>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row>
    <row r="41" ht="15.75" customHeight="1" spans="1:51">
      <c r="A41" s="52" t="s">
        <v>20</v>
      </c>
      <c r="B41" s="153">
        <f>SUM('Détail Dépenses'!J116:V116)+'Détail Dépenses'!F116</f>
        <v>2199825</v>
      </c>
      <c r="C41" s="65"/>
      <c r="D41" s="126"/>
      <c r="E41" s="158"/>
      <c r="F41" s="59"/>
      <c r="G41" s="59"/>
      <c r="H41" s="59"/>
      <c r="I41" s="59"/>
      <c r="J41" s="118"/>
      <c r="K41" s="25"/>
      <c r="L41" s="120"/>
      <c r="M41" s="121"/>
      <c r="N41" s="122"/>
      <c r="O41" s="123" t="s">
        <v>219</v>
      </c>
      <c r="P41" s="124">
        <f t="shared" ref="P41:R41" si="13">SUM(P37:P40)</f>
        <v>318975</v>
      </c>
      <c r="Q41" s="124">
        <f t="shared" si="13"/>
        <v>487050</v>
      </c>
      <c r="R41" s="124">
        <f t="shared" si="13"/>
        <v>363975</v>
      </c>
      <c r="S41" s="133"/>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row>
    <row r="42" ht="15.75" customHeight="1" spans="1:51">
      <c r="A42" s="52" t="s">
        <v>213</v>
      </c>
      <c r="B42" s="157">
        <f>B41/B37</f>
        <v>0.0763251710947462</v>
      </c>
      <c r="C42" s="65"/>
      <c r="D42" s="126"/>
      <c r="E42" s="158"/>
      <c r="F42" s="59"/>
      <c r="G42" s="59"/>
      <c r="H42" s="59"/>
      <c r="I42" s="59"/>
      <c r="J42" s="118"/>
      <c r="K42" s="119"/>
      <c r="L42" s="120"/>
      <c r="M42" s="121"/>
      <c r="N42" s="121"/>
      <c r="O42" s="125"/>
      <c r="P42" s="66"/>
      <c r="Q42" s="66"/>
      <c r="R42" s="66"/>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row>
    <row r="43" ht="15.75" customHeight="1" spans="1:51">
      <c r="A43" s="52" t="s">
        <v>179</v>
      </c>
      <c r="B43" s="153">
        <f>'Détail Dépenses'!W116+'Détail Dépenses'!X116</f>
        <v>1159300</v>
      </c>
      <c r="C43" s="65"/>
      <c r="D43" s="126"/>
      <c r="E43" s="158"/>
      <c r="F43" s="59"/>
      <c r="G43" s="59"/>
      <c r="H43" s="59"/>
      <c r="I43" s="59"/>
      <c r="J43" s="118"/>
      <c r="K43" s="119"/>
      <c r="L43" s="120"/>
      <c r="M43" s="121"/>
      <c r="N43" s="121"/>
      <c r="O43" s="126"/>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row>
    <row r="44" ht="15.75" customHeight="1" spans="1:51">
      <c r="A44" s="52" t="s">
        <v>180</v>
      </c>
      <c r="B44" s="153">
        <f>B39-B41-B43</f>
        <v>10206500</v>
      </c>
      <c r="C44" s="65"/>
      <c r="D44" s="126"/>
      <c r="E44" s="159"/>
      <c r="F44" s="59"/>
      <c r="G44" s="59"/>
      <c r="H44" s="59"/>
      <c r="I44" s="59"/>
      <c r="J44" s="118"/>
      <c r="K44" s="119"/>
      <c r="L44" s="120"/>
      <c r="M44" s="121"/>
      <c r="N44" s="121"/>
      <c r="O44" s="126"/>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row>
    <row r="45" ht="15.75" customHeight="1" spans="1:51">
      <c r="A45" s="52" t="s">
        <v>181</v>
      </c>
      <c r="B45" s="157">
        <f>B44/C34</f>
        <v>0.354124923018207</v>
      </c>
      <c r="C45" s="65"/>
      <c r="D45" s="126"/>
      <c r="E45" s="158"/>
      <c r="F45" s="59"/>
      <c r="G45" s="59"/>
      <c r="H45" s="59"/>
      <c r="I45" s="59"/>
      <c r="J45" s="118"/>
      <c r="K45" s="119"/>
      <c r="L45" s="120"/>
      <c r="M45" s="121"/>
      <c r="N45" s="121"/>
      <c r="O45" s="126"/>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row>
    <row r="46" ht="15.75" customHeight="1" spans="1:51">
      <c r="A46" s="52" t="s">
        <v>214</v>
      </c>
      <c r="B46" s="153">
        <f>RHv!H58</f>
        <v>1809500</v>
      </c>
      <c r="C46" s="65"/>
      <c r="D46" s="126"/>
      <c r="E46" s="158"/>
      <c r="F46" s="59"/>
      <c r="G46" s="59"/>
      <c r="H46" s="59"/>
      <c r="I46" s="59"/>
      <c r="J46" s="118"/>
      <c r="K46" s="119"/>
      <c r="L46" s="120"/>
      <c r="M46" s="121"/>
      <c r="N46" s="121"/>
      <c r="O46" s="126"/>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row>
    <row r="47" ht="15.75" customHeight="1" spans="1:51">
      <c r="A47" s="52" t="s">
        <v>215</v>
      </c>
      <c r="B47" s="157">
        <f>B46/B37</f>
        <v>0.0627824472837354</v>
      </c>
      <c r="C47" s="160"/>
      <c r="D47" s="69"/>
      <c r="E47" s="158"/>
      <c r="F47" s="59"/>
      <c r="G47" s="59"/>
      <c r="H47" s="59"/>
      <c r="I47" s="59"/>
      <c r="J47" s="118"/>
      <c r="K47" s="119"/>
      <c r="L47" s="120"/>
      <c r="M47" s="121"/>
      <c r="N47" s="121"/>
      <c r="O47" s="126"/>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row>
    <row r="48" ht="15.75" customHeight="1" spans="1:51">
      <c r="A48" s="52" t="s">
        <v>216</v>
      </c>
      <c r="B48" s="153">
        <f>B38+B41+B43+B46</f>
        <v>20424750</v>
      </c>
      <c r="C48" s="63" t="s">
        <v>220</v>
      </c>
      <c r="D48" s="126"/>
      <c r="E48" s="158"/>
      <c r="F48" s="59"/>
      <c r="G48" s="59"/>
      <c r="H48" s="59"/>
      <c r="I48" s="59"/>
      <c r="J48" s="118"/>
      <c r="K48" s="119"/>
      <c r="L48" s="120"/>
      <c r="M48" s="121"/>
      <c r="N48" s="121"/>
      <c r="O48" s="126"/>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row>
    <row r="49" ht="15.75" customHeight="1" spans="1:51">
      <c r="A49" s="52" t="s">
        <v>183</v>
      </c>
      <c r="B49" s="161">
        <f>B44-B46</f>
        <v>8397000</v>
      </c>
      <c r="C49" s="65">
        <f>N34+E34-B46</f>
        <v>8130800</v>
      </c>
      <c r="D49" s="126"/>
      <c r="E49" s="158"/>
      <c r="F49" s="59"/>
      <c r="G49" s="59"/>
      <c r="H49" s="59"/>
      <c r="I49" s="59"/>
      <c r="J49" s="118"/>
      <c r="K49" s="119"/>
      <c r="L49" s="120"/>
      <c r="M49" s="121"/>
      <c r="N49" s="127"/>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row>
    <row r="50" ht="15.75" customHeight="1" spans="1:51">
      <c r="A50" s="52" t="s">
        <v>184</v>
      </c>
      <c r="B50" s="157">
        <f>B49/B37</f>
        <v>0.291342475734471</v>
      </c>
      <c r="C50" s="65"/>
      <c r="D50" s="126"/>
      <c r="E50" s="158"/>
      <c r="F50" s="59"/>
      <c r="G50" s="59"/>
      <c r="H50" s="59"/>
      <c r="I50" s="59"/>
      <c r="J50" s="118"/>
      <c r="K50" s="119"/>
      <c r="L50" s="120"/>
      <c r="M50" s="121"/>
      <c r="N50" s="121"/>
      <c r="O50" s="126"/>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row>
    <row r="51" ht="15.75" customHeight="1" spans="1:51">
      <c r="A51" s="66"/>
      <c r="B51" s="162"/>
      <c r="C51" s="67"/>
      <c r="D51" s="69"/>
      <c r="E51" s="69"/>
      <c r="F51" s="68"/>
      <c r="G51" s="68"/>
      <c r="H51" s="68"/>
      <c r="I51" s="68"/>
      <c r="J51" s="67"/>
      <c r="K51" s="68"/>
      <c r="L51" s="68"/>
      <c r="M51" s="68"/>
      <c r="N51" s="68"/>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row>
    <row r="52" ht="15.75" customHeight="1" spans="1:51">
      <c r="A52" s="69"/>
      <c r="B52" s="163"/>
      <c r="C52" s="70"/>
      <c r="D52" s="69"/>
      <c r="E52" s="69"/>
      <c r="F52" s="69"/>
      <c r="G52" s="69"/>
      <c r="H52" s="69"/>
      <c r="I52" s="69"/>
      <c r="J52" s="70"/>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row>
    <row r="53" ht="15.75" customHeight="1" spans="1:51">
      <c r="A53" s="69"/>
      <c r="B53" s="163"/>
      <c r="C53" s="70"/>
      <c r="D53" s="69"/>
      <c r="E53" s="69"/>
      <c r="F53" s="69"/>
      <c r="G53" s="69"/>
      <c r="H53" s="69"/>
      <c r="I53" s="69"/>
      <c r="J53" s="70"/>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row>
    <row r="54" ht="15.75" customHeight="1" spans="1:51">
      <c r="A54" s="69"/>
      <c r="B54" s="163"/>
      <c r="C54" s="70"/>
      <c r="D54" s="69"/>
      <c r="E54" s="69"/>
      <c r="F54" s="69"/>
      <c r="G54" s="69"/>
      <c r="H54" s="69"/>
      <c r="I54" s="69"/>
      <c r="J54" s="70"/>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row>
    <row r="55" ht="15.75" customHeight="1" spans="1:51">
      <c r="A55" s="69"/>
      <c r="B55" s="163"/>
      <c r="C55" s="70"/>
      <c r="D55" s="69"/>
      <c r="E55" s="69"/>
      <c r="F55" s="69"/>
      <c r="G55" s="69"/>
      <c r="H55" s="69"/>
      <c r="I55" s="69"/>
      <c r="J55" s="70"/>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row>
    <row r="56" ht="15.75" customHeight="1" spans="1:51">
      <c r="A56" s="69"/>
      <c r="B56" s="163"/>
      <c r="C56" s="70"/>
      <c r="D56" s="69"/>
      <c r="E56" s="69"/>
      <c r="F56" s="69"/>
      <c r="G56" s="69"/>
      <c r="H56" s="69"/>
      <c r="I56" s="69"/>
      <c r="J56" s="70"/>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row>
    <row r="57" ht="15.75" customHeight="1" spans="1:51">
      <c r="A57" s="69"/>
      <c r="B57" s="163"/>
      <c r="C57" s="70"/>
      <c r="D57" s="69"/>
      <c r="E57" s="69"/>
      <c r="F57" s="69"/>
      <c r="G57" s="69"/>
      <c r="H57" s="69"/>
      <c r="I57" s="69"/>
      <c r="J57" s="70"/>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row>
    <row r="58" ht="15.75" customHeight="1" spans="1:51">
      <c r="A58" s="69"/>
      <c r="B58" s="163"/>
      <c r="C58" s="70"/>
      <c r="D58" s="69"/>
      <c r="E58" s="69"/>
      <c r="F58" s="69"/>
      <c r="G58" s="69"/>
      <c r="H58" s="69"/>
      <c r="I58" s="69"/>
      <c r="J58" s="70"/>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row>
    <row r="59" ht="15.75" customHeight="1" spans="1:51">
      <c r="A59" s="69"/>
      <c r="B59" s="163"/>
      <c r="C59" s="70"/>
      <c r="D59" s="69"/>
      <c r="E59" s="69"/>
      <c r="F59" s="69"/>
      <c r="G59" s="69"/>
      <c r="H59" s="69"/>
      <c r="I59" s="69"/>
      <c r="J59" s="70"/>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row>
    <row r="60" ht="15.75" customHeight="1" spans="1:51">
      <c r="A60" s="69"/>
      <c r="B60" s="163"/>
      <c r="C60" s="70"/>
      <c r="D60" s="69"/>
      <c r="E60" s="69"/>
      <c r="F60" s="69"/>
      <c r="G60" s="69"/>
      <c r="H60" s="69"/>
      <c r="I60" s="69"/>
      <c r="J60" s="70"/>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row>
    <row r="61" ht="15.75" customHeight="1" spans="1:51">
      <c r="A61" s="69"/>
      <c r="B61" s="163"/>
      <c r="C61" s="70"/>
      <c r="D61" s="69"/>
      <c r="E61" s="69"/>
      <c r="F61" s="69"/>
      <c r="G61" s="69"/>
      <c r="H61" s="69"/>
      <c r="I61" s="69"/>
      <c r="J61" s="70"/>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row>
    <row r="62" ht="15.75" customHeight="1" spans="1:51">
      <c r="A62" s="69"/>
      <c r="B62" s="163"/>
      <c r="C62" s="70"/>
      <c r="D62" s="69"/>
      <c r="E62" s="69"/>
      <c r="F62" s="69"/>
      <c r="G62" s="69"/>
      <c r="H62" s="69"/>
      <c r="I62" s="69"/>
      <c r="J62" s="70"/>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row>
    <row r="63" ht="15.75" customHeight="1" spans="1:51">
      <c r="A63" s="69"/>
      <c r="B63" s="163"/>
      <c r="C63" s="70"/>
      <c r="D63" s="69"/>
      <c r="E63" s="69"/>
      <c r="F63" s="69"/>
      <c r="G63" s="69"/>
      <c r="H63" s="69"/>
      <c r="I63" s="69"/>
      <c r="J63" s="70"/>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row>
    <row r="64" ht="15.75" customHeight="1" spans="1:51">
      <c r="A64" s="69"/>
      <c r="B64" s="163"/>
      <c r="C64" s="70"/>
      <c r="D64" s="69"/>
      <c r="E64" s="69"/>
      <c r="F64" s="69"/>
      <c r="G64" s="69"/>
      <c r="H64" s="69"/>
      <c r="I64" s="69"/>
      <c r="J64" s="70"/>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row>
    <row r="65" ht="15.75" customHeight="1" spans="1:51">
      <c r="A65" s="69"/>
      <c r="B65" s="163"/>
      <c r="C65" s="70"/>
      <c r="D65" s="69"/>
      <c r="E65" s="69"/>
      <c r="F65" s="69"/>
      <c r="G65" s="69"/>
      <c r="H65" s="69"/>
      <c r="I65" s="69"/>
      <c r="J65" s="70"/>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row>
    <row r="66" ht="15.75" customHeight="1" spans="1:51">
      <c r="A66" s="69"/>
      <c r="B66" s="163"/>
      <c r="C66" s="70"/>
      <c r="D66" s="69"/>
      <c r="E66" s="69"/>
      <c r="F66" s="69"/>
      <c r="G66" s="69"/>
      <c r="H66" s="69"/>
      <c r="I66" s="69"/>
      <c r="J66" s="70"/>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row>
    <row r="67" ht="15.75" customHeight="1" spans="1:51">
      <c r="A67" s="69"/>
      <c r="B67" s="163"/>
      <c r="C67" s="70"/>
      <c r="D67" s="69"/>
      <c r="E67" s="69"/>
      <c r="F67" s="69"/>
      <c r="G67" s="69"/>
      <c r="H67" s="69"/>
      <c r="I67" s="69"/>
      <c r="J67" s="70"/>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row>
    <row r="68" ht="15.75" customHeight="1" spans="1:51">
      <c r="A68" s="69"/>
      <c r="B68" s="163"/>
      <c r="C68" s="70"/>
      <c r="D68" s="69"/>
      <c r="E68" s="69"/>
      <c r="F68" s="69"/>
      <c r="G68" s="69"/>
      <c r="H68" s="69"/>
      <c r="I68" s="69"/>
      <c r="J68" s="70"/>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row>
    <row r="69" ht="15.75" customHeight="1" spans="1:51">
      <c r="A69" s="69"/>
      <c r="B69" s="163"/>
      <c r="C69" s="70"/>
      <c r="D69" s="69"/>
      <c r="E69" s="69"/>
      <c r="F69" s="69"/>
      <c r="G69" s="69"/>
      <c r="H69" s="69"/>
      <c r="I69" s="69"/>
      <c r="J69" s="70"/>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row>
    <row r="70" ht="15.75" customHeight="1" spans="1:51">
      <c r="A70" s="69"/>
      <c r="B70" s="163"/>
      <c r="C70" s="70"/>
      <c r="D70" s="69"/>
      <c r="E70" s="69"/>
      <c r="F70" s="69"/>
      <c r="G70" s="69"/>
      <c r="H70" s="69"/>
      <c r="I70" s="69"/>
      <c r="J70" s="70"/>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row>
    <row r="71" ht="15.75" customHeight="1" spans="1:51">
      <c r="A71" s="69"/>
      <c r="B71" s="163"/>
      <c r="C71" s="70"/>
      <c r="D71" s="69"/>
      <c r="E71" s="69"/>
      <c r="F71" s="69"/>
      <c r="G71" s="69"/>
      <c r="H71" s="69"/>
      <c r="I71" s="69"/>
      <c r="J71" s="70"/>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row>
    <row r="72" ht="15.75" customHeight="1" spans="1:51">
      <c r="A72" s="69"/>
      <c r="B72" s="163"/>
      <c r="C72" s="70"/>
      <c r="D72" s="69"/>
      <c r="E72" s="69"/>
      <c r="F72" s="69"/>
      <c r="G72" s="69"/>
      <c r="H72" s="69"/>
      <c r="I72" s="69"/>
      <c r="J72" s="70"/>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row>
    <row r="73" ht="15.75" customHeight="1" spans="1:51">
      <c r="A73" s="69"/>
      <c r="B73" s="163"/>
      <c r="C73" s="70"/>
      <c r="D73" s="69"/>
      <c r="E73" s="69"/>
      <c r="F73" s="69"/>
      <c r="G73" s="69"/>
      <c r="H73" s="69"/>
      <c r="I73" s="69"/>
      <c r="J73" s="70"/>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row>
    <row r="74" ht="15.75" customHeight="1" spans="1:51">
      <c r="A74" s="69"/>
      <c r="B74" s="163"/>
      <c r="C74" s="70"/>
      <c r="D74" s="69"/>
      <c r="E74" s="69"/>
      <c r="F74" s="69"/>
      <c r="G74" s="69"/>
      <c r="H74" s="69"/>
      <c r="I74" s="69"/>
      <c r="J74" s="70"/>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row>
    <row r="75" ht="15.75" customHeight="1" spans="1:51">
      <c r="A75" s="69"/>
      <c r="B75" s="163"/>
      <c r="C75" s="70"/>
      <c r="D75" s="69"/>
      <c r="E75" s="69"/>
      <c r="F75" s="69"/>
      <c r="G75" s="69"/>
      <c r="H75" s="69"/>
      <c r="I75" s="69"/>
      <c r="J75" s="70"/>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row>
    <row r="76" ht="15.75" customHeight="1" spans="1:51">
      <c r="A76" s="69"/>
      <c r="B76" s="163"/>
      <c r="C76" s="70"/>
      <c r="D76" s="69"/>
      <c r="E76" s="69"/>
      <c r="F76" s="69"/>
      <c r="G76" s="69"/>
      <c r="H76" s="69"/>
      <c r="I76" s="69"/>
      <c r="J76" s="70"/>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row>
    <row r="77" ht="15.75" customHeight="1" spans="1:51">
      <c r="A77" s="69"/>
      <c r="B77" s="163"/>
      <c r="C77" s="70"/>
      <c r="D77" s="69"/>
      <c r="E77" s="69"/>
      <c r="F77" s="69"/>
      <c r="G77" s="69"/>
      <c r="H77" s="69"/>
      <c r="I77" s="69"/>
      <c r="J77" s="70"/>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row>
    <row r="78" ht="15.75" customHeight="1" spans="1:51">
      <c r="A78" s="69"/>
      <c r="B78" s="163"/>
      <c r="C78" s="70"/>
      <c r="D78" s="69"/>
      <c r="E78" s="69"/>
      <c r="F78" s="69"/>
      <c r="G78" s="69"/>
      <c r="H78" s="69"/>
      <c r="I78" s="69"/>
      <c r="J78" s="70"/>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row>
    <row r="79" ht="15.75" customHeight="1" spans="1:51">
      <c r="A79" s="69"/>
      <c r="B79" s="163"/>
      <c r="C79" s="70"/>
      <c r="D79" s="69"/>
      <c r="E79" s="69"/>
      <c r="F79" s="69"/>
      <c r="G79" s="69"/>
      <c r="H79" s="69"/>
      <c r="I79" s="69"/>
      <c r="J79" s="70"/>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row>
    <row r="80" ht="15.75" customHeight="1" spans="1:51">
      <c r="A80" s="69"/>
      <c r="B80" s="163"/>
      <c r="C80" s="70"/>
      <c r="D80" s="69"/>
      <c r="E80" s="69"/>
      <c r="F80" s="69"/>
      <c r="G80" s="69"/>
      <c r="H80" s="69"/>
      <c r="I80" s="69"/>
      <c r="J80" s="70"/>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row>
    <row r="81" ht="15.75" customHeight="1" spans="1:51">
      <c r="A81" s="69"/>
      <c r="B81" s="163"/>
      <c r="C81" s="70"/>
      <c r="D81" s="69"/>
      <c r="E81" s="69"/>
      <c r="F81" s="69"/>
      <c r="G81" s="69"/>
      <c r="H81" s="69"/>
      <c r="I81" s="69"/>
      <c r="J81" s="70"/>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row>
    <row r="82" ht="15.75" customHeight="1" spans="1:51">
      <c r="A82" s="69"/>
      <c r="B82" s="163"/>
      <c r="C82" s="70"/>
      <c r="D82" s="69"/>
      <c r="E82" s="69"/>
      <c r="F82" s="69"/>
      <c r="G82" s="69"/>
      <c r="H82" s="69"/>
      <c r="I82" s="69"/>
      <c r="J82" s="70"/>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row>
    <row r="83" ht="15.75" customHeight="1" spans="1:51">
      <c r="A83" s="69"/>
      <c r="B83" s="163"/>
      <c r="C83" s="70"/>
      <c r="D83" s="69"/>
      <c r="E83" s="69"/>
      <c r="F83" s="69"/>
      <c r="G83" s="69"/>
      <c r="H83" s="69"/>
      <c r="I83" s="69"/>
      <c r="J83" s="70"/>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row>
    <row r="84" ht="15.75" customHeight="1" spans="1:51">
      <c r="A84" s="69"/>
      <c r="B84" s="163"/>
      <c r="C84" s="70"/>
      <c r="D84" s="69"/>
      <c r="E84" s="69"/>
      <c r="F84" s="69"/>
      <c r="G84" s="69"/>
      <c r="H84" s="69"/>
      <c r="I84" s="69"/>
      <c r="J84" s="70"/>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row>
    <row r="85" ht="15.75" customHeight="1" spans="1:51">
      <c r="A85" s="69"/>
      <c r="B85" s="163"/>
      <c r="C85" s="70"/>
      <c r="D85" s="69"/>
      <c r="E85" s="69"/>
      <c r="F85" s="69"/>
      <c r="G85" s="69"/>
      <c r="H85" s="69"/>
      <c r="I85" s="69"/>
      <c r="J85" s="70"/>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row>
    <row r="86" ht="15.75" customHeight="1" spans="1:51">
      <c r="A86" s="69"/>
      <c r="B86" s="163"/>
      <c r="C86" s="70"/>
      <c r="D86" s="69"/>
      <c r="E86" s="69"/>
      <c r="F86" s="69"/>
      <c r="G86" s="69"/>
      <c r="H86" s="69"/>
      <c r="I86" s="69"/>
      <c r="J86" s="70"/>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row>
    <row r="87" ht="15.75" customHeight="1" spans="1:51">
      <c r="A87" s="69"/>
      <c r="B87" s="163"/>
      <c r="C87" s="70"/>
      <c r="D87" s="69"/>
      <c r="E87" s="69"/>
      <c r="F87" s="69"/>
      <c r="G87" s="69"/>
      <c r="H87" s="69"/>
      <c r="I87" s="69"/>
      <c r="J87" s="70"/>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row>
    <row r="88" ht="15.75" customHeight="1" spans="1:51">
      <c r="A88" s="69"/>
      <c r="B88" s="163"/>
      <c r="C88" s="70"/>
      <c r="D88" s="69"/>
      <c r="E88" s="69"/>
      <c r="F88" s="69"/>
      <c r="G88" s="69"/>
      <c r="H88" s="69"/>
      <c r="I88" s="69"/>
      <c r="J88" s="70"/>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row>
    <row r="89" ht="15.75" customHeight="1" spans="1:51">
      <c r="A89" s="69"/>
      <c r="B89" s="163"/>
      <c r="C89" s="70"/>
      <c r="D89" s="69"/>
      <c r="E89" s="69"/>
      <c r="F89" s="69"/>
      <c r="G89" s="69"/>
      <c r="H89" s="69"/>
      <c r="I89" s="69"/>
      <c r="J89" s="70"/>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row>
    <row r="90" ht="15.75" customHeight="1" spans="1:51">
      <c r="A90" s="69"/>
      <c r="B90" s="163"/>
      <c r="C90" s="70"/>
      <c r="D90" s="69"/>
      <c r="E90" s="69"/>
      <c r="F90" s="69"/>
      <c r="G90" s="69"/>
      <c r="H90" s="69"/>
      <c r="I90" s="69"/>
      <c r="J90" s="70"/>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row>
    <row r="91" ht="15.75" customHeight="1" spans="1:51">
      <c r="A91" s="69"/>
      <c r="B91" s="163"/>
      <c r="C91" s="70"/>
      <c r="D91" s="69"/>
      <c r="E91" s="69"/>
      <c r="F91" s="69"/>
      <c r="G91" s="69"/>
      <c r="H91" s="69"/>
      <c r="I91" s="69"/>
      <c r="J91" s="70"/>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row>
    <row r="92" ht="15.75" customHeight="1" spans="1:51">
      <c r="A92" s="69"/>
      <c r="B92" s="163"/>
      <c r="C92" s="70"/>
      <c r="D92" s="69"/>
      <c r="E92" s="69"/>
      <c r="F92" s="69"/>
      <c r="G92" s="69"/>
      <c r="H92" s="69"/>
      <c r="I92" s="69"/>
      <c r="J92" s="70"/>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row>
    <row r="93" ht="15.75" customHeight="1" spans="1:51">
      <c r="A93" s="69"/>
      <c r="B93" s="163"/>
      <c r="C93" s="70"/>
      <c r="D93" s="69"/>
      <c r="E93" s="69"/>
      <c r="F93" s="69"/>
      <c r="G93" s="69"/>
      <c r="H93" s="69"/>
      <c r="I93" s="69"/>
      <c r="J93" s="70"/>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row>
    <row r="94" ht="15.75" customHeight="1" spans="1:51">
      <c r="A94" s="69"/>
      <c r="B94" s="163"/>
      <c r="C94" s="70"/>
      <c r="D94" s="69"/>
      <c r="E94" s="69"/>
      <c r="F94" s="69"/>
      <c r="G94" s="69"/>
      <c r="H94" s="69"/>
      <c r="I94" s="69"/>
      <c r="J94" s="70"/>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row>
    <row r="95" ht="15.75" customHeight="1" spans="1:51">
      <c r="A95" s="69"/>
      <c r="B95" s="163"/>
      <c r="C95" s="70"/>
      <c r="D95" s="69"/>
      <c r="E95" s="69"/>
      <c r="F95" s="69"/>
      <c r="G95" s="69"/>
      <c r="H95" s="69"/>
      <c r="I95" s="69"/>
      <c r="J95" s="70"/>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row>
    <row r="96" ht="15.75" customHeight="1" spans="1:51">
      <c r="A96" s="69"/>
      <c r="B96" s="163"/>
      <c r="C96" s="70"/>
      <c r="D96" s="69"/>
      <c r="E96" s="69"/>
      <c r="F96" s="69"/>
      <c r="G96" s="69"/>
      <c r="H96" s="69"/>
      <c r="I96" s="69"/>
      <c r="J96" s="70"/>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row>
    <row r="97" ht="15.75" customHeight="1" spans="1:51">
      <c r="A97" s="69"/>
      <c r="B97" s="163"/>
      <c r="C97" s="70"/>
      <c r="D97" s="69"/>
      <c r="E97" s="69"/>
      <c r="F97" s="69"/>
      <c r="G97" s="69"/>
      <c r="H97" s="69"/>
      <c r="I97" s="69"/>
      <c r="J97" s="70"/>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row>
    <row r="98" ht="15.75" customHeight="1" spans="1:51">
      <c r="A98" s="69"/>
      <c r="B98" s="163"/>
      <c r="C98" s="70"/>
      <c r="D98" s="69"/>
      <c r="E98" s="69"/>
      <c r="F98" s="69"/>
      <c r="G98" s="69"/>
      <c r="H98" s="69"/>
      <c r="I98" s="69"/>
      <c r="J98" s="70"/>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row>
    <row r="99" ht="15.75" customHeight="1" spans="1:51">
      <c r="A99" s="69"/>
      <c r="B99" s="163"/>
      <c r="C99" s="70"/>
      <c r="D99" s="69"/>
      <c r="E99" s="69"/>
      <c r="F99" s="69"/>
      <c r="G99" s="69"/>
      <c r="H99" s="69"/>
      <c r="I99" s="69"/>
      <c r="J99" s="70"/>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row>
    <row r="100" ht="15.75" customHeight="1" spans="1:51">
      <c r="A100" s="69"/>
      <c r="B100" s="163"/>
      <c r="C100" s="70"/>
      <c r="D100" s="69"/>
      <c r="E100" s="69"/>
      <c r="F100" s="69"/>
      <c r="G100" s="69"/>
      <c r="H100" s="69"/>
      <c r="I100" s="69"/>
      <c r="J100" s="70"/>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row>
    <row r="101" ht="15.75" customHeight="1" spans="1:51">
      <c r="A101" s="69"/>
      <c r="B101" s="163"/>
      <c r="C101" s="70"/>
      <c r="D101" s="69"/>
      <c r="E101" s="69"/>
      <c r="F101" s="69"/>
      <c r="G101" s="69"/>
      <c r="H101" s="69"/>
      <c r="I101" s="69"/>
      <c r="J101" s="70"/>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row>
    <row r="102" ht="15.75" customHeight="1" spans="1:51">
      <c r="A102" s="69"/>
      <c r="B102" s="163"/>
      <c r="C102" s="70"/>
      <c r="D102" s="69"/>
      <c r="E102" s="69"/>
      <c r="F102" s="69"/>
      <c r="G102" s="69"/>
      <c r="H102" s="69"/>
      <c r="I102" s="69"/>
      <c r="J102" s="70"/>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row>
    <row r="103" ht="15.75" customHeight="1" spans="1:51">
      <c r="A103" s="69"/>
      <c r="B103" s="163"/>
      <c r="C103" s="70"/>
      <c r="D103" s="69"/>
      <c r="E103" s="69"/>
      <c r="F103" s="69"/>
      <c r="G103" s="69"/>
      <c r="H103" s="69"/>
      <c r="I103" s="69"/>
      <c r="J103" s="70"/>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row>
    <row r="104" ht="15.75" customHeight="1" spans="1:51">
      <c r="A104" s="69"/>
      <c r="B104" s="163"/>
      <c r="C104" s="70"/>
      <c r="D104" s="69"/>
      <c r="E104" s="69"/>
      <c r="F104" s="69"/>
      <c r="G104" s="69"/>
      <c r="H104" s="69"/>
      <c r="I104" s="69"/>
      <c r="J104" s="70"/>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row>
    <row r="105" ht="15.75" customHeight="1" spans="1:51">
      <c r="A105" s="69"/>
      <c r="B105" s="163"/>
      <c r="C105" s="70"/>
      <c r="D105" s="69"/>
      <c r="E105" s="69"/>
      <c r="F105" s="69"/>
      <c r="G105" s="69"/>
      <c r="H105" s="69"/>
      <c r="I105" s="69"/>
      <c r="J105" s="70"/>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row>
    <row r="106" ht="15.75" customHeight="1" spans="1:51">
      <c r="A106" s="69"/>
      <c r="B106" s="163"/>
      <c r="C106" s="70"/>
      <c r="D106" s="69"/>
      <c r="E106" s="69"/>
      <c r="F106" s="69"/>
      <c r="G106" s="69"/>
      <c r="H106" s="69"/>
      <c r="I106" s="69"/>
      <c r="J106" s="70"/>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row>
    <row r="107" ht="15.75" customHeight="1" spans="1:51">
      <c r="A107" s="69"/>
      <c r="B107" s="163"/>
      <c r="C107" s="70"/>
      <c r="D107" s="69"/>
      <c r="E107" s="69"/>
      <c r="F107" s="69"/>
      <c r="G107" s="69"/>
      <c r="H107" s="69"/>
      <c r="I107" s="69"/>
      <c r="J107" s="70"/>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row>
    <row r="108" ht="15.75" customHeight="1" spans="1:51">
      <c r="A108" s="69"/>
      <c r="B108" s="163"/>
      <c r="C108" s="70"/>
      <c r="D108" s="69"/>
      <c r="E108" s="69"/>
      <c r="F108" s="69"/>
      <c r="G108" s="69"/>
      <c r="H108" s="69"/>
      <c r="I108" s="69"/>
      <c r="J108" s="70"/>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row>
    <row r="109" ht="15.75" customHeight="1" spans="1:51">
      <c r="A109" s="69"/>
      <c r="B109" s="163"/>
      <c r="C109" s="70"/>
      <c r="D109" s="69"/>
      <c r="E109" s="69"/>
      <c r="F109" s="69"/>
      <c r="G109" s="69"/>
      <c r="H109" s="69"/>
      <c r="I109" s="69"/>
      <c r="J109" s="70"/>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row>
    <row r="110" ht="15.75" customHeight="1" spans="1:51">
      <c r="A110" s="69"/>
      <c r="B110" s="163"/>
      <c r="C110" s="70"/>
      <c r="D110" s="69"/>
      <c r="E110" s="69"/>
      <c r="F110" s="69"/>
      <c r="G110" s="69"/>
      <c r="H110" s="69"/>
      <c r="I110" s="69"/>
      <c r="J110" s="70"/>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row>
    <row r="111" ht="15.75" customHeight="1" spans="1:51">
      <c r="A111" s="69"/>
      <c r="B111" s="163"/>
      <c r="C111" s="70"/>
      <c r="D111" s="69"/>
      <c r="E111" s="69"/>
      <c r="F111" s="69"/>
      <c r="G111" s="69"/>
      <c r="H111" s="69"/>
      <c r="I111" s="69"/>
      <c r="J111" s="70"/>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row>
    <row r="112" ht="15.75" customHeight="1" spans="1:51">
      <c r="A112" s="69"/>
      <c r="B112" s="163"/>
      <c r="C112" s="70"/>
      <c r="D112" s="69"/>
      <c r="E112" s="69"/>
      <c r="F112" s="69"/>
      <c r="G112" s="69"/>
      <c r="H112" s="69"/>
      <c r="I112" s="69"/>
      <c r="J112" s="70"/>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row>
    <row r="113" ht="15.75" customHeight="1" spans="1:51">
      <c r="A113" s="69"/>
      <c r="B113" s="163"/>
      <c r="C113" s="70"/>
      <c r="D113" s="69"/>
      <c r="E113" s="69"/>
      <c r="F113" s="69"/>
      <c r="G113" s="69"/>
      <c r="H113" s="69"/>
      <c r="I113" s="69"/>
      <c r="J113" s="70"/>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row>
    <row r="114" ht="15.75" customHeight="1" spans="1:51">
      <c r="A114" s="69"/>
      <c r="B114" s="163"/>
      <c r="C114" s="70"/>
      <c r="D114" s="69"/>
      <c r="E114" s="69"/>
      <c r="F114" s="69"/>
      <c r="G114" s="69"/>
      <c r="H114" s="69"/>
      <c r="I114" s="69"/>
      <c r="J114" s="70"/>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row>
    <row r="115" ht="15.75" customHeight="1" spans="1:51">
      <c r="A115" s="69"/>
      <c r="B115" s="163"/>
      <c r="C115" s="70"/>
      <c r="D115" s="69"/>
      <c r="E115" s="69"/>
      <c r="F115" s="69"/>
      <c r="G115" s="69"/>
      <c r="H115" s="69"/>
      <c r="I115" s="69"/>
      <c r="J115" s="70"/>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row>
    <row r="116" ht="15.75" customHeight="1" spans="1:51">
      <c r="A116" s="69"/>
      <c r="B116" s="163"/>
      <c r="C116" s="70"/>
      <c r="D116" s="69"/>
      <c r="E116" s="69"/>
      <c r="F116" s="69"/>
      <c r="G116" s="69"/>
      <c r="H116" s="69"/>
      <c r="I116" s="69"/>
      <c r="J116" s="70"/>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row>
    <row r="117" ht="15.75" customHeight="1" spans="1:51">
      <c r="A117" s="69"/>
      <c r="B117" s="163"/>
      <c r="C117" s="70"/>
      <c r="D117" s="69"/>
      <c r="E117" s="69"/>
      <c r="F117" s="69"/>
      <c r="G117" s="69"/>
      <c r="H117" s="69"/>
      <c r="I117" s="69"/>
      <c r="J117" s="70"/>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row>
    <row r="118" ht="15.75" customHeight="1" spans="1:51">
      <c r="A118" s="69"/>
      <c r="B118" s="163"/>
      <c r="C118" s="70"/>
      <c r="D118" s="69"/>
      <c r="E118" s="69"/>
      <c r="F118" s="69"/>
      <c r="G118" s="69"/>
      <c r="H118" s="69"/>
      <c r="I118" s="69"/>
      <c r="J118" s="70"/>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row>
    <row r="119" ht="15.75" customHeight="1" spans="1:51">
      <c r="A119" s="69"/>
      <c r="B119" s="163"/>
      <c r="C119" s="70"/>
      <c r="D119" s="69"/>
      <c r="E119" s="69"/>
      <c r="F119" s="69"/>
      <c r="G119" s="69"/>
      <c r="H119" s="69"/>
      <c r="I119" s="69"/>
      <c r="J119" s="70"/>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row>
    <row r="120" ht="15.75" customHeight="1" spans="1:51">
      <c r="A120" s="69"/>
      <c r="B120" s="163"/>
      <c r="C120" s="70"/>
      <c r="D120" s="69"/>
      <c r="E120" s="69"/>
      <c r="F120" s="69"/>
      <c r="G120" s="69"/>
      <c r="H120" s="69"/>
      <c r="I120" s="69"/>
      <c r="J120" s="70"/>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row>
    <row r="121" ht="15.75" customHeight="1" spans="1:51">
      <c r="A121" s="69"/>
      <c r="B121" s="163"/>
      <c r="C121" s="70"/>
      <c r="D121" s="69"/>
      <c r="E121" s="69"/>
      <c r="F121" s="69"/>
      <c r="G121" s="69"/>
      <c r="H121" s="69"/>
      <c r="I121" s="69"/>
      <c r="J121" s="70"/>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row>
    <row r="122" ht="15.75" customHeight="1" spans="1:51">
      <c r="A122" s="69"/>
      <c r="B122" s="163"/>
      <c r="C122" s="70"/>
      <c r="D122" s="69"/>
      <c r="E122" s="69"/>
      <c r="F122" s="69"/>
      <c r="G122" s="69"/>
      <c r="H122" s="69"/>
      <c r="I122" s="69"/>
      <c r="J122" s="70"/>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row>
    <row r="123" ht="15.75" customHeight="1" spans="1:51">
      <c r="A123" s="69"/>
      <c r="B123" s="163"/>
      <c r="C123" s="70"/>
      <c r="D123" s="69"/>
      <c r="E123" s="69"/>
      <c r="F123" s="69"/>
      <c r="G123" s="69"/>
      <c r="H123" s="69"/>
      <c r="I123" s="69"/>
      <c r="J123" s="70"/>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row>
    <row r="124" ht="15.75" customHeight="1" spans="1:51">
      <c r="A124" s="69"/>
      <c r="B124" s="163"/>
      <c r="C124" s="70"/>
      <c r="D124" s="69"/>
      <c r="E124" s="69"/>
      <c r="F124" s="69"/>
      <c r="G124" s="69"/>
      <c r="H124" s="69"/>
      <c r="I124" s="69"/>
      <c r="J124" s="70"/>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row>
    <row r="125" ht="15.75" customHeight="1" spans="1:51">
      <c r="A125" s="69"/>
      <c r="B125" s="163"/>
      <c r="C125" s="70"/>
      <c r="D125" s="69"/>
      <c r="E125" s="69"/>
      <c r="F125" s="69"/>
      <c r="G125" s="69"/>
      <c r="H125" s="69"/>
      <c r="I125" s="69"/>
      <c r="J125" s="70"/>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row>
    <row r="126" ht="15.75" customHeight="1" spans="1:51">
      <c r="A126" s="69"/>
      <c r="B126" s="163"/>
      <c r="C126" s="70"/>
      <c r="D126" s="69"/>
      <c r="E126" s="69"/>
      <c r="F126" s="69"/>
      <c r="G126" s="69"/>
      <c r="H126" s="69"/>
      <c r="I126" s="69"/>
      <c r="J126" s="70"/>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row>
    <row r="127" ht="15.75" customHeight="1" spans="1:51">
      <c r="A127" s="69"/>
      <c r="B127" s="163"/>
      <c r="C127" s="70"/>
      <c r="D127" s="69"/>
      <c r="E127" s="69"/>
      <c r="F127" s="69"/>
      <c r="G127" s="69"/>
      <c r="H127" s="69"/>
      <c r="I127" s="69"/>
      <c r="J127" s="70"/>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row>
    <row r="128" ht="15.75" customHeight="1" spans="1:51">
      <c r="A128" s="69"/>
      <c r="B128" s="163"/>
      <c r="C128" s="70"/>
      <c r="D128" s="69"/>
      <c r="E128" s="69"/>
      <c r="F128" s="69"/>
      <c r="G128" s="69"/>
      <c r="H128" s="69"/>
      <c r="I128" s="69"/>
      <c r="J128" s="70"/>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row>
    <row r="129" ht="15.75" customHeight="1" spans="1:51">
      <c r="A129" s="69"/>
      <c r="B129" s="163"/>
      <c r="C129" s="70"/>
      <c r="D129" s="69"/>
      <c r="E129" s="69"/>
      <c r="F129" s="69"/>
      <c r="G129" s="69"/>
      <c r="H129" s="69"/>
      <c r="I129" s="69"/>
      <c r="J129" s="70"/>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row>
    <row r="130" ht="15.75" customHeight="1" spans="1:51">
      <c r="A130" s="69"/>
      <c r="B130" s="163"/>
      <c r="C130" s="70"/>
      <c r="D130" s="69"/>
      <c r="E130" s="69"/>
      <c r="F130" s="69"/>
      <c r="G130" s="69"/>
      <c r="H130" s="69"/>
      <c r="I130" s="69"/>
      <c r="J130" s="70"/>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row>
    <row r="131" ht="15.75" customHeight="1" spans="1:51">
      <c r="A131" s="69"/>
      <c r="B131" s="163"/>
      <c r="C131" s="70"/>
      <c r="D131" s="69"/>
      <c r="E131" s="69"/>
      <c r="F131" s="69"/>
      <c r="G131" s="69"/>
      <c r="H131" s="69"/>
      <c r="I131" s="69"/>
      <c r="J131" s="70"/>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row>
    <row r="132" ht="15.75" customHeight="1" spans="1:51">
      <c r="A132" s="69"/>
      <c r="B132" s="163"/>
      <c r="C132" s="70"/>
      <c r="D132" s="69"/>
      <c r="E132" s="69"/>
      <c r="F132" s="69"/>
      <c r="G132" s="69"/>
      <c r="H132" s="69"/>
      <c r="I132" s="69"/>
      <c r="J132" s="70"/>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row>
    <row r="133" ht="15.75" customHeight="1" spans="1:51">
      <c r="A133" s="69"/>
      <c r="B133" s="163"/>
      <c r="C133" s="70"/>
      <c r="D133" s="69"/>
      <c r="E133" s="69"/>
      <c r="F133" s="69"/>
      <c r="G133" s="69"/>
      <c r="H133" s="69"/>
      <c r="I133" s="69"/>
      <c r="J133" s="70"/>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row>
    <row r="134" ht="15.75" customHeight="1" spans="1:51">
      <c r="A134" s="69"/>
      <c r="B134" s="163"/>
      <c r="C134" s="70"/>
      <c r="D134" s="69"/>
      <c r="E134" s="69"/>
      <c r="F134" s="69"/>
      <c r="G134" s="69"/>
      <c r="H134" s="69"/>
      <c r="I134" s="69"/>
      <c r="J134" s="70"/>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row>
    <row r="135" ht="15.75" customHeight="1" spans="1:51">
      <c r="A135" s="69"/>
      <c r="B135" s="163"/>
      <c r="C135" s="70"/>
      <c r="D135" s="69"/>
      <c r="E135" s="69"/>
      <c r="F135" s="69"/>
      <c r="G135" s="69"/>
      <c r="H135" s="69"/>
      <c r="I135" s="69"/>
      <c r="J135" s="70"/>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row>
    <row r="136" ht="15.75" customHeight="1" spans="1:51">
      <c r="A136" s="69"/>
      <c r="B136" s="163"/>
      <c r="C136" s="70"/>
      <c r="D136" s="69"/>
      <c r="E136" s="69"/>
      <c r="F136" s="69"/>
      <c r="G136" s="69"/>
      <c r="H136" s="69"/>
      <c r="I136" s="69"/>
      <c r="J136" s="70"/>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row>
    <row r="137" ht="15.75" customHeight="1" spans="1:51">
      <c r="A137" s="69"/>
      <c r="B137" s="163"/>
      <c r="C137" s="70"/>
      <c r="D137" s="69"/>
      <c r="E137" s="69"/>
      <c r="F137" s="69"/>
      <c r="G137" s="69"/>
      <c r="H137" s="69"/>
      <c r="I137" s="69"/>
      <c r="J137" s="70"/>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row>
    <row r="138" ht="15.75" customHeight="1" spans="1:51">
      <c r="A138" s="69"/>
      <c r="B138" s="163"/>
      <c r="C138" s="70"/>
      <c r="D138" s="69"/>
      <c r="E138" s="69"/>
      <c r="F138" s="69"/>
      <c r="G138" s="69"/>
      <c r="H138" s="69"/>
      <c r="I138" s="69"/>
      <c r="J138" s="70"/>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row>
    <row r="139" ht="15.75" customHeight="1" spans="1:51">
      <c r="A139" s="69"/>
      <c r="B139" s="163"/>
      <c r="C139" s="70"/>
      <c r="D139" s="69"/>
      <c r="E139" s="69"/>
      <c r="F139" s="69"/>
      <c r="G139" s="69"/>
      <c r="H139" s="69"/>
      <c r="I139" s="69"/>
      <c r="J139" s="70"/>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row>
    <row r="140" ht="15.75" customHeight="1" spans="1:51">
      <c r="A140" s="69"/>
      <c r="B140" s="163"/>
      <c r="C140" s="70"/>
      <c r="D140" s="69"/>
      <c r="E140" s="69"/>
      <c r="F140" s="69"/>
      <c r="G140" s="69"/>
      <c r="H140" s="69"/>
      <c r="I140" s="69"/>
      <c r="J140" s="70"/>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row>
    <row r="141" ht="15.75" customHeight="1" spans="1:51">
      <c r="A141" s="69"/>
      <c r="B141" s="163"/>
      <c r="C141" s="70"/>
      <c r="D141" s="69"/>
      <c r="E141" s="69"/>
      <c r="F141" s="69"/>
      <c r="G141" s="69"/>
      <c r="H141" s="69"/>
      <c r="I141" s="69"/>
      <c r="J141" s="70"/>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row>
    <row r="142" ht="15.75" customHeight="1" spans="1:51">
      <c r="A142" s="69"/>
      <c r="B142" s="163"/>
      <c r="C142" s="70"/>
      <c r="D142" s="69"/>
      <c r="E142" s="69"/>
      <c r="F142" s="69"/>
      <c r="G142" s="69"/>
      <c r="H142" s="69"/>
      <c r="I142" s="69"/>
      <c r="J142" s="70"/>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row>
    <row r="143" ht="15.75" customHeight="1" spans="1:51">
      <c r="A143" s="69"/>
      <c r="B143" s="163"/>
      <c r="C143" s="70"/>
      <c r="D143" s="69"/>
      <c r="E143" s="69"/>
      <c r="F143" s="69"/>
      <c r="G143" s="69"/>
      <c r="H143" s="69"/>
      <c r="I143" s="69"/>
      <c r="J143" s="70"/>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row>
    <row r="144" ht="15.75" customHeight="1" spans="1:51">
      <c r="A144" s="69"/>
      <c r="B144" s="163"/>
      <c r="C144" s="70"/>
      <c r="D144" s="69"/>
      <c r="E144" s="69"/>
      <c r="F144" s="69"/>
      <c r="G144" s="69"/>
      <c r="H144" s="69"/>
      <c r="I144" s="69"/>
      <c r="J144" s="70"/>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row>
    <row r="145" ht="15.75" customHeight="1" spans="1:51">
      <c r="A145" s="69"/>
      <c r="B145" s="163"/>
      <c r="C145" s="70"/>
      <c r="D145" s="69"/>
      <c r="E145" s="69"/>
      <c r="F145" s="69"/>
      <c r="G145" s="69"/>
      <c r="H145" s="69"/>
      <c r="I145" s="69"/>
      <c r="J145" s="70"/>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row>
    <row r="146" ht="15.75" customHeight="1" spans="1:51">
      <c r="A146" s="69"/>
      <c r="B146" s="163"/>
      <c r="C146" s="70"/>
      <c r="D146" s="69"/>
      <c r="E146" s="69"/>
      <c r="F146" s="69"/>
      <c r="G146" s="69"/>
      <c r="H146" s="69"/>
      <c r="I146" s="69"/>
      <c r="J146" s="70"/>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row>
    <row r="147" ht="15.75" customHeight="1" spans="1:51">
      <c r="A147" s="69"/>
      <c r="B147" s="163"/>
      <c r="C147" s="70"/>
      <c r="D147" s="69"/>
      <c r="E147" s="69"/>
      <c r="F147" s="69"/>
      <c r="G147" s="69"/>
      <c r="H147" s="69"/>
      <c r="I147" s="69"/>
      <c r="J147" s="70"/>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row>
    <row r="148" ht="15.75" customHeight="1" spans="1:51">
      <c r="A148" s="69"/>
      <c r="B148" s="163"/>
      <c r="C148" s="70"/>
      <c r="D148" s="69"/>
      <c r="E148" s="69"/>
      <c r="F148" s="69"/>
      <c r="G148" s="69"/>
      <c r="H148" s="69"/>
      <c r="I148" s="69"/>
      <c r="J148" s="70"/>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row>
    <row r="149" ht="15.75" customHeight="1" spans="1:51">
      <c r="A149" s="69"/>
      <c r="B149" s="163"/>
      <c r="C149" s="70"/>
      <c r="D149" s="69"/>
      <c r="E149" s="69"/>
      <c r="F149" s="69"/>
      <c r="G149" s="69"/>
      <c r="H149" s="69"/>
      <c r="I149" s="69"/>
      <c r="J149" s="70"/>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row>
    <row r="150" ht="15.75" customHeight="1" spans="1:51">
      <c r="A150" s="69"/>
      <c r="B150" s="163"/>
      <c r="C150" s="70"/>
      <c r="D150" s="69"/>
      <c r="E150" s="69"/>
      <c r="F150" s="69"/>
      <c r="G150" s="69"/>
      <c r="H150" s="69"/>
      <c r="I150" s="69"/>
      <c r="J150" s="70"/>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row>
    <row r="151" ht="15.75" customHeight="1" spans="1:51">
      <c r="A151" s="69"/>
      <c r="B151" s="163"/>
      <c r="C151" s="70"/>
      <c r="D151" s="69"/>
      <c r="E151" s="69"/>
      <c r="F151" s="69"/>
      <c r="G151" s="69"/>
      <c r="H151" s="69"/>
      <c r="I151" s="69"/>
      <c r="J151" s="70"/>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row>
    <row r="152" ht="15.75" customHeight="1" spans="1:51">
      <c r="A152" s="69"/>
      <c r="B152" s="163"/>
      <c r="C152" s="70"/>
      <c r="D152" s="69"/>
      <c r="E152" s="69"/>
      <c r="F152" s="69"/>
      <c r="G152" s="69"/>
      <c r="H152" s="69"/>
      <c r="I152" s="69"/>
      <c r="J152" s="70"/>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row>
    <row r="153" ht="15.75" customHeight="1" spans="1:51">
      <c r="A153" s="69"/>
      <c r="B153" s="163"/>
      <c r="C153" s="70"/>
      <c r="D153" s="69"/>
      <c r="E153" s="69"/>
      <c r="F153" s="69"/>
      <c r="G153" s="69"/>
      <c r="H153" s="69"/>
      <c r="I153" s="69"/>
      <c r="J153" s="70"/>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row>
    <row r="154" ht="15.75" customHeight="1" spans="1:51">
      <c r="A154" s="69"/>
      <c r="B154" s="163"/>
      <c r="C154" s="70"/>
      <c r="D154" s="69"/>
      <c r="E154" s="69"/>
      <c r="F154" s="69"/>
      <c r="G154" s="69"/>
      <c r="H154" s="69"/>
      <c r="I154" s="69"/>
      <c r="J154" s="70"/>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row>
    <row r="155" ht="15.75" customHeight="1" spans="1:51">
      <c r="A155" s="69"/>
      <c r="B155" s="163"/>
      <c r="C155" s="70"/>
      <c r="D155" s="69"/>
      <c r="E155" s="69"/>
      <c r="F155" s="69"/>
      <c r="G155" s="69"/>
      <c r="H155" s="69"/>
      <c r="I155" s="69"/>
      <c r="J155" s="70"/>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row>
    <row r="156" ht="15.75" customHeight="1" spans="1:51">
      <c r="A156" s="69"/>
      <c r="B156" s="163"/>
      <c r="C156" s="70"/>
      <c r="D156" s="69"/>
      <c r="E156" s="69"/>
      <c r="F156" s="69"/>
      <c r="G156" s="69"/>
      <c r="H156" s="69"/>
      <c r="I156" s="69"/>
      <c r="J156" s="70"/>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row>
    <row r="157" ht="15.75" customHeight="1" spans="1:51">
      <c r="A157" s="69"/>
      <c r="B157" s="163"/>
      <c r="C157" s="70"/>
      <c r="D157" s="69"/>
      <c r="E157" s="69"/>
      <c r="F157" s="69"/>
      <c r="G157" s="69"/>
      <c r="H157" s="69"/>
      <c r="I157" s="69"/>
      <c r="J157" s="70"/>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row>
    <row r="158" ht="15.75" customHeight="1" spans="1:51">
      <c r="A158" s="69"/>
      <c r="B158" s="163"/>
      <c r="C158" s="70"/>
      <c r="D158" s="69"/>
      <c r="E158" s="69"/>
      <c r="F158" s="69"/>
      <c r="G158" s="69"/>
      <c r="H158" s="69"/>
      <c r="I158" s="69"/>
      <c r="J158" s="70"/>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row>
    <row r="159" ht="15.75" customHeight="1" spans="1:51">
      <c r="A159" s="69"/>
      <c r="B159" s="163"/>
      <c r="C159" s="70"/>
      <c r="D159" s="69"/>
      <c r="E159" s="69"/>
      <c r="F159" s="69"/>
      <c r="G159" s="69"/>
      <c r="H159" s="69"/>
      <c r="I159" s="69"/>
      <c r="J159" s="70"/>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row>
    <row r="160" ht="15.75" customHeight="1" spans="1:51">
      <c r="A160" s="69"/>
      <c r="B160" s="163"/>
      <c r="C160" s="70"/>
      <c r="D160" s="69"/>
      <c r="E160" s="69"/>
      <c r="F160" s="69"/>
      <c r="G160" s="69"/>
      <c r="H160" s="69"/>
      <c r="I160" s="69"/>
      <c r="J160" s="70"/>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row>
    <row r="161" ht="15.75" customHeight="1" spans="1:51">
      <c r="A161" s="69"/>
      <c r="B161" s="163"/>
      <c r="C161" s="70"/>
      <c r="D161" s="69"/>
      <c r="E161" s="69"/>
      <c r="F161" s="69"/>
      <c r="G161" s="69"/>
      <c r="H161" s="69"/>
      <c r="I161" s="69"/>
      <c r="J161" s="70"/>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row>
    <row r="162" ht="15.75" customHeight="1" spans="1:51">
      <c r="A162" s="69"/>
      <c r="B162" s="163"/>
      <c r="C162" s="70"/>
      <c r="D162" s="69"/>
      <c r="E162" s="69"/>
      <c r="F162" s="69"/>
      <c r="G162" s="69"/>
      <c r="H162" s="69"/>
      <c r="I162" s="69"/>
      <c r="J162" s="70"/>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row>
    <row r="163" ht="15.75" customHeight="1" spans="1:51">
      <c r="A163" s="69"/>
      <c r="B163" s="163"/>
      <c r="C163" s="70"/>
      <c r="D163" s="69"/>
      <c r="E163" s="69"/>
      <c r="F163" s="69"/>
      <c r="G163" s="69"/>
      <c r="H163" s="69"/>
      <c r="I163" s="69"/>
      <c r="J163" s="70"/>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row>
    <row r="164" ht="15.75" customHeight="1" spans="1:51">
      <c r="A164" s="69"/>
      <c r="B164" s="163"/>
      <c r="C164" s="70"/>
      <c r="D164" s="69"/>
      <c r="E164" s="69"/>
      <c r="F164" s="69"/>
      <c r="G164" s="69"/>
      <c r="H164" s="69"/>
      <c r="I164" s="69"/>
      <c r="J164" s="70"/>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row>
    <row r="165" ht="15.75" customHeight="1" spans="1:51">
      <c r="A165" s="69"/>
      <c r="B165" s="163"/>
      <c r="C165" s="70"/>
      <c r="D165" s="69"/>
      <c r="E165" s="69"/>
      <c r="F165" s="69"/>
      <c r="G165" s="69"/>
      <c r="H165" s="69"/>
      <c r="I165" s="69"/>
      <c r="J165" s="70"/>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row>
    <row r="166" ht="15.75" customHeight="1" spans="1:51">
      <c r="A166" s="69"/>
      <c r="B166" s="163"/>
      <c r="C166" s="70"/>
      <c r="D166" s="69"/>
      <c r="E166" s="69"/>
      <c r="F166" s="69"/>
      <c r="G166" s="69"/>
      <c r="H166" s="69"/>
      <c r="I166" s="69"/>
      <c r="J166" s="70"/>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row>
    <row r="167" ht="15.75" customHeight="1" spans="1:51">
      <c r="A167" s="69"/>
      <c r="B167" s="163"/>
      <c r="C167" s="70"/>
      <c r="D167" s="69"/>
      <c r="E167" s="69"/>
      <c r="F167" s="69"/>
      <c r="G167" s="69"/>
      <c r="H167" s="69"/>
      <c r="I167" s="69"/>
      <c r="J167" s="70"/>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row>
    <row r="168" ht="15.75" customHeight="1" spans="1:51">
      <c r="A168" s="69"/>
      <c r="B168" s="163"/>
      <c r="C168" s="70"/>
      <c r="D168" s="69"/>
      <c r="E168" s="69"/>
      <c r="F168" s="69"/>
      <c r="G168" s="69"/>
      <c r="H168" s="69"/>
      <c r="I168" s="69"/>
      <c r="J168" s="70"/>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row>
    <row r="169" ht="15.75" customHeight="1" spans="1:51">
      <c r="A169" s="69"/>
      <c r="B169" s="163"/>
      <c r="C169" s="70"/>
      <c r="D169" s="69"/>
      <c r="E169" s="69"/>
      <c r="F169" s="69"/>
      <c r="G169" s="69"/>
      <c r="H169" s="69"/>
      <c r="I169" s="69"/>
      <c r="J169" s="70"/>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row>
    <row r="170" ht="15.75" customHeight="1" spans="1:51">
      <c r="A170" s="69"/>
      <c r="B170" s="163"/>
      <c r="C170" s="70"/>
      <c r="D170" s="69"/>
      <c r="E170" s="69"/>
      <c r="F170" s="69"/>
      <c r="G170" s="69"/>
      <c r="H170" s="69"/>
      <c r="I170" s="69"/>
      <c r="J170" s="70"/>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row>
    <row r="171" ht="15.75" customHeight="1" spans="1:51">
      <c r="A171" s="69"/>
      <c r="B171" s="163"/>
      <c r="C171" s="70"/>
      <c r="D171" s="69"/>
      <c r="E171" s="69"/>
      <c r="F171" s="69"/>
      <c r="G171" s="69"/>
      <c r="H171" s="69"/>
      <c r="I171" s="69"/>
      <c r="J171" s="70"/>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row>
    <row r="172" ht="15.75" customHeight="1" spans="1:51">
      <c r="A172" s="69"/>
      <c r="B172" s="163"/>
      <c r="C172" s="70"/>
      <c r="D172" s="69"/>
      <c r="E172" s="69"/>
      <c r="F172" s="69"/>
      <c r="G172" s="69"/>
      <c r="H172" s="69"/>
      <c r="I172" s="69"/>
      <c r="J172" s="70"/>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row>
    <row r="173" ht="15.75" customHeight="1" spans="1:51">
      <c r="A173" s="69"/>
      <c r="B173" s="163"/>
      <c r="C173" s="70"/>
      <c r="D173" s="69"/>
      <c r="E173" s="69"/>
      <c r="F173" s="69"/>
      <c r="G173" s="69"/>
      <c r="H173" s="69"/>
      <c r="I173" s="69"/>
      <c r="J173" s="70"/>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row>
    <row r="174" ht="15.75" customHeight="1" spans="1:51">
      <c r="A174" s="69"/>
      <c r="B174" s="163"/>
      <c r="C174" s="70"/>
      <c r="D174" s="69"/>
      <c r="E174" s="69"/>
      <c r="F174" s="69"/>
      <c r="G174" s="69"/>
      <c r="H174" s="69"/>
      <c r="I174" s="69"/>
      <c r="J174" s="70"/>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row>
    <row r="175" ht="15.75" customHeight="1" spans="1:51">
      <c r="A175" s="69"/>
      <c r="B175" s="163"/>
      <c r="C175" s="70"/>
      <c r="D175" s="69"/>
      <c r="E175" s="69"/>
      <c r="F175" s="69"/>
      <c r="G175" s="69"/>
      <c r="H175" s="69"/>
      <c r="I175" s="69"/>
      <c r="J175" s="70"/>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row>
    <row r="176" ht="15.75" customHeight="1" spans="1:51">
      <c r="A176" s="69"/>
      <c r="B176" s="163"/>
      <c r="C176" s="70"/>
      <c r="D176" s="69"/>
      <c r="E176" s="69"/>
      <c r="F176" s="69"/>
      <c r="G176" s="69"/>
      <c r="H176" s="69"/>
      <c r="I176" s="69"/>
      <c r="J176" s="70"/>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row>
    <row r="177" ht="15.75" customHeight="1" spans="1:51">
      <c r="A177" s="69"/>
      <c r="B177" s="163"/>
      <c r="C177" s="70"/>
      <c r="D177" s="69"/>
      <c r="E177" s="69"/>
      <c r="F177" s="69"/>
      <c r="G177" s="69"/>
      <c r="H177" s="69"/>
      <c r="I177" s="69"/>
      <c r="J177" s="70"/>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row>
    <row r="178" ht="15.75" customHeight="1" spans="1:51">
      <c r="A178" s="69"/>
      <c r="B178" s="163"/>
      <c r="C178" s="70"/>
      <c r="D178" s="69"/>
      <c r="E178" s="69"/>
      <c r="F178" s="69"/>
      <c r="G178" s="69"/>
      <c r="H178" s="69"/>
      <c r="I178" s="69"/>
      <c r="J178" s="70"/>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row>
    <row r="179" ht="15.75" customHeight="1" spans="1:51">
      <c r="A179" s="69"/>
      <c r="B179" s="163"/>
      <c r="C179" s="70"/>
      <c r="D179" s="69"/>
      <c r="E179" s="69"/>
      <c r="F179" s="69"/>
      <c r="G179" s="69"/>
      <c r="H179" s="69"/>
      <c r="I179" s="69"/>
      <c r="J179" s="70"/>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row>
    <row r="180" ht="15.75" customHeight="1" spans="1:51">
      <c r="A180" s="69"/>
      <c r="B180" s="163"/>
      <c r="C180" s="70"/>
      <c r="D180" s="69"/>
      <c r="E180" s="69"/>
      <c r="F180" s="69"/>
      <c r="G180" s="69"/>
      <c r="H180" s="69"/>
      <c r="I180" s="69"/>
      <c r="J180" s="70"/>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row>
    <row r="181" ht="15.75" customHeight="1" spans="1:51">
      <c r="A181" s="69"/>
      <c r="B181" s="163"/>
      <c r="C181" s="70"/>
      <c r="D181" s="69"/>
      <c r="E181" s="69"/>
      <c r="F181" s="69"/>
      <c r="G181" s="69"/>
      <c r="H181" s="69"/>
      <c r="I181" s="69"/>
      <c r="J181" s="70"/>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row>
    <row r="182" ht="15.75" customHeight="1" spans="1:51">
      <c r="A182" s="69"/>
      <c r="B182" s="163"/>
      <c r="C182" s="70"/>
      <c r="D182" s="69"/>
      <c r="E182" s="69"/>
      <c r="F182" s="69"/>
      <c r="G182" s="69"/>
      <c r="H182" s="69"/>
      <c r="I182" s="69"/>
      <c r="J182" s="70"/>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row>
    <row r="183" ht="15.75" customHeight="1" spans="1:51">
      <c r="A183" s="69"/>
      <c r="B183" s="163"/>
      <c r="C183" s="70"/>
      <c r="D183" s="69"/>
      <c r="E183" s="69"/>
      <c r="F183" s="69"/>
      <c r="G183" s="69"/>
      <c r="H183" s="69"/>
      <c r="I183" s="69"/>
      <c r="J183" s="70"/>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row>
    <row r="184" ht="15.75" customHeight="1" spans="1:51">
      <c r="A184" s="69"/>
      <c r="B184" s="163"/>
      <c r="C184" s="70"/>
      <c r="D184" s="69"/>
      <c r="E184" s="69"/>
      <c r="F184" s="69"/>
      <c r="G184" s="69"/>
      <c r="H184" s="69"/>
      <c r="I184" s="69"/>
      <c r="J184" s="70"/>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row>
    <row r="185" ht="15.75" customHeight="1" spans="1:51">
      <c r="A185" s="69"/>
      <c r="B185" s="163"/>
      <c r="C185" s="70"/>
      <c r="D185" s="69"/>
      <c r="E185" s="69"/>
      <c r="F185" s="69"/>
      <c r="G185" s="69"/>
      <c r="H185" s="69"/>
      <c r="I185" s="69"/>
      <c r="J185" s="70"/>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row>
    <row r="186" ht="15.75" customHeight="1" spans="1:51">
      <c r="A186" s="69"/>
      <c r="B186" s="163"/>
      <c r="C186" s="70"/>
      <c r="D186" s="69"/>
      <c r="E186" s="69"/>
      <c r="F186" s="69"/>
      <c r="G186" s="69"/>
      <c r="H186" s="69"/>
      <c r="I186" s="69"/>
      <c r="J186" s="70"/>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row>
    <row r="187" ht="15.75" customHeight="1" spans="1:51">
      <c r="A187" s="69"/>
      <c r="B187" s="163"/>
      <c r="C187" s="70"/>
      <c r="D187" s="69"/>
      <c r="E187" s="69"/>
      <c r="F187" s="69"/>
      <c r="G187" s="69"/>
      <c r="H187" s="69"/>
      <c r="I187" s="69"/>
      <c r="J187" s="70"/>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row>
    <row r="188" ht="15.75" customHeight="1" spans="1:51">
      <c r="A188" s="69"/>
      <c r="B188" s="163"/>
      <c r="C188" s="70"/>
      <c r="D188" s="69"/>
      <c r="E188" s="69"/>
      <c r="F188" s="69"/>
      <c r="G188" s="69"/>
      <c r="H188" s="69"/>
      <c r="I188" s="69"/>
      <c r="J188" s="70"/>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row>
    <row r="189" ht="15.75" customHeight="1" spans="1:51">
      <c r="A189" s="69"/>
      <c r="B189" s="163"/>
      <c r="C189" s="70"/>
      <c r="D189" s="69"/>
      <c r="E189" s="69"/>
      <c r="F189" s="69"/>
      <c r="G189" s="69"/>
      <c r="H189" s="69"/>
      <c r="I189" s="69"/>
      <c r="J189" s="70"/>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row>
    <row r="190" ht="15.75" customHeight="1" spans="1:51">
      <c r="A190" s="69"/>
      <c r="B190" s="163"/>
      <c r="C190" s="70"/>
      <c r="D190" s="69"/>
      <c r="E190" s="69"/>
      <c r="F190" s="69"/>
      <c r="G190" s="69"/>
      <c r="H190" s="69"/>
      <c r="I190" s="69"/>
      <c r="J190" s="70"/>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row>
    <row r="191" ht="15.75" customHeight="1" spans="1:51">
      <c r="A191" s="69"/>
      <c r="B191" s="163"/>
      <c r="C191" s="70"/>
      <c r="D191" s="69"/>
      <c r="E191" s="69"/>
      <c r="F191" s="69"/>
      <c r="G191" s="69"/>
      <c r="H191" s="69"/>
      <c r="I191" s="69"/>
      <c r="J191" s="70"/>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row>
    <row r="192" ht="15.75" customHeight="1" spans="1:51">
      <c r="A192" s="69"/>
      <c r="B192" s="163"/>
      <c r="C192" s="70"/>
      <c r="D192" s="69"/>
      <c r="E192" s="69"/>
      <c r="F192" s="69"/>
      <c r="G192" s="69"/>
      <c r="H192" s="69"/>
      <c r="I192" s="69"/>
      <c r="J192" s="70"/>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row>
    <row r="193" ht="15.75" customHeight="1" spans="1:51">
      <c r="A193" s="69"/>
      <c r="B193" s="163"/>
      <c r="C193" s="70"/>
      <c r="D193" s="69"/>
      <c r="E193" s="69"/>
      <c r="F193" s="69"/>
      <c r="G193" s="69"/>
      <c r="H193" s="69"/>
      <c r="I193" s="69"/>
      <c r="J193" s="70"/>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row>
    <row r="194" ht="15.75" customHeight="1" spans="1:51">
      <c r="A194" s="69"/>
      <c r="B194" s="163"/>
      <c r="C194" s="70"/>
      <c r="D194" s="69"/>
      <c r="E194" s="69"/>
      <c r="F194" s="69"/>
      <c r="G194" s="69"/>
      <c r="H194" s="69"/>
      <c r="I194" s="69"/>
      <c r="J194" s="70"/>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row>
    <row r="195" ht="15.75" customHeight="1" spans="1:51">
      <c r="A195" s="69"/>
      <c r="B195" s="163"/>
      <c r="C195" s="70"/>
      <c r="D195" s="69"/>
      <c r="E195" s="69"/>
      <c r="F195" s="69"/>
      <c r="G195" s="69"/>
      <c r="H195" s="69"/>
      <c r="I195" s="69"/>
      <c r="J195" s="70"/>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row>
    <row r="196" ht="15.75" customHeight="1" spans="1:51">
      <c r="A196" s="69"/>
      <c r="B196" s="163"/>
      <c r="C196" s="70"/>
      <c r="D196" s="69"/>
      <c r="E196" s="69"/>
      <c r="F196" s="69"/>
      <c r="G196" s="69"/>
      <c r="H196" s="69"/>
      <c r="I196" s="69"/>
      <c r="J196" s="70"/>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row>
    <row r="197" ht="15.75" customHeight="1" spans="1:51">
      <c r="A197" s="69"/>
      <c r="B197" s="163"/>
      <c r="C197" s="70"/>
      <c r="D197" s="69"/>
      <c r="E197" s="69"/>
      <c r="F197" s="69"/>
      <c r="G197" s="69"/>
      <c r="H197" s="69"/>
      <c r="I197" s="69"/>
      <c r="J197" s="70"/>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row>
    <row r="198" ht="15.75" customHeight="1" spans="1:51">
      <c r="A198" s="69"/>
      <c r="B198" s="163"/>
      <c r="C198" s="70"/>
      <c r="D198" s="69"/>
      <c r="E198" s="69"/>
      <c r="F198" s="69"/>
      <c r="G198" s="69"/>
      <c r="H198" s="69"/>
      <c r="I198" s="69"/>
      <c r="J198" s="70"/>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row>
    <row r="199" ht="15.75" customHeight="1" spans="1:51">
      <c r="A199" s="69"/>
      <c r="B199" s="163"/>
      <c r="C199" s="70"/>
      <c r="D199" s="69"/>
      <c r="E199" s="69"/>
      <c r="F199" s="69"/>
      <c r="G199" s="69"/>
      <c r="H199" s="69"/>
      <c r="I199" s="69"/>
      <c r="J199" s="70"/>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row>
    <row r="200" ht="15.75" customHeight="1" spans="1:51">
      <c r="A200" s="69"/>
      <c r="B200" s="163"/>
      <c r="C200" s="70"/>
      <c r="D200" s="69"/>
      <c r="E200" s="69"/>
      <c r="F200" s="69"/>
      <c r="G200" s="69"/>
      <c r="H200" s="69"/>
      <c r="I200" s="69"/>
      <c r="J200" s="70"/>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row>
    <row r="201" ht="15.75" customHeight="1" spans="1:51">
      <c r="A201" s="69"/>
      <c r="B201" s="163"/>
      <c r="C201" s="70"/>
      <c r="D201" s="69"/>
      <c r="E201" s="69"/>
      <c r="F201" s="69"/>
      <c r="G201" s="69"/>
      <c r="H201" s="69"/>
      <c r="I201" s="69"/>
      <c r="J201" s="70"/>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row>
    <row r="202" ht="15.75" customHeight="1" spans="1:51">
      <c r="A202" s="69"/>
      <c r="B202" s="163"/>
      <c r="C202" s="70"/>
      <c r="D202" s="69"/>
      <c r="E202" s="69"/>
      <c r="F202" s="69"/>
      <c r="G202" s="69"/>
      <c r="H202" s="69"/>
      <c r="I202" s="69"/>
      <c r="J202" s="70"/>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row>
    <row r="203" ht="15.75" customHeight="1" spans="1:51">
      <c r="A203" s="69"/>
      <c r="B203" s="163"/>
      <c r="C203" s="70"/>
      <c r="D203" s="69"/>
      <c r="E203" s="69"/>
      <c r="F203" s="69"/>
      <c r="G203" s="69"/>
      <c r="H203" s="69"/>
      <c r="I203" s="69"/>
      <c r="J203" s="70"/>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row>
    <row r="204" ht="15.75" customHeight="1" spans="1:51">
      <c r="A204" s="69"/>
      <c r="B204" s="163"/>
      <c r="C204" s="70"/>
      <c r="D204" s="69"/>
      <c r="E204" s="69"/>
      <c r="F204" s="69"/>
      <c r="G204" s="69"/>
      <c r="H204" s="69"/>
      <c r="I204" s="69"/>
      <c r="J204" s="70"/>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row>
    <row r="205" ht="15.75" customHeight="1" spans="1:51">
      <c r="A205" s="69"/>
      <c r="B205" s="163"/>
      <c r="C205" s="70"/>
      <c r="D205" s="69"/>
      <c r="E205" s="69"/>
      <c r="F205" s="69"/>
      <c r="G205" s="69"/>
      <c r="H205" s="69"/>
      <c r="I205" s="69"/>
      <c r="J205" s="70"/>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row>
    <row r="206" ht="15.75" customHeight="1" spans="1:51">
      <c r="A206" s="69"/>
      <c r="B206" s="163"/>
      <c r="C206" s="70"/>
      <c r="D206" s="69"/>
      <c r="E206" s="69"/>
      <c r="F206" s="69"/>
      <c r="G206" s="69"/>
      <c r="H206" s="69"/>
      <c r="I206" s="69"/>
      <c r="J206" s="70"/>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row>
    <row r="207" ht="15.75" customHeight="1" spans="1:51">
      <c r="A207" s="69"/>
      <c r="B207" s="163"/>
      <c r="C207" s="70"/>
      <c r="D207" s="69"/>
      <c r="E207" s="69"/>
      <c r="F207" s="69"/>
      <c r="G207" s="69"/>
      <c r="H207" s="69"/>
      <c r="I207" s="69"/>
      <c r="J207" s="70"/>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row>
    <row r="208" ht="15.75" customHeight="1" spans="1:51">
      <c r="A208" s="69"/>
      <c r="B208" s="163"/>
      <c r="C208" s="70"/>
      <c r="D208" s="69"/>
      <c r="E208" s="69"/>
      <c r="F208" s="69"/>
      <c r="G208" s="69"/>
      <c r="H208" s="69"/>
      <c r="I208" s="69"/>
      <c r="J208" s="70"/>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row>
    <row r="209" ht="15.75" customHeight="1" spans="1:51">
      <c r="A209" s="69"/>
      <c r="B209" s="163"/>
      <c r="C209" s="70"/>
      <c r="D209" s="69"/>
      <c r="E209" s="69"/>
      <c r="F209" s="69"/>
      <c r="G209" s="69"/>
      <c r="H209" s="69"/>
      <c r="I209" s="69"/>
      <c r="J209" s="70"/>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row>
    <row r="210" ht="15.75" customHeight="1" spans="1:51">
      <c r="A210" s="69"/>
      <c r="B210" s="163"/>
      <c r="C210" s="70"/>
      <c r="D210" s="69"/>
      <c r="E210" s="69"/>
      <c r="F210" s="69"/>
      <c r="G210" s="69"/>
      <c r="H210" s="69"/>
      <c r="I210" s="69"/>
      <c r="J210" s="70"/>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row>
    <row r="211" ht="15.75" customHeight="1" spans="1:51">
      <c r="A211" s="69"/>
      <c r="B211" s="163"/>
      <c r="C211" s="70"/>
      <c r="D211" s="69"/>
      <c r="E211" s="69"/>
      <c r="F211" s="69"/>
      <c r="G211" s="69"/>
      <c r="H211" s="69"/>
      <c r="I211" s="69"/>
      <c r="J211" s="70"/>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row>
    <row r="212" ht="15.75" customHeight="1" spans="1:51">
      <c r="A212" s="69"/>
      <c r="B212" s="163"/>
      <c r="C212" s="70"/>
      <c r="D212" s="69"/>
      <c r="E212" s="69"/>
      <c r="F212" s="69"/>
      <c r="G212" s="69"/>
      <c r="H212" s="69"/>
      <c r="I212" s="69"/>
      <c r="J212" s="70"/>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row>
    <row r="213" ht="15.75" customHeight="1" spans="1:51">
      <c r="A213" s="69"/>
      <c r="B213" s="163"/>
      <c r="C213" s="70"/>
      <c r="D213" s="69"/>
      <c r="E213" s="69"/>
      <c r="F213" s="69"/>
      <c r="G213" s="69"/>
      <c r="H213" s="69"/>
      <c r="I213" s="69"/>
      <c r="J213" s="70"/>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row>
    <row r="214" ht="15.75" customHeight="1" spans="1:51">
      <c r="A214" s="69"/>
      <c r="B214" s="163"/>
      <c r="C214" s="70"/>
      <c r="D214" s="69"/>
      <c r="E214" s="69"/>
      <c r="F214" s="69"/>
      <c r="G214" s="69"/>
      <c r="H214" s="69"/>
      <c r="I214" s="69"/>
      <c r="J214" s="70"/>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row>
    <row r="215" ht="15.75" customHeight="1" spans="1:51">
      <c r="A215" s="69"/>
      <c r="B215" s="163"/>
      <c r="C215" s="70"/>
      <c r="D215" s="69"/>
      <c r="E215" s="69"/>
      <c r="F215" s="69"/>
      <c r="G215" s="69"/>
      <c r="H215" s="69"/>
      <c r="I215" s="69"/>
      <c r="J215" s="70"/>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row>
    <row r="216" ht="15.75" customHeight="1" spans="1:51">
      <c r="A216" s="69"/>
      <c r="B216" s="163"/>
      <c r="C216" s="70"/>
      <c r="D216" s="69"/>
      <c r="E216" s="69"/>
      <c r="F216" s="69"/>
      <c r="G216" s="69"/>
      <c r="H216" s="69"/>
      <c r="I216" s="69"/>
      <c r="J216" s="70"/>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row>
    <row r="217" ht="15.75" customHeight="1" spans="1:51">
      <c r="A217" s="69"/>
      <c r="B217" s="163"/>
      <c r="C217" s="70"/>
      <c r="D217" s="69"/>
      <c r="E217" s="69"/>
      <c r="F217" s="69"/>
      <c r="G217" s="69"/>
      <c r="H217" s="69"/>
      <c r="I217" s="69"/>
      <c r="J217" s="70"/>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row>
    <row r="218" ht="15.75" customHeight="1" spans="1:51">
      <c r="A218" s="69"/>
      <c r="B218" s="163"/>
      <c r="C218" s="70"/>
      <c r="D218" s="69"/>
      <c r="E218" s="69"/>
      <c r="F218" s="69"/>
      <c r="G218" s="69"/>
      <c r="H218" s="69"/>
      <c r="I218" s="69"/>
      <c r="J218" s="70"/>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row>
    <row r="219" ht="15.75" customHeight="1" spans="1:51">
      <c r="A219" s="69"/>
      <c r="B219" s="163"/>
      <c r="C219" s="70"/>
      <c r="D219" s="69"/>
      <c r="E219" s="69"/>
      <c r="F219" s="69"/>
      <c r="G219" s="69"/>
      <c r="H219" s="69"/>
      <c r="I219" s="69"/>
      <c r="J219" s="70"/>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row>
    <row r="220" ht="15.75" customHeight="1" spans="1:51">
      <c r="A220" s="69"/>
      <c r="B220" s="163"/>
      <c r="C220" s="70"/>
      <c r="D220" s="69"/>
      <c r="E220" s="69"/>
      <c r="F220" s="69"/>
      <c r="G220" s="69"/>
      <c r="H220" s="69"/>
      <c r="I220" s="69"/>
      <c r="J220" s="70"/>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row>
    <row r="221" ht="15.75" customHeight="1" spans="1:51">
      <c r="A221" s="69"/>
      <c r="B221" s="163"/>
      <c r="C221" s="70"/>
      <c r="D221" s="69"/>
      <c r="E221" s="69"/>
      <c r="F221" s="69"/>
      <c r="G221" s="69"/>
      <c r="H221" s="69"/>
      <c r="I221" s="69"/>
      <c r="J221" s="70"/>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row>
    <row r="222" ht="15.75" customHeight="1" spans="1:51">
      <c r="A222" s="69"/>
      <c r="B222" s="163"/>
      <c r="C222" s="70"/>
      <c r="D222" s="69"/>
      <c r="E222" s="69"/>
      <c r="F222" s="69"/>
      <c r="G222" s="69"/>
      <c r="H222" s="69"/>
      <c r="I222" s="69"/>
      <c r="J222" s="70"/>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row>
    <row r="223" ht="15.75" customHeight="1" spans="1:51">
      <c r="A223" s="69"/>
      <c r="B223" s="163"/>
      <c r="C223" s="70"/>
      <c r="D223" s="69"/>
      <c r="E223" s="69"/>
      <c r="F223" s="69"/>
      <c r="G223" s="69"/>
      <c r="H223" s="69"/>
      <c r="I223" s="69"/>
      <c r="J223" s="70"/>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row>
    <row r="224" ht="15.75" customHeight="1" spans="1:51">
      <c r="A224" s="69"/>
      <c r="B224" s="163"/>
      <c r="C224" s="70"/>
      <c r="D224" s="69"/>
      <c r="E224" s="69"/>
      <c r="F224" s="69"/>
      <c r="G224" s="69"/>
      <c r="H224" s="69"/>
      <c r="I224" s="69"/>
      <c r="J224" s="70"/>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row>
    <row r="225" ht="15.75" customHeight="1" spans="1:51">
      <c r="A225" s="69"/>
      <c r="B225" s="163"/>
      <c r="C225" s="70"/>
      <c r="D225" s="69"/>
      <c r="E225" s="69"/>
      <c r="F225" s="69"/>
      <c r="G225" s="69"/>
      <c r="H225" s="69"/>
      <c r="I225" s="69"/>
      <c r="J225" s="70"/>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row>
    <row r="226" ht="15.75" customHeight="1" spans="1:51">
      <c r="A226" s="69"/>
      <c r="B226" s="163"/>
      <c r="C226" s="70"/>
      <c r="D226" s="69"/>
      <c r="E226" s="69"/>
      <c r="F226" s="69"/>
      <c r="G226" s="69"/>
      <c r="H226" s="69"/>
      <c r="I226" s="69"/>
      <c r="J226" s="70"/>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row>
    <row r="227" ht="15.75" customHeight="1" spans="1:51">
      <c r="A227" s="69"/>
      <c r="B227" s="163"/>
      <c r="C227" s="70"/>
      <c r="D227" s="69"/>
      <c r="E227" s="69"/>
      <c r="F227" s="69"/>
      <c r="G227" s="69"/>
      <c r="H227" s="69"/>
      <c r="I227" s="69"/>
      <c r="J227" s="70"/>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row>
    <row r="228" ht="15.75" customHeight="1" spans="1:51">
      <c r="A228" s="69"/>
      <c r="B228" s="163"/>
      <c r="C228" s="70"/>
      <c r="D228" s="69"/>
      <c r="E228" s="69"/>
      <c r="F228" s="69"/>
      <c r="G228" s="69"/>
      <c r="H228" s="69"/>
      <c r="I228" s="69"/>
      <c r="J228" s="70"/>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row>
    <row r="229" ht="15.75" customHeight="1" spans="1:51">
      <c r="A229" s="69"/>
      <c r="B229" s="163"/>
      <c r="C229" s="70"/>
      <c r="D229" s="69"/>
      <c r="E229" s="69"/>
      <c r="F229" s="69"/>
      <c r="G229" s="69"/>
      <c r="H229" s="69"/>
      <c r="I229" s="69"/>
      <c r="J229" s="70"/>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row>
    <row r="230" ht="15.75" customHeight="1" spans="1:51">
      <c r="A230" s="69"/>
      <c r="B230" s="163"/>
      <c r="C230" s="70"/>
      <c r="D230" s="69"/>
      <c r="E230" s="69"/>
      <c r="F230" s="69"/>
      <c r="G230" s="69"/>
      <c r="H230" s="69"/>
      <c r="I230" s="69"/>
      <c r="J230" s="70"/>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row>
    <row r="231" ht="15.75" customHeight="1" spans="1:51">
      <c r="A231" s="69"/>
      <c r="B231" s="163"/>
      <c r="C231" s="70"/>
      <c r="D231" s="69"/>
      <c r="E231" s="69"/>
      <c r="F231" s="69"/>
      <c r="G231" s="69"/>
      <c r="H231" s="69"/>
      <c r="I231" s="69"/>
      <c r="J231" s="70"/>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row>
    <row r="232" ht="15.75" customHeight="1" spans="1:51">
      <c r="A232" s="69"/>
      <c r="B232" s="163"/>
      <c r="C232" s="70"/>
      <c r="D232" s="69"/>
      <c r="E232" s="69"/>
      <c r="F232" s="69"/>
      <c r="G232" s="69"/>
      <c r="H232" s="69"/>
      <c r="I232" s="69"/>
      <c r="J232" s="70"/>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row>
    <row r="233" ht="15.75" customHeight="1" spans="1:51">
      <c r="A233" s="69"/>
      <c r="B233" s="163"/>
      <c r="C233" s="70"/>
      <c r="D233" s="69"/>
      <c r="E233" s="69"/>
      <c r="F233" s="69"/>
      <c r="G233" s="69"/>
      <c r="H233" s="69"/>
      <c r="I233" s="69"/>
      <c r="J233" s="70"/>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row>
    <row r="234" ht="15.75" customHeight="1" spans="1:51">
      <c r="A234" s="69"/>
      <c r="B234" s="163"/>
      <c r="C234" s="70"/>
      <c r="D234" s="69"/>
      <c r="E234" s="69"/>
      <c r="F234" s="69"/>
      <c r="G234" s="69"/>
      <c r="H234" s="69"/>
      <c r="I234" s="69"/>
      <c r="J234" s="70"/>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row>
    <row r="235" ht="15.75" customHeight="1" spans="1:51">
      <c r="A235" s="69"/>
      <c r="B235" s="163"/>
      <c r="C235" s="70"/>
      <c r="D235" s="69"/>
      <c r="E235" s="69"/>
      <c r="F235" s="69"/>
      <c r="G235" s="69"/>
      <c r="H235" s="69"/>
      <c r="I235" s="69"/>
      <c r="J235" s="70"/>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row>
    <row r="236" ht="15.75" customHeight="1" spans="1:51">
      <c r="A236" s="69"/>
      <c r="B236" s="163"/>
      <c r="C236" s="70"/>
      <c r="D236" s="69"/>
      <c r="E236" s="69"/>
      <c r="F236" s="69"/>
      <c r="G236" s="69"/>
      <c r="H236" s="69"/>
      <c r="I236" s="69"/>
      <c r="J236" s="70"/>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row>
    <row r="237" ht="15.75" customHeight="1" spans="1:51">
      <c r="A237" s="69"/>
      <c r="B237" s="163"/>
      <c r="C237" s="70"/>
      <c r="D237" s="69"/>
      <c r="E237" s="69"/>
      <c r="F237" s="69"/>
      <c r="G237" s="69"/>
      <c r="H237" s="69"/>
      <c r="I237" s="69"/>
      <c r="J237" s="70"/>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row>
    <row r="238" ht="15.75" customHeight="1" spans="1:51">
      <c r="A238" s="69"/>
      <c r="B238" s="163"/>
      <c r="C238" s="70"/>
      <c r="D238" s="69"/>
      <c r="E238" s="69"/>
      <c r="F238" s="69"/>
      <c r="G238" s="69"/>
      <c r="H238" s="69"/>
      <c r="I238" s="69"/>
      <c r="J238" s="70"/>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row>
    <row r="239" ht="15.75" customHeight="1" spans="1:51">
      <c r="A239" s="69"/>
      <c r="B239" s="163"/>
      <c r="C239" s="70"/>
      <c r="D239" s="69"/>
      <c r="E239" s="69"/>
      <c r="F239" s="69"/>
      <c r="G239" s="69"/>
      <c r="H239" s="69"/>
      <c r="I239" s="69"/>
      <c r="J239" s="70"/>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c r="AX239" s="69"/>
      <c r="AY239" s="69"/>
    </row>
    <row r="240" ht="15.75" customHeight="1" spans="1:51">
      <c r="A240" s="69"/>
      <c r="B240" s="163"/>
      <c r="C240" s="70"/>
      <c r="D240" s="69"/>
      <c r="E240" s="69"/>
      <c r="F240" s="69"/>
      <c r="G240" s="69"/>
      <c r="H240" s="69"/>
      <c r="I240" s="69"/>
      <c r="J240" s="70"/>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row>
    <row r="241" ht="15.75" customHeight="1" spans="1:51">
      <c r="A241" s="69"/>
      <c r="B241" s="163"/>
      <c r="C241" s="70"/>
      <c r="D241" s="69"/>
      <c r="E241" s="69"/>
      <c r="F241" s="69"/>
      <c r="G241" s="69"/>
      <c r="H241" s="69"/>
      <c r="I241" s="69"/>
      <c r="J241" s="70"/>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c r="AX241" s="69"/>
      <c r="AY241" s="69"/>
    </row>
    <row r="242" ht="15.75" customHeight="1" spans="1:51">
      <c r="A242" s="69"/>
      <c r="B242" s="163"/>
      <c r="C242" s="70"/>
      <c r="D242" s="69"/>
      <c r="E242" s="69"/>
      <c r="F242" s="69"/>
      <c r="G242" s="69"/>
      <c r="H242" s="69"/>
      <c r="I242" s="69"/>
      <c r="J242" s="70"/>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row>
    <row r="243" ht="15.75" customHeight="1" spans="1:51">
      <c r="A243" s="69"/>
      <c r="B243" s="163"/>
      <c r="C243" s="70"/>
      <c r="D243" s="69"/>
      <c r="E243" s="69"/>
      <c r="F243" s="69"/>
      <c r="G243" s="69"/>
      <c r="H243" s="69"/>
      <c r="I243" s="69"/>
      <c r="J243" s="70"/>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row>
    <row r="244" ht="15.75" customHeight="1" spans="1:51">
      <c r="A244" s="69"/>
      <c r="B244" s="163"/>
      <c r="C244" s="70"/>
      <c r="D244" s="69"/>
      <c r="E244" s="69"/>
      <c r="F244" s="69"/>
      <c r="G244" s="69"/>
      <c r="H244" s="69"/>
      <c r="I244" s="69"/>
      <c r="J244" s="70"/>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row>
    <row r="245" ht="15.75" customHeight="1" spans="1:51">
      <c r="A245" s="69"/>
      <c r="B245" s="163"/>
      <c r="C245" s="70"/>
      <c r="D245" s="69"/>
      <c r="E245" s="69"/>
      <c r="F245" s="69"/>
      <c r="G245" s="69"/>
      <c r="H245" s="69"/>
      <c r="I245" s="69"/>
      <c r="J245" s="70"/>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row>
    <row r="246" ht="15.75" customHeight="1" spans="1:51">
      <c r="A246" s="69"/>
      <c r="B246" s="163"/>
      <c r="C246" s="70"/>
      <c r="D246" s="69"/>
      <c r="E246" s="69"/>
      <c r="F246" s="69"/>
      <c r="G246" s="69"/>
      <c r="H246" s="69"/>
      <c r="I246" s="69"/>
      <c r="J246" s="70"/>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row>
    <row r="247" ht="15.75" customHeight="1" spans="1:51">
      <c r="A247" s="69"/>
      <c r="B247" s="163"/>
      <c r="C247" s="70"/>
      <c r="D247" s="69"/>
      <c r="E247" s="69"/>
      <c r="F247" s="69"/>
      <c r="G247" s="69"/>
      <c r="H247" s="69"/>
      <c r="I247" s="69"/>
      <c r="J247" s="70"/>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row>
    <row r="248" ht="15.75" customHeight="1" spans="1:51">
      <c r="A248" s="69"/>
      <c r="B248" s="163"/>
      <c r="C248" s="70"/>
      <c r="D248" s="69"/>
      <c r="E248" s="69"/>
      <c r="F248" s="69"/>
      <c r="G248" s="69"/>
      <c r="H248" s="69"/>
      <c r="I248" s="69"/>
      <c r="J248" s="70"/>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row>
    <row r="249" ht="15.75" customHeight="1" spans="1:51">
      <c r="A249" s="69"/>
      <c r="B249" s="163"/>
      <c r="C249" s="70"/>
      <c r="D249" s="69"/>
      <c r="E249" s="69"/>
      <c r="F249" s="69"/>
      <c r="G249" s="69"/>
      <c r="H249" s="69"/>
      <c r="I249" s="69"/>
      <c r="J249" s="70"/>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c r="AX249" s="69"/>
      <c r="AY249" s="69"/>
    </row>
    <row r="250" ht="15.75" customHeight="1" spans="1:51">
      <c r="A250" s="69"/>
      <c r="B250" s="163"/>
      <c r="C250" s="70"/>
      <c r="D250" s="69"/>
      <c r="E250" s="69"/>
      <c r="F250" s="69"/>
      <c r="G250" s="69"/>
      <c r="H250" s="69"/>
      <c r="I250" s="69"/>
      <c r="J250" s="70"/>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T250" s="69"/>
      <c r="AU250" s="69"/>
      <c r="AV250" s="69"/>
      <c r="AW250" s="69"/>
      <c r="AX250" s="69"/>
      <c r="AY250" s="69"/>
    </row>
    <row r="251" ht="15.75" customHeight="1" spans="1:51">
      <c r="A251" s="25"/>
      <c r="B251" s="172"/>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row>
    <row r="252" ht="15.75" customHeight="1" spans="1:51">
      <c r="A252" s="25"/>
      <c r="B252" s="172"/>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row>
    <row r="253" ht="15.75" customHeight="1" spans="1:51">
      <c r="A253" s="25"/>
      <c r="B253" s="172"/>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row>
    <row r="254" ht="15.75" customHeight="1" spans="1:51">
      <c r="A254" s="25"/>
      <c r="B254" s="172"/>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row>
    <row r="255" ht="15.75" customHeight="1" spans="1:51">
      <c r="A255" s="25"/>
      <c r="B255" s="172"/>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row>
    <row r="256" ht="15.75" customHeight="1" spans="1:51">
      <c r="A256" s="25"/>
      <c r="B256" s="172"/>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row>
    <row r="257" ht="15.75" customHeight="1" spans="1:51">
      <c r="A257" s="25"/>
      <c r="B257" s="172"/>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row>
    <row r="258" ht="15.75" customHeight="1" spans="1:51">
      <c r="A258" s="25"/>
      <c r="B258" s="172"/>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row>
    <row r="259" ht="15.75" customHeight="1" spans="1:51">
      <c r="A259" s="25"/>
      <c r="B259" s="172"/>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row>
    <row r="260" ht="15.75" customHeight="1" spans="1:51">
      <c r="A260" s="25"/>
      <c r="B260" s="172"/>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row>
    <row r="261" ht="15.75" customHeight="1" spans="1:51">
      <c r="A261" s="25"/>
      <c r="B261" s="172"/>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row>
    <row r="262" ht="15.75" customHeight="1" spans="1:51">
      <c r="A262" s="25"/>
      <c r="B262" s="172"/>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row>
    <row r="263" ht="15.75" customHeight="1" spans="1:51">
      <c r="A263" s="25"/>
      <c r="B263" s="172"/>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row>
    <row r="264" ht="15.75" customHeight="1" spans="1:51">
      <c r="A264" s="25"/>
      <c r="B264" s="172"/>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row>
    <row r="265" ht="15.75" customHeight="1" spans="1:51">
      <c r="A265" s="25"/>
      <c r="B265" s="172"/>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row>
    <row r="266" ht="15.75" customHeight="1" spans="1:51">
      <c r="A266" s="25"/>
      <c r="B266" s="172"/>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row>
    <row r="267" ht="15.75" customHeight="1" spans="1:51">
      <c r="A267" s="25"/>
      <c r="B267" s="172"/>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row>
    <row r="268" ht="15.75" customHeight="1" spans="1:51">
      <c r="A268" s="25"/>
      <c r="B268" s="172"/>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row>
    <row r="269" ht="15.75" customHeight="1" spans="1:51">
      <c r="A269" s="25"/>
      <c r="B269" s="172"/>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row>
    <row r="270" ht="15.75" customHeight="1" spans="1:51">
      <c r="A270" s="25"/>
      <c r="B270" s="172"/>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row>
    <row r="271" ht="15.75" customHeight="1" spans="1:51">
      <c r="A271" s="25"/>
      <c r="B271" s="172"/>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row>
    <row r="272" ht="15.75" customHeight="1" spans="1:51">
      <c r="A272" s="25"/>
      <c r="B272" s="172"/>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row>
    <row r="273" ht="15.75" customHeight="1" spans="1:51">
      <c r="A273" s="25"/>
      <c r="B273" s="172"/>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row>
    <row r="274" ht="15.75" customHeight="1" spans="1:51">
      <c r="A274" s="25"/>
      <c r="B274" s="172"/>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row>
    <row r="275" ht="15.75" customHeight="1" spans="1:51">
      <c r="A275" s="25"/>
      <c r="B275" s="172"/>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row>
    <row r="276" ht="15.75" customHeight="1" spans="1:51">
      <c r="A276" s="25"/>
      <c r="B276" s="172"/>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row>
    <row r="277" ht="15.75" customHeight="1" spans="1:51">
      <c r="A277" s="25"/>
      <c r="B277" s="172"/>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row>
    <row r="278" ht="15.75" customHeight="1" spans="1:51">
      <c r="A278" s="25"/>
      <c r="B278" s="172"/>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row>
    <row r="279" ht="15.75" customHeight="1" spans="1:51">
      <c r="A279" s="25"/>
      <c r="B279" s="172"/>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row>
    <row r="280" ht="15.75" customHeight="1" spans="1:51">
      <c r="A280" s="25"/>
      <c r="B280" s="172"/>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row>
    <row r="281" ht="15.75" customHeight="1" spans="1:51">
      <c r="A281" s="25"/>
      <c r="B281" s="172"/>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row>
    <row r="282" ht="15.75" customHeight="1" spans="1:51">
      <c r="A282" s="25"/>
      <c r="B282" s="172"/>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row>
    <row r="283" ht="15.75" customHeight="1" spans="1:51">
      <c r="A283" s="25"/>
      <c r="B283" s="172"/>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row>
    <row r="284" ht="15.75" customHeight="1" spans="1:51">
      <c r="A284" s="25"/>
      <c r="B284" s="172"/>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row>
    <row r="285" ht="15.75" customHeight="1" spans="1:51">
      <c r="A285" s="25"/>
      <c r="B285" s="172"/>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row>
    <row r="286" ht="15.75" customHeight="1" spans="1:51">
      <c r="A286" s="25"/>
      <c r="B286" s="172"/>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row>
    <row r="287" ht="15.75" customHeight="1" spans="1:51">
      <c r="A287" s="25"/>
      <c r="B287" s="172"/>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row>
    <row r="288" ht="15.75" customHeight="1" spans="1:51">
      <c r="A288" s="25"/>
      <c r="B288" s="172"/>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row>
    <row r="289" ht="15.75" customHeight="1" spans="1:51">
      <c r="A289" s="25"/>
      <c r="B289" s="172"/>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row>
    <row r="290" ht="15.75" customHeight="1" spans="1:51">
      <c r="A290" s="25"/>
      <c r="B290" s="172"/>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row>
    <row r="291" ht="15.75" customHeight="1" spans="1:51">
      <c r="A291" s="25"/>
      <c r="B291" s="172"/>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row>
    <row r="292" ht="15.75" customHeight="1" spans="1:51">
      <c r="A292" s="25"/>
      <c r="B292" s="172"/>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row>
    <row r="293" ht="15.75" customHeight="1" spans="1:51">
      <c r="A293" s="25"/>
      <c r="B293" s="172"/>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row>
    <row r="294" ht="15.75" customHeight="1" spans="1:51">
      <c r="A294" s="25"/>
      <c r="B294" s="172"/>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row>
    <row r="295" ht="15.75" customHeight="1" spans="1:51">
      <c r="A295" s="25"/>
      <c r="B295" s="172"/>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row>
    <row r="296" ht="15.75" customHeight="1" spans="1:51">
      <c r="A296" s="25"/>
      <c r="B296" s="172"/>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row>
    <row r="297" ht="15.75" customHeight="1" spans="1:51">
      <c r="A297" s="25"/>
      <c r="B297" s="172"/>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row>
    <row r="298" ht="15.75" customHeight="1" spans="1:51">
      <c r="A298" s="25"/>
      <c r="B298" s="172"/>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row>
    <row r="299" ht="15.75" customHeight="1" spans="1:51">
      <c r="A299" s="25"/>
      <c r="B299" s="172"/>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row>
    <row r="300" ht="15.75" customHeight="1" spans="1:51">
      <c r="A300" s="25"/>
      <c r="B300" s="172"/>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row>
    <row r="301" ht="15.75" customHeight="1" spans="1:51">
      <c r="A301" s="25"/>
      <c r="B301" s="172"/>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row>
    <row r="302" ht="15.75" customHeight="1" spans="1:51">
      <c r="A302" s="25"/>
      <c r="B302" s="172"/>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row>
    <row r="303" ht="15.75" customHeight="1" spans="1:51">
      <c r="A303" s="25"/>
      <c r="B303" s="172"/>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row>
    <row r="304" ht="15.75" customHeight="1" spans="1:51">
      <c r="A304" s="25"/>
      <c r="B304" s="172"/>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row>
    <row r="305" ht="15.75" customHeight="1" spans="1:51">
      <c r="A305" s="25"/>
      <c r="B305" s="172"/>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row>
    <row r="306" ht="15.75" customHeight="1" spans="1:51">
      <c r="A306" s="25"/>
      <c r="B306" s="172"/>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row>
    <row r="307" ht="15.75" customHeight="1" spans="1:51">
      <c r="A307" s="25"/>
      <c r="B307" s="172"/>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row>
    <row r="308" ht="15.75" customHeight="1" spans="1:51">
      <c r="A308" s="25"/>
      <c r="B308" s="172"/>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row>
    <row r="309" ht="15.75" customHeight="1" spans="1:51">
      <c r="A309" s="25"/>
      <c r="B309" s="172"/>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row>
    <row r="310" ht="15.75" customHeight="1" spans="1:51">
      <c r="A310" s="25"/>
      <c r="B310" s="172"/>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row>
    <row r="311" ht="15.75" customHeight="1" spans="1:51">
      <c r="A311" s="25"/>
      <c r="B311" s="172"/>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row>
    <row r="312" ht="15.75" customHeight="1" spans="1:51">
      <c r="A312" s="25"/>
      <c r="B312" s="172"/>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row>
    <row r="313" ht="15.75" customHeight="1" spans="1:51">
      <c r="A313" s="25"/>
      <c r="B313" s="172"/>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row>
    <row r="314" ht="15.75" customHeight="1" spans="1:51">
      <c r="A314" s="25"/>
      <c r="B314" s="172"/>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row>
    <row r="315" ht="15.75" customHeight="1" spans="1:51">
      <c r="A315" s="25"/>
      <c r="B315" s="172"/>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row>
    <row r="316" ht="15.75" customHeight="1" spans="1:51">
      <c r="A316" s="25"/>
      <c r="B316" s="172"/>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row>
    <row r="317" ht="15.75" customHeight="1" spans="1:51">
      <c r="A317" s="25"/>
      <c r="B317" s="172"/>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row>
    <row r="318" ht="15.75" customHeight="1" spans="1:51">
      <c r="A318" s="25"/>
      <c r="B318" s="172"/>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row>
    <row r="319" ht="15.75" customHeight="1" spans="1:51">
      <c r="A319" s="25"/>
      <c r="B319" s="172"/>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row>
    <row r="320" ht="15.75" customHeight="1" spans="1:51">
      <c r="A320" s="25"/>
      <c r="B320" s="172"/>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row>
    <row r="321" ht="15.75" customHeight="1" spans="1:51">
      <c r="A321" s="25"/>
      <c r="B321" s="172"/>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row>
    <row r="322" ht="15.75" customHeight="1" spans="1:51">
      <c r="A322" s="25"/>
      <c r="B322" s="172"/>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row>
    <row r="323" ht="15.75" customHeight="1" spans="1:51">
      <c r="A323" s="25"/>
      <c r="B323" s="172"/>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row>
    <row r="324" ht="15.75" customHeight="1" spans="1:51">
      <c r="A324" s="25"/>
      <c r="B324" s="172"/>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row>
    <row r="325" ht="15.75" customHeight="1" spans="1:51">
      <c r="A325" s="25"/>
      <c r="B325" s="172"/>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row>
    <row r="326" ht="15.75" customHeight="1" spans="1:51">
      <c r="A326" s="25"/>
      <c r="B326" s="172"/>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row>
    <row r="327" ht="15.75" customHeight="1" spans="1:51">
      <c r="A327" s="25"/>
      <c r="B327" s="172"/>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row>
    <row r="328" ht="15.75" customHeight="1" spans="1:51">
      <c r="A328" s="25"/>
      <c r="B328" s="172"/>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row>
    <row r="329" ht="15.75" customHeight="1" spans="1:51">
      <c r="A329" s="25"/>
      <c r="B329" s="172"/>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row>
    <row r="330" ht="15.75" customHeight="1" spans="1:51">
      <c r="A330" s="25"/>
      <c r="B330" s="172"/>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row>
    <row r="331" ht="15.75" customHeight="1" spans="1:51">
      <c r="A331" s="25"/>
      <c r="B331" s="172"/>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row>
    <row r="332" ht="15.75" customHeight="1" spans="1:51">
      <c r="A332" s="25"/>
      <c r="B332" s="172"/>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row>
    <row r="333" ht="15.75" customHeight="1" spans="1:51">
      <c r="A333" s="25"/>
      <c r="B333" s="172"/>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row>
    <row r="334" ht="15.75" customHeight="1" spans="1:51">
      <c r="A334" s="25"/>
      <c r="B334" s="172"/>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row>
    <row r="335" ht="15.75" customHeight="1" spans="1:51">
      <c r="A335" s="25"/>
      <c r="B335" s="172"/>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row>
    <row r="336" ht="15.75" customHeight="1" spans="1:51">
      <c r="A336" s="25"/>
      <c r="B336" s="172"/>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row>
    <row r="337" ht="15.75" customHeight="1" spans="1:51">
      <c r="A337" s="25"/>
      <c r="B337" s="172"/>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row>
    <row r="338" ht="15.75" customHeight="1" spans="1:51">
      <c r="A338" s="25"/>
      <c r="B338" s="172"/>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row>
    <row r="339" ht="15.75" customHeight="1" spans="1:51">
      <c r="A339" s="25"/>
      <c r="B339" s="172"/>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row>
    <row r="340" ht="15.75" customHeight="1" spans="1:51">
      <c r="A340" s="25"/>
      <c r="B340" s="172"/>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row>
    <row r="341" ht="15.75" customHeight="1" spans="1:51">
      <c r="A341" s="25"/>
      <c r="B341" s="172"/>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row>
    <row r="342" ht="15.75" customHeight="1" spans="1:51">
      <c r="A342" s="25"/>
      <c r="B342" s="172"/>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row>
    <row r="343" ht="15.75" customHeight="1" spans="1:51">
      <c r="A343" s="25"/>
      <c r="B343" s="172"/>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row>
    <row r="344" ht="15.75" customHeight="1" spans="1:51">
      <c r="A344" s="25"/>
      <c r="B344" s="172"/>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row>
    <row r="345" ht="15.75" customHeight="1" spans="1:51">
      <c r="A345" s="25"/>
      <c r="B345" s="172"/>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row>
    <row r="346" ht="15.75" customHeight="1" spans="1:51">
      <c r="A346" s="25"/>
      <c r="B346" s="172"/>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row>
    <row r="347" ht="15.75" customHeight="1" spans="1:51">
      <c r="A347" s="25"/>
      <c r="B347" s="172"/>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row>
    <row r="348" ht="15.75" customHeight="1" spans="1:51">
      <c r="A348" s="25"/>
      <c r="B348" s="172"/>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row>
    <row r="349" ht="15.75" customHeight="1" spans="1:51">
      <c r="A349" s="25"/>
      <c r="B349" s="172"/>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row>
    <row r="350" ht="15.75" customHeight="1" spans="1:51">
      <c r="A350" s="25"/>
      <c r="B350" s="172"/>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row>
    <row r="351" ht="15.75" customHeight="1" spans="1:51">
      <c r="A351" s="25"/>
      <c r="B351" s="172"/>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row>
    <row r="352" ht="15.75" customHeight="1" spans="1:51">
      <c r="A352" s="25"/>
      <c r="B352" s="172"/>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row>
    <row r="353" ht="15.75" customHeight="1" spans="1:51">
      <c r="A353" s="25"/>
      <c r="B353" s="172"/>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row>
    <row r="354" ht="15.75" customHeight="1" spans="1:51">
      <c r="A354" s="25"/>
      <c r="B354" s="172"/>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row>
    <row r="355" ht="15.75" customHeight="1" spans="1:51">
      <c r="A355" s="25"/>
      <c r="B355" s="172"/>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row>
    <row r="356" ht="15.75" customHeight="1" spans="1:51">
      <c r="A356" s="25"/>
      <c r="B356" s="172"/>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row>
    <row r="357" ht="15.75" customHeight="1" spans="1:51">
      <c r="A357" s="25"/>
      <c r="B357" s="172"/>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row>
    <row r="358" ht="15.75" customHeight="1" spans="1:51">
      <c r="A358" s="25"/>
      <c r="B358" s="172"/>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row>
    <row r="359" ht="15.75" customHeight="1" spans="1:51">
      <c r="A359" s="25"/>
      <c r="B359" s="172"/>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row>
    <row r="360" ht="15.75" customHeight="1" spans="1:51">
      <c r="A360" s="25"/>
      <c r="B360" s="172"/>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row>
    <row r="361" ht="15.75" customHeight="1" spans="1:51">
      <c r="A361" s="25"/>
      <c r="B361" s="172"/>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row>
    <row r="362" ht="15.75" customHeight="1" spans="1:51">
      <c r="A362" s="25"/>
      <c r="B362" s="172"/>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row>
    <row r="363" ht="15.75" customHeight="1" spans="1:51">
      <c r="A363" s="25"/>
      <c r="B363" s="172"/>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row>
    <row r="364" ht="15.75" customHeight="1" spans="1:51">
      <c r="A364" s="25"/>
      <c r="B364" s="172"/>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row>
    <row r="365" ht="15.75" customHeight="1" spans="1:51">
      <c r="A365" s="25"/>
      <c r="B365" s="172"/>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row>
    <row r="366" ht="15.75" customHeight="1" spans="1:51">
      <c r="A366" s="25"/>
      <c r="B366" s="172"/>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row>
    <row r="367" ht="15.75" customHeight="1" spans="1:51">
      <c r="A367" s="25"/>
      <c r="B367" s="172"/>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row>
    <row r="368" ht="15.75" customHeight="1" spans="1:51">
      <c r="A368" s="25"/>
      <c r="B368" s="172"/>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row>
    <row r="369" ht="15.75" customHeight="1" spans="1:51">
      <c r="A369" s="25"/>
      <c r="B369" s="172"/>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row>
    <row r="370" ht="15.75" customHeight="1" spans="1:51">
      <c r="A370" s="25"/>
      <c r="B370" s="172"/>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row>
    <row r="371" ht="15.75" customHeight="1" spans="1:51">
      <c r="A371" s="25"/>
      <c r="B371" s="172"/>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row>
    <row r="372" ht="15.75" customHeight="1" spans="1:51">
      <c r="A372" s="25"/>
      <c r="B372" s="172"/>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row>
    <row r="373" ht="15.75" customHeight="1" spans="1:51">
      <c r="A373" s="25"/>
      <c r="B373" s="172"/>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row>
    <row r="374" ht="15.75" customHeight="1" spans="1:51">
      <c r="A374" s="25"/>
      <c r="B374" s="172"/>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row>
    <row r="375" ht="15.75" customHeight="1" spans="1:51">
      <c r="A375" s="25"/>
      <c r="B375" s="172"/>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row>
    <row r="376" ht="15.75" customHeight="1" spans="1:51">
      <c r="A376" s="25"/>
      <c r="B376" s="172"/>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row>
    <row r="377" ht="15.75" customHeight="1" spans="1:51">
      <c r="A377" s="25"/>
      <c r="B377" s="172"/>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row>
    <row r="378" ht="15.75" customHeight="1" spans="1:51">
      <c r="A378" s="25"/>
      <c r="B378" s="172"/>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row>
    <row r="379" ht="15.75" customHeight="1" spans="1:51">
      <c r="A379" s="25"/>
      <c r="B379" s="172"/>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row>
    <row r="380" ht="15.75" customHeight="1" spans="1:51">
      <c r="A380" s="25"/>
      <c r="B380" s="172"/>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row>
    <row r="381" ht="15.75" customHeight="1" spans="1:51">
      <c r="A381" s="25"/>
      <c r="B381" s="172"/>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row>
    <row r="382" ht="15.75" customHeight="1" spans="1:51">
      <c r="A382" s="25"/>
      <c r="B382" s="172"/>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row>
    <row r="383" ht="15.75" customHeight="1" spans="1:51">
      <c r="A383" s="25"/>
      <c r="B383" s="172"/>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row>
    <row r="384" ht="15.75" customHeight="1" spans="1:51">
      <c r="A384" s="25"/>
      <c r="B384" s="172"/>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row>
    <row r="385" ht="15.75" customHeight="1" spans="1:51">
      <c r="A385" s="25"/>
      <c r="B385" s="172"/>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row>
    <row r="386" ht="15.75" customHeight="1" spans="1:51">
      <c r="A386" s="25"/>
      <c r="B386" s="172"/>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row>
    <row r="387" ht="15.75" customHeight="1" spans="1:51">
      <c r="A387" s="25"/>
      <c r="B387" s="172"/>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row>
    <row r="388" ht="15.75" customHeight="1" spans="1:51">
      <c r="A388" s="25"/>
      <c r="B388" s="172"/>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row>
    <row r="389" ht="15.75" customHeight="1" spans="1:51">
      <c r="A389" s="25"/>
      <c r="B389" s="172"/>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row>
    <row r="390" ht="15.75" customHeight="1" spans="1:51">
      <c r="A390" s="25"/>
      <c r="B390" s="172"/>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row>
    <row r="391" ht="15.75" customHeight="1" spans="1:51">
      <c r="A391" s="25"/>
      <c r="B391" s="172"/>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row>
    <row r="392" ht="15.75" customHeight="1" spans="1:51">
      <c r="A392" s="25"/>
      <c r="B392" s="172"/>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row>
    <row r="393" ht="15.75" customHeight="1" spans="1:51">
      <c r="A393" s="25"/>
      <c r="B393" s="172"/>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row>
    <row r="394" ht="15.75" customHeight="1" spans="1:51">
      <c r="A394" s="25"/>
      <c r="B394" s="172"/>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row>
    <row r="395" ht="15.75" customHeight="1" spans="1:51">
      <c r="A395" s="25"/>
      <c r="B395" s="172"/>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row>
    <row r="396" ht="15.75" customHeight="1" spans="1:51">
      <c r="A396" s="25"/>
      <c r="B396" s="172"/>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row>
    <row r="397" ht="15.75" customHeight="1" spans="1:51">
      <c r="A397" s="25"/>
      <c r="B397" s="172"/>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row>
    <row r="398" ht="15.75" customHeight="1" spans="1:51">
      <c r="A398" s="25"/>
      <c r="B398" s="172"/>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row>
    <row r="399" ht="15.75" customHeight="1" spans="1:51">
      <c r="A399" s="25"/>
      <c r="B399" s="172"/>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row>
    <row r="400" ht="15.75" customHeight="1" spans="1:51">
      <c r="A400" s="25"/>
      <c r="B400" s="172"/>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row>
    <row r="401" ht="15.75" customHeight="1" spans="1:51">
      <c r="A401" s="25"/>
      <c r="B401" s="172"/>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row>
    <row r="402" ht="15.75" customHeight="1" spans="1:51">
      <c r="A402" s="25"/>
      <c r="B402" s="172"/>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row>
    <row r="403" ht="15.75" customHeight="1" spans="1:51">
      <c r="A403" s="25"/>
      <c r="B403" s="172"/>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row>
    <row r="404" ht="15.75" customHeight="1" spans="1:51">
      <c r="A404" s="25"/>
      <c r="B404" s="172"/>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row>
    <row r="405" ht="15.75" customHeight="1" spans="1:51">
      <c r="A405" s="25"/>
      <c r="B405" s="172"/>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row>
    <row r="406" ht="15.75" customHeight="1" spans="1:51">
      <c r="A406" s="25"/>
      <c r="B406" s="172"/>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row>
    <row r="407" ht="15.75" customHeight="1" spans="1:51">
      <c r="A407" s="25"/>
      <c r="B407" s="172"/>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row>
    <row r="408" ht="15.75" customHeight="1" spans="1:51">
      <c r="A408" s="25"/>
      <c r="B408" s="172"/>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row>
    <row r="409" ht="15.75" customHeight="1" spans="1:51">
      <c r="A409" s="25"/>
      <c r="B409" s="172"/>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row>
    <row r="410" ht="15.75" customHeight="1" spans="1:51">
      <c r="A410" s="25"/>
      <c r="B410" s="172"/>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row>
    <row r="411" ht="15.75" customHeight="1" spans="1:51">
      <c r="A411" s="25"/>
      <c r="B411" s="172"/>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row>
    <row r="412" ht="15.75" customHeight="1" spans="1:51">
      <c r="A412" s="25"/>
      <c r="B412" s="172"/>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row>
    <row r="413" ht="15.75" customHeight="1" spans="1:51">
      <c r="A413" s="25"/>
      <c r="B413" s="172"/>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row>
    <row r="414" ht="15.75" customHeight="1" spans="1:51">
      <c r="A414" s="25"/>
      <c r="B414" s="172"/>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row>
    <row r="415" ht="15.75" customHeight="1" spans="1:51">
      <c r="A415" s="25"/>
      <c r="B415" s="172"/>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row>
    <row r="416" ht="15.75" customHeight="1" spans="1:51">
      <c r="A416" s="25"/>
      <c r="B416" s="172"/>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row>
    <row r="417" ht="15.75" customHeight="1" spans="1:51">
      <c r="A417" s="25"/>
      <c r="B417" s="172"/>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row>
    <row r="418" ht="15.75" customHeight="1" spans="1:51">
      <c r="A418" s="25"/>
      <c r="B418" s="172"/>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row>
    <row r="419" ht="15.75" customHeight="1" spans="1:51">
      <c r="A419" s="25"/>
      <c r="B419" s="172"/>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row>
    <row r="420" ht="15.75" customHeight="1" spans="1:51">
      <c r="A420" s="25"/>
      <c r="B420" s="172"/>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row>
    <row r="421" ht="15.75" customHeight="1" spans="1:51">
      <c r="A421" s="25"/>
      <c r="B421" s="172"/>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row>
    <row r="422" ht="15.75" customHeight="1" spans="1:51">
      <c r="A422" s="25"/>
      <c r="B422" s="172"/>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row>
    <row r="423" ht="15.75" customHeight="1" spans="1:51">
      <c r="A423" s="25"/>
      <c r="B423" s="172"/>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row>
    <row r="424" ht="15.75" customHeight="1" spans="1:51">
      <c r="A424" s="25"/>
      <c r="B424" s="172"/>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row>
    <row r="425" ht="15.75" customHeight="1" spans="1:51">
      <c r="A425" s="25"/>
      <c r="B425" s="172"/>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row>
    <row r="426" ht="15.75" customHeight="1" spans="1:51">
      <c r="A426" s="25"/>
      <c r="B426" s="172"/>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row>
    <row r="427" ht="15.75" customHeight="1" spans="1:51">
      <c r="A427" s="25"/>
      <c r="B427" s="172"/>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row>
    <row r="428" ht="15.75" customHeight="1" spans="1:51">
      <c r="A428" s="25"/>
      <c r="B428" s="172"/>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row>
    <row r="429" ht="15.75" customHeight="1" spans="1:51">
      <c r="A429" s="25"/>
      <c r="B429" s="172"/>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row>
    <row r="430" ht="15.75" customHeight="1" spans="1:51">
      <c r="A430" s="25"/>
      <c r="B430" s="172"/>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row>
    <row r="431" ht="15.75" customHeight="1" spans="1:51">
      <c r="A431" s="25"/>
      <c r="B431" s="172"/>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row>
    <row r="432" ht="15.75" customHeight="1" spans="1:51">
      <c r="A432" s="25"/>
      <c r="B432" s="172"/>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row>
    <row r="433" ht="15.75" customHeight="1" spans="1:51">
      <c r="A433" s="25"/>
      <c r="B433" s="172"/>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row>
    <row r="434" ht="15.75" customHeight="1" spans="1:51">
      <c r="A434" s="25"/>
      <c r="B434" s="172"/>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row>
    <row r="435" ht="15.75" customHeight="1" spans="1:51">
      <c r="A435" s="25"/>
      <c r="B435" s="172"/>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row>
    <row r="436" ht="15.75" customHeight="1" spans="1:51">
      <c r="A436" s="25"/>
      <c r="B436" s="172"/>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row>
    <row r="437" ht="15.75" customHeight="1" spans="1:51">
      <c r="A437" s="25"/>
      <c r="B437" s="172"/>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row>
    <row r="438" ht="15.75" customHeight="1" spans="1:51">
      <c r="A438" s="25"/>
      <c r="B438" s="172"/>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row>
    <row r="439" ht="15.75" customHeight="1" spans="1:51">
      <c r="A439" s="25"/>
      <c r="B439" s="172"/>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row>
    <row r="440" ht="15.75" customHeight="1" spans="1:51">
      <c r="A440" s="25"/>
      <c r="B440" s="172"/>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row>
    <row r="441" ht="15.75" customHeight="1" spans="1:51">
      <c r="A441" s="25"/>
      <c r="B441" s="172"/>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row>
    <row r="442" ht="15.75" customHeight="1" spans="1:51">
      <c r="A442" s="25"/>
      <c r="B442" s="172"/>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row>
    <row r="443" ht="15.75" customHeight="1" spans="1:51">
      <c r="A443" s="25"/>
      <c r="B443" s="172"/>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row>
    <row r="444" ht="15.75" customHeight="1" spans="1:51">
      <c r="A444" s="25"/>
      <c r="B444" s="172"/>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row>
    <row r="445" ht="15.75" customHeight="1" spans="1:51">
      <c r="A445" s="25"/>
      <c r="B445" s="172"/>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row>
    <row r="446" ht="15.75" customHeight="1" spans="1:51">
      <c r="A446" s="25"/>
      <c r="B446" s="172"/>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row>
    <row r="447" ht="15.75" customHeight="1" spans="1:51">
      <c r="A447" s="25"/>
      <c r="B447" s="172"/>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row>
    <row r="448" ht="15.75" customHeight="1" spans="1:51">
      <c r="A448" s="25"/>
      <c r="B448" s="172"/>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row>
    <row r="449" ht="15.75" customHeight="1" spans="1:51">
      <c r="A449" s="25"/>
      <c r="B449" s="172"/>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row>
    <row r="450" ht="15.75" customHeight="1" spans="1:51">
      <c r="A450" s="25"/>
      <c r="B450" s="172"/>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row>
    <row r="451" ht="15.75" customHeight="1" spans="1:51">
      <c r="A451" s="25"/>
      <c r="B451" s="172"/>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row>
    <row r="452" ht="15.75" customHeight="1" spans="1:51">
      <c r="A452" s="25"/>
      <c r="B452" s="172"/>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row>
    <row r="453" ht="15.75" customHeight="1" spans="1:51">
      <c r="A453" s="25"/>
      <c r="B453" s="172"/>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row>
    <row r="454" ht="15.75" customHeight="1" spans="1:51">
      <c r="A454" s="25"/>
      <c r="B454" s="172"/>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row>
    <row r="455" ht="15.75" customHeight="1" spans="1:51">
      <c r="A455" s="25"/>
      <c r="B455" s="172"/>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row>
    <row r="456" ht="15.75" customHeight="1" spans="1:51">
      <c r="A456" s="25"/>
      <c r="B456" s="172"/>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row>
    <row r="457" ht="15.75" customHeight="1" spans="1:51">
      <c r="A457" s="25"/>
      <c r="B457" s="172"/>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row>
    <row r="458" ht="15.75" customHeight="1" spans="1:51">
      <c r="A458" s="25"/>
      <c r="B458" s="172"/>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row>
    <row r="459" ht="15.75" customHeight="1" spans="1:51">
      <c r="A459" s="25"/>
      <c r="B459" s="172"/>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row>
    <row r="460" ht="15.75" customHeight="1" spans="1:51">
      <c r="A460" s="25"/>
      <c r="B460" s="172"/>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row>
    <row r="461" ht="15.75" customHeight="1" spans="1:51">
      <c r="A461" s="25"/>
      <c r="B461" s="172"/>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row>
    <row r="462" ht="15.75" customHeight="1" spans="1:51">
      <c r="A462" s="25"/>
      <c r="B462" s="172"/>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row>
    <row r="463" ht="15.75" customHeight="1" spans="1:51">
      <c r="A463" s="25"/>
      <c r="B463" s="172"/>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row>
    <row r="464" ht="15.75" customHeight="1" spans="1:51">
      <c r="A464" s="25"/>
      <c r="B464" s="172"/>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row>
    <row r="465" ht="15.75" customHeight="1" spans="1:51">
      <c r="A465" s="25"/>
      <c r="B465" s="172"/>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row>
    <row r="466" ht="15.75" customHeight="1" spans="1:51">
      <c r="A466" s="25"/>
      <c r="B466" s="172"/>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row>
    <row r="467" ht="15.75" customHeight="1" spans="1:51">
      <c r="A467" s="25"/>
      <c r="B467" s="172"/>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row>
    <row r="468" ht="15.75" customHeight="1" spans="1:51">
      <c r="A468" s="25"/>
      <c r="B468" s="172"/>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row>
    <row r="469" ht="15.75" customHeight="1" spans="1:51">
      <c r="A469" s="25"/>
      <c r="B469" s="172"/>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row>
    <row r="470" ht="15.75" customHeight="1" spans="1:51">
      <c r="A470" s="25"/>
      <c r="B470" s="172"/>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row>
    <row r="471" ht="15.75" customHeight="1" spans="1:51">
      <c r="A471" s="25"/>
      <c r="B471" s="172"/>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row>
    <row r="472" ht="15.75" customHeight="1" spans="1:51">
      <c r="A472" s="25"/>
      <c r="B472" s="172"/>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row>
    <row r="473" ht="15.75" customHeight="1" spans="1:51">
      <c r="A473" s="25"/>
      <c r="B473" s="172"/>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row>
    <row r="474" ht="15.75" customHeight="1" spans="1:51">
      <c r="A474" s="25"/>
      <c r="B474" s="172"/>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row>
    <row r="475" ht="15.75" customHeight="1" spans="1:51">
      <c r="A475" s="25"/>
      <c r="B475" s="172"/>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row>
    <row r="476" ht="15.75" customHeight="1" spans="1:51">
      <c r="A476" s="25"/>
      <c r="B476" s="172"/>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row>
    <row r="477" ht="15.75" customHeight="1" spans="1:51">
      <c r="A477" s="25"/>
      <c r="B477" s="172"/>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row>
    <row r="478" ht="15.75" customHeight="1" spans="1:51">
      <c r="A478" s="25"/>
      <c r="B478" s="172"/>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row>
    <row r="479" ht="15.75" customHeight="1" spans="1:51">
      <c r="A479" s="25"/>
      <c r="B479" s="172"/>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row>
    <row r="480" ht="15.75" customHeight="1" spans="1:51">
      <c r="A480" s="25"/>
      <c r="B480" s="172"/>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row>
    <row r="481" ht="15.75" customHeight="1" spans="1:51">
      <c r="A481" s="25"/>
      <c r="B481" s="172"/>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row>
    <row r="482" ht="15.75" customHeight="1" spans="1:51">
      <c r="A482" s="25"/>
      <c r="B482" s="172"/>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row>
    <row r="483" ht="15.75" customHeight="1" spans="1:51">
      <c r="A483" s="25"/>
      <c r="B483" s="172"/>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row>
    <row r="484" ht="15.75" customHeight="1" spans="1:51">
      <c r="A484" s="25"/>
      <c r="B484" s="172"/>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row>
    <row r="485" ht="15.75" customHeight="1" spans="1:51">
      <c r="A485" s="25"/>
      <c r="B485" s="172"/>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row>
    <row r="486" ht="15.75" customHeight="1" spans="1:51">
      <c r="A486" s="25"/>
      <c r="B486" s="172"/>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row>
    <row r="487" ht="15.75" customHeight="1" spans="1:51">
      <c r="A487" s="25"/>
      <c r="B487" s="172"/>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row>
    <row r="488" ht="15.75" customHeight="1" spans="1:51">
      <c r="A488" s="25"/>
      <c r="B488" s="172"/>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row>
    <row r="489" ht="15.75" customHeight="1" spans="1:51">
      <c r="A489" s="25"/>
      <c r="B489" s="172"/>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row>
    <row r="490" ht="15.75" customHeight="1" spans="1:51">
      <c r="A490" s="25"/>
      <c r="B490" s="172"/>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row>
    <row r="491" ht="15.75" customHeight="1" spans="1:51">
      <c r="A491" s="25"/>
      <c r="B491" s="172"/>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row>
    <row r="492" ht="15.75" customHeight="1" spans="1:51">
      <c r="A492" s="25"/>
      <c r="B492" s="172"/>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row>
    <row r="493" ht="15.75" customHeight="1" spans="1:51">
      <c r="A493" s="25"/>
      <c r="B493" s="172"/>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row>
    <row r="494" ht="15.75" customHeight="1" spans="1:51">
      <c r="A494" s="25"/>
      <c r="B494" s="172"/>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row>
    <row r="495" ht="15.75" customHeight="1" spans="1:51">
      <c r="A495" s="25"/>
      <c r="B495" s="172"/>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row>
    <row r="496" ht="15.75" customHeight="1" spans="1:51">
      <c r="A496" s="25"/>
      <c r="B496" s="172"/>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row>
    <row r="497" ht="15.75" customHeight="1" spans="1:51">
      <c r="A497" s="25"/>
      <c r="B497" s="172"/>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row>
    <row r="498" ht="15.75" customHeight="1" spans="1:51">
      <c r="A498" s="25"/>
      <c r="B498" s="172"/>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row>
    <row r="499" ht="15.75" customHeight="1" spans="1:51">
      <c r="A499" s="25"/>
      <c r="B499" s="172"/>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row>
    <row r="500" ht="15.75" customHeight="1" spans="1:51">
      <c r="A500" s="25"/>
      <c r="B500" s="172"/>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row>
    <row r="501" ht="15.75" customHeight="1" spans="1:51">
      <c r="A501" s="25"/>
      <c r="B501" s="172"/>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row>
    <row r="502" ht="15.75" customHeight="1" spans="1:51">
      <c r="A502" s="25"/>
      <c r="B502" s="172"/>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row>
    <row r="503" ht="15.75" customHeight="1" spans="1:51">
      <c r="A503" s="25"/>
      <c r="B503" s="172"/>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row>
    <row r="504" ht="15.75" customHeight="1" spans="1:51">
      <c r="A504" s="25"/>
      <c r="B504" s="172"/>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row>
    <row r="505" ht="15.75" customHeight="1" spans="1:51">
      <c r="A505" s="25"/>
      <c r="B505" s="172"/>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row>
    <row r="506" ht="15.75" customHeight="1" spans="1:51">
      <c r="A506" s="25"/>
      <c r="B506" s="172"/>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row>
    <row r="507" ht="15.75" customHeight="1" spans="1:51">
      <c r="A507" s="25"/>
      <c r="B507" s="172"/>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row>
    <row r="508" ht="15.75" customHeight="1" spans="1:51">
      <c r="A508" s="25"/>
      <c r="B508" s="172"/>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row>
    <row r="509" ht="15.75" customHeight="1" spans="1:51">
      <c r="A509" s="25"/>
      <c r="B509" s="172"/>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row>
    <row r="510" ht="15.75" customHeight="1" spans="1:51">
      <c r="A510" s="25"/>
      <c r="B510" s="172"/>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row>
    <row r="511" ht="15.75" customHeight="1" spans="1:51">
      <c r="A511" s="25"/>
      <c r="B511" s="172"/>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row>
    <row r="512" ht="15.75" customHeight="1" spans="1:51">
      <c r="A512" s="25"/>
      <c r="B512" s="172"/>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row>
    <row r="513" ht="15.75" customHeight="1" spans="1:51">
      <c r="A513" s="25"/>
      <c r="B513" s="172"/>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row>
    <row r="514" ht="15.75" customHeight="1" spans="1:51">
      <c r="A514" s="25"/>
      <c r="B514" s="172"/>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row>
    <row r="515" ht="15.75" customHeight="1" spans="1:51">
      <c r="A515" s="25"/>
      <c r="B515" s="172"/>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row>
    <row r="516" ht="15.75" customHeight="1" spans="1:51">
      <c r="A516" s="25"/>
      <c r="B516" s="172"/>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row>
    <row r="517" ht="15.75" customHeight="1" spans="1:51">
      <c r="A517" s="25"/>
      <c r="B517" s="172"/>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row>
    <row r="518" ht="15.75" customHeight="1" spans="1:51">
      <c r="A518" s="25"/>
      <c r="B518" s="172"/>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row>
    <row r="519" ht="15.75" customHeight="1" spans="1:51">
      <c r="A519" s="25"/>
      <c r="B519" s="172"/>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row>
    <row r="520" ht="15.75" customHeight="1" spans="1:51">
      <c r="A520" s="25"/>
      <c r="B520" s="172"/>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row>
    <row r="521" ht="15.75" customHeight="1" spans="1:51">
      <c r="A521" s="25"/>
      <c r="B521" s="172"/>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row>
    <row r="522" ht="15.75" customHeight="1" spans="1:51">
      <c r="A522" s="25"/>
      <c r="B522" s="172"/>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row>
    <row r="523" ht="15.75" customHeight="1" spans="1:51">
      <c r="A523" s="25"/>
      <c r="B523" s="172"/>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row>
    <row r="524" ht="15.75" customHeight="1" spans="1:51">
      <c r="A524" s="25"/>
      <c r="B524" s="172"/>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row>
    <row r="525" ht="15.75" customHeight="1" spans="1:51">
      <c r="A525" s="25"/>
      <c r="B525" s="172"/>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row>
    <row r="526" ht="15.75" customHeight="1" spans="1:51">
      <c r="A526" s="25"/>
      <c r="B526" s="172"/>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row>
    <row r="527" ht="15.75" customHeight="1" spans="1:51">
      <c r="A527" s="25"/>
      <c r="B527" s="172"/>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row>
    <row r="528" ht="15.75" customHeight="1" spans="1:51">
      <c r="A528" s="25"/>
      <c r="B528" s="172"/>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row>
    <row r="529" ht="15.75" customHeight="1" spans="1:51">
      <c r="A529" s="25"/>
      <c r="B529" s="172"/>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row>
    <row r="530" ht="15.75" customHeight="1" spans="1:51">
      <c r="A530" s="25"/>
      <c r="B530" s="172"/>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row>
    <row r="531" ht="15.75" customHeight="1" spans="1:51">
      <c r="A531" s="25"/>
      <c r="B531" s="172"/>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row>
    <row r="532" ht="15.75" customHeight="1" spans="1:51">
      <c r="A532" s="25"/>
      <c r="B532" s="172"/>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row>
    <row r="533" ht="15.75" customHeight="1" spans="1:51">
      <c r="A533" s="25"/>
      <c r="B533" s="172"/>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row>
    <row r="534" ht="15.75" customHeight="1" spans="1:51">
      <c r="A534" s="25"/>
      <c r="B534" s="172"/>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row>
    <row r="535" ht="15.75" customHeight="1" spans="1:51">
      <c r="A535" s="25"/>
      <c r="B535" s="172"/>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row>
    <row r="536" ht="15.75" customHeight="1" spans="1:51">
      <c r="A536" s="25"/>
      <c r="B536" s="172"/>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row>
    <row r="537" ht="15.75" customHeight="1" spans="1:51">
      <c r="A537" s="25"/>
      <c r="B537" s="172"/>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row>
    <row r="538" ht="15.75" customHeight="1" spans="1:51">
      <c r="A538" s="25"/>
      <c r="B538" s="172"/>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row>
    <row r="539" ht="15.75" customHeight="1" spans="1:51">
      <c r="A539" s="25"/>
      <c r="B539" s="172"/>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row>
    <row r="540" ht="15.75" customHeight="1" spans="1:51">
      <c r="A540" s="25"/>
      <c r="B540" s="172"/>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row>
    <row r="541" ht="15.75" customHeight="1" spans="1:51">
      <c r="A541" s="25"/>
      <c r="B541" s="172"/>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row>
    <row r="542" ht="15.75" customHeight="1" spans="1:51">
      <c r="A542" s="25"/>
      <c r="B542" s="172"/>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row>
    <row r="543" ht="15.75" customHeight="1" spans="1:51">
      <c r="A543" s="25"/>
      <c r="B543" s="172"/>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row>
    <row r="544" ht="15.75" customHeight="1" spans="1:51">
      <c r="A544" s="25"/>
      <c r="B544" s="172"/>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row>
    <row r="545" ht="15.75" customHeight="1" spans="1:51">
      <c r="A545" s="25"/>
      <c r="B545" s="172"/>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row>
    <row r="546" ht="15.75" customHeight="1" spans="1:51">
      <c r="A546" s="25"/>
      <c r="B546" s="172"/>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row>
    <row r="547" ht="15.75" customHeight="1" spans="1:51">
      <c r="A547" s="25"/>
      <c r="B547" s="172"/>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row>
    <row r="548" ht="15.75" customHeight="1" spans="1:51">
      <c r="A548" s="25"/>
      <c r="B548" s="172"/>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row>
    <row r="549" ht="15.75" customHeight="1" spans="1:51">
      <c r="A549" s="25"/>
      <c r="B549" s="172"/>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row>
    <row r="550" ht="15.75" customHeight="1" spans="1:51">
      <c r="A550" s="25"/>
      <c r="B550" s="172"/>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row>
    <row r="551" ht="15.75" customHeight="1" spans="1:51">
      <c r="A551" s="25"/>
      <c r="B551" s="172"/>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row>
    <row r="552" ht="15.75" customHeight="1" spans="1:51">
      <c r="A552" s="25"/>
      <c r="B552" s="172"/>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row>
    <row r="553" ht="15.75" customHeight="1" spans="1:51">
      <c r="A553" s="25"/>
      <c r="B553" s="172"/>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row>
    <row r="554" ht="15.75" customHeight="1" spans="1:51">
      <c r="A554" s="25"/>
      <c r="B554" s="172"/>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row>
    <row r="555" ht="15.75" customHeight="1" spans="1:51">
      <c r="A555" s="25"/>
      <c r="B555" s="172"/>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row>
    <row r="556" ht="15.75" customHeight="1" spans="1:51">
      <c r="A556" s="25"/>
      <c r="B556" s="172"/>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row>
    <row r="557" ht="15.75" customHeight="1" spans="1:51">
      <c r="A557" s="25"/>
      <c r="B557" s="172"/>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row>
    <row r="558" ht="15.75" customHeight="1" spans="1:51">
      <c r="A558" s="25"/>
      <c r="B558" s="172"/>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row>
    <row r="559" ht="15.75" customHeight="1" spans="1:51">
      <c r="A559" s="25"/>
      <c r="B559" s="172"/>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row>
    <row r="560" ht="15.75" customHeight="1" spans="1:51">
      <c r="A560" s="25"/>
      <c r="B560" s="172"/>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row>
    <row r="561" ht="15.75" customHeight="1" spans="1:51">
      <c r="A561" s="25"/>
      <c r="B561" s="172"/>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row>
    <row r="562" ht="15.75" customHeight="1" spans="1:51">
      <c r="A562" s="25"/>
      <c r="B562" s="172"/>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row>
    <row r="563" ht="15.75" customHeight="1" spans="1:51">
      <c r="A563" s="25"/>
      <c r="B563" s="172"/>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row>
    <row r="564" ht="15.75" customHeight="1" spans="1:51">
      <c r="A564" s="25"/>
      <c r="B564" s="172"/>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row>
    <row r="565" ht="15.75" customHeight="1" spans="1:51">
      <c r="A565" s="25"/>
      <c r="B565" s="172"/>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row>
    <row r="566" ht="15.75" customHeight="1" spans="1:51">
      <c r="A566" s="25"/>
      <c r="B566" s="172"/>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row>
    <row r="567" ht="15.75" customHeight="1" spans="1:51">
      <c r="A567" s="25"/>
      <c r="B567" s="172"/>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row>
    <row r="568" ht="15.75" customHeight="1" spans="1:51">
      <c r="A568" s="25"/>
      <c r="B568" s="172"/>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row>
    <row r="569" ht="15.75" customHeight="1" spans="1:51">
      <c r="A569" s="25"/>
      <c r="B569" s="172"/>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row>
    <row r="570" ht="15.75" customHeight="1" spans="1:51">
      <c r="A570" s="25"/>
      <c r="B570" s="172"/>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row>
    <row r="571" ht="15.75" customHeight="1" spans="1:51">
      <c r="A571" s="25"/>
      <c r="B571" s="172"/>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row>
    <row r="572" ht="15.75" customHeight="1" spans="1:51">
      <c r="A572" s="25"/>
      <c r="B572" s="172"/>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row>
    <row r="573" ht="15.75" customHeight="1" spans="1:51">
      <c r="A573" s="25"/>
      <c r="B573" s="172"/>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row>
    <row r="574" ht="15.75" customHeight="1" spans="1:51">
      <c r="A574" s="25"/>
      <c r="B574" s="172"/>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row>
    <row r="575" ht="15.75" customHeight="1" spans="1:51">
      <c r="A575" s="25"/>
      <c r="B575" s="172"/>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row>
    <row r="576" ht="15.75" customHeight="1" spans="1:51">
      <c r="A576" s="25"/>
      <c r="B576" s="172"/>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row>
    <row r="577" ht="15.75" customHeight="1" spans="1:51">
      <c r="A577" s="25"/>
      <c r="B577" s="172"/>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row>
    <row r="578" ht="15.75" customHeight="1" spans="1:51">
      <c r="A578" s="25"/>
      <c r="B578" s="172"/>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row>
    <row r="579" ht="15.75" customHeight="1" spans="1:51">
      <c r="A579" s="25"/>
      <c r="B579" s="172"/>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row>
    <row r="580" ht="15.75" customHeight="1" spans="1:51">
      <c r="A580" s="25"/>
      <c r="B580" s="172"/>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row>
    <row r="581" ht="15.75" customHeight="1" spans="1:51">
      <c r="A581" s="25"/>
      <c r="B581" s="172"/>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row>
    <row r="582" ht="15.75" customHeight="1" spans="1:51">
      <c r="A582" s="25"/>
      <c r="B582" s="172"/>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row>
    <row r="583" ht="15.75" customHeight="1" spans="1:51">
      <c r="A583" s="25"/>
      <c r="B583" s="172"/>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row>
    <row r="584" ht="15.75" customHeight="1" spans="1:51">
      <c r="A584" s="25"/>
      <c r="B584" s="172"/>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row>
    <row r="585" ht="15.75" customHeight="1" spans="1:51">
      <c r="A585" s="25"/>
      <c r="B585" s="172"/>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row>
    <row r="586" ht="15.75" customHeight="1" spans="1:51">
      <c r="A586" s="25"/>
      <c r="B586" s="172"/>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row>
    <row r="587" ht="15.75" customHeight="1" spans="1:51">
      <c r="A587" s="25"/>
      <c r="B587" s="172"/>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row>
    <row r="588" ht="15.75" customHeight="1" spans="1:51">
      <c r="A588" s="25"/>
      <c r="B588" s="172"/>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row>
    <row r="589" ht="15.75" customHeight="1" spans="1:51">
      <c r="A589" s="25"/>
      <c r="B589" s="172"/>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row>
    <row r="590" ht="15.75" customHeight="1" spans="1:51">
      <c r="A590" s="25"/>
      <c r="B590" s="172"/>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row>
    <row r="591" ht="15.75" customHeight="1" spans="1:51">
      <c r="A591" s="25"/>
      <c r="B591" s="172"/>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row>
    <row r="592" ht="15.75" customHeight="1" spans="1:51">
      <c r="A592" s="25"/>
      <c r="B592" s="172"/>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row>
    <row r="593" ht="15.75" customHeight="1" spans="1:51">
      <c r="A593" s="25"/>
      <c r="B593" s="172"/>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row>
    <row r="594" ht="15.75" customHeight="1" spans="1:51">
      <c r="A594" s="25"/>
      <c r="B594" s="172"/>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row>
    <row r="595" ht="15.75" customHeight="1" spans="1:51">
      <c r="A595" s="25"/>
      <c r="B595" s="172"/>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row>
    <row r="596" ht="15.75" customHeight="1" spans="1:51">
      <c r="A596" s="25"/>
      <c r="B596" s="172"/>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row>
    <row r="597" ht="15.75" customHeight="1" spans="1:51">
      <c r="A597" s="25"/>
      <c r="B597" s="172"/>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row>
    <row r="598" ht="15.75" customHeight="1" spans="1:51">
      <c r="A598" s="25"/>
      <c r="B598" s="172"/>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row>
    <row r="599" ht="15.75" customHeight="1" spans="1:51">
      <c r="A599" s="25"/>
      <c r="B599" s="172"/>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row>
    <row r="600" ht="15.75" customHeight="1" spans="1:51">
      <c r="A600" s="25"/>
      <c r="B600" s="172"/>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row>
    <row r="601" ht="15.75" customHeight="1" spans="1:51">
      <c r="A601" s="25"/>
      <c r="B601" s="172"/>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row>
    <row r="602" ht="15.75" customHeight="1" spans="1:51">
      <c r="A602" s="25"/>
      <c r="B602" s="172"/>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row>
    <row r="603" ht="15.75" customHeight="1" spans="1:51">
      <c r="A603" s="25"/>
      <c r="B603" s="172"/>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row>
    <row r="604" ht="15.75" customHeight="1" spans="1:51">
      <c r="A604" s="25"/>
      <c r="B604" s="172"/>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row>
    <row r="605" ht="15.75" customHeight="1" spans="1:51">
      <c r="A605" s="25"/>
      <c r="B605" s="172"/>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row>
    <row r="606" ht="15.75" customHeight="1" spans="1:51">
      <c r="A606" s="25"/>
      <c r="B606" s="172"/>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row>
    <row r="607" ht="15.75" customHeight="1" spans="1:51">
      <c r="A607" s="25"/>
      <c r="B607" s="172"/>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row>
    <row r="608" ht="15.75" customHeight="1" spans="1:51">
      <c r="A608" s="25"/>
      <c r="B608" s="172"/>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row>
    <row r="609" ht="15.75" customHeight="1" spans="1:51">
      <c r="A609" s="25"/>
      <c r="B609" s="172"/>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row>
    <row r="610" ht="15.75" customHeight="1" spans="1:51">
      <c r="A610" s="25"/>
      <c r="B610" s="172"/>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row>
    <row r="611" ht="15.75" customHeight="1" spans="1:51">
      <c r="A611" s="25"/>
      <c r="B611" s="172"/>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row>
    <row r="612" ht="15.75" customHeight="1" spans="1:51">
      <c r="A612" s="25"/>
      <c r="B612" s="172"/>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row>
    <row r="613" ht="15.75" customHeight="1" spans="1:51">
      <c r="A613" s="25"/>
      <c r="B613" s="172"/>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row>
    <row r="614" ht="15.75" customHeight="1" spans="1:51">
      <c r="A614" s="25"/>
      <c r="B614" s="172"/>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row>
    <row r="615" ht="15.75" customHeight="1" spans="1:51">
      <c r="A615" s="25"/>
      <c r="B615" s="172"/>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row>
    <row r="616" ht="15.75" customHeight="1" spans="1:51">
      <c r="A616" s="25"/>
      <c r="B616" s="172"/>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row>
    <row r="617" ht="15.75" customHeight="1" spans="1:51">
      <c r="A617" s="25"/>
      <c r="B617" s="172"/>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row>
    <row r="618" ht="15.75" customHeight="1" spans="1:51">
      <c r="A618" s="25"/>
      <c r="B618" s="172"/>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row>
    <row r="619" ht="15.75" customHeight="1" spans="1:51">
      <c r="A619" s="25"/>
      <c r="B619" s="172"/>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row>
    <row r="620" ht="15.75" customHeight="1" spans="1:51">
      <c r="A620" s="25"/>
      <c r="B620" s="172"/>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row>
    <row r="621" ht="15.75" customHeight="1" spans="1:51">
      <c r="A621" s="25"/>
      <c r="B621" s="172"/>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row>
    <row r="622" ht="15.75" customHeight="1" spans="1:51">
      <c r="A622" s="25"/>
      <c r="B622" s="172"/>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row>
    <row r="623" ht="15.75" customHeight="1" spans="1:51">
      <c r="A623" s="25"/>
      <c r="B623" s="172"/>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row>
    <row r="624" ht="15.75" customHeight="1" spans="1:51">
      <c r="A624" s="25"/>
      <c r="B624" s="172"/>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row>
    <row r="625" ht="15.75" customHeight="1" spans="1:51">
      <c r="A625" s="25"/>
      <c r="B625" s="172"/>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row>
    <row r="626" ht="15.75" customHeight="1" spans="1:51">
      <c r="A626" s="25"/>
      <c r="B626" s="172"/>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row>
    <row r="627" ht="15.75" customHeight="1" spans="1:51">
      <c r="A627" s="25"/>
      <c r="B627" s="172"/>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row>
    <row r="628" ht="15.75" customHeight="1" spans="1:51">
      <c r="A628" s="25"/>
      <c r="B628" s="172"/>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row>
    <row r="629" ht="15.75" customHeight="1" spans="1:51">
      <c r="A629" s="25"/>
      <c r="B629" s="172"/>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row>
    <row r="630" ht="15.75" customHeight="1" spans="1:51">
      <c r="A630" s="25"/>
      <c r="B630" s="172"/>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row>
    <row r="631" ht="15.75" customHeight="1" spans="1:51">
      <c r="A631" s="25"/>
      <c r="B631" s="172"/>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row>
    <row r="632" ht="15.75" customHeight="1" spans="1:51">
      <c r="A632" s="25"/>
      <c r="B632" s="172"/>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row>
    <row r="633" ht="15.75" customHeight="1" spans="1:51">
      <c r="A633" s="25"/>
      <c r="B633" s="172"/>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row>
    <row r="634" ht="15.75" customHeight="1" spans="1:51">
      <c r="A634" s="25"/>
      <c r="B634" s="172"/>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row>
    <row r="635" ht="15.75" customHeight="1" spans="1:51">
      <c r="A635" s="25"/>
      <c r="B635" s="172"/>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row>
    <row r="636" ht="15.75" customHeight="1" spans="1:51">
      <c r="A636" s="25"/>
      <c r="B636" s="172"/>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row>
    <row r="637" ht="15.75" customHeight="1" spans="1:51">
      <c r="A637" s="25"/>
      <c r="B637" s="172"/>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row>
    <row r="638" ht="15.75" customHeight="1" spans="1:51">
      <c r="A638" s="25"/>
      <c r="B638" s="172"/>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row>
    <row r="639" ht="15.75" customHeight="1" spans="1:51">
      <c r="A639" s="25"/>
      <c r="B639" s="172"/>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row>
    <row r="640" ht="15.75" customHeight="1" spans="1:51">
      <c r="A640" s="25"/>
      <c r="B640" s="172"/>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row>
    <row r="641" ht="15.75" customHeight="1" spans="1:51">
      <c r="A641" s="25"/>
      <c r="B641" s="172"/>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row>
    <row r="642" ht="15.75" customHeight="1" spans="1:51">
      <c r="A642" s="25"/>
      <c r="B642" s="172"/>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row>
    <row r="643" ht="15.75" customHeight="1" spans="1:51">
      <c r="A643" s="25"/>
      <c r="B643" s="172"/>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row>
    <row r="644" ht="15.75" customHeight="1" spans="1:51">
      <c r="A644" s="25"/>
      <c r="B644" s="172"/>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row>
    <row r="645" ht="15.75" customHeight="1" spans="1:51">
      <c r="A645" s="25"/>
      <c r="B645" s="172"/>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row>
    <row r="646" ht="15.75" customHeight="1" spans="1:51">
      <c r="A646" s="25"/>
      <c r="B646" s="172"/>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row>
    <row r="647" ht="15.75" customHeight="1" spans="1:51">
      <c r="A647" s="25"/>
      <c r="B647" s="172"/>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row>
    <row r="648" ht="15.75" customHeight="1" spans="1:51">
      <c r="A648" s="25"/>
      <c r="B648" s="172"/>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row>
    <row r="649" ht="15.75" customHeight="1" spans="1:51">
      <c r="A649" s="25"/>
      <c r="B649" s="172"/>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row>
    <row r="650" ht="15.75" customHeight="1" spans="1:51">
      <c r="A650" s="25"/>
      <c r="B650" s="172"/>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row>
    <row r="651" ht="15.75" customHeight="1" spans="1:51">
      <c r="A651" s="25"/>
      <c r="B651" s="172"/>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row>
    <row r="652" ht="15.75" customHeight="1" spans="1:51">
      <c r="A652" s="25"/>
      <c r="B652" s="172"/>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row>
    <row r="653" ht="15.75" customHeight="1" spans="1:51">
      <c r="A653" s="25"/>
      <c r="B653" s="172"/>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row>
    <row r="654" ht="15.75" customHeight="1" spans="1:51">
      <c r="A654" s="25"/>
      <c r="B654" s="172"/>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row>
    <row r="655" ht="15.75" customHeight="1" spans="1:51">
      <c r="A655" s="25"/>
      <c r="B655" s="172"/>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row>
    <row r="656" ht="15.75" customHeight="1" spans="1:51">
      <c r="A656" s="25"/>
      <c r="B656" s="172"/>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row>
    <row r="657" ht="15.75" customHeight="1" spans="1:51">
      <c r="A657" s="25"/>
      <c r="B657" s="172"/>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row>
    <row r="658" ht="15.75" customHeight="1" spans="1:51">
      <c r="A658" s="25"/>
      <c r="B658" s="172"/>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row>
    <row r="659" ht="15.75" customHeight="1" spans="1:51">
      <c r="A659" s="25"/>
      <c r="B659" s="172"/>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row>
    <row r="660" ht="15.75" customHeight="1" spans="1:51">
      <c r="A660" s="25"/>
      <c r="B660" s="172"/>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row>
    <row r="661" ht="15.75" customHeight="1" spans="1:51">
      <c r="A661" s="25"/>
      <c r="B661" s="172"/>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row>
    <row r="662" ht="15.75" customHeight="1" spans="1:51">
      <c r="A662" s="25"/>
      <c r="B662" s="172"/>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row>
    <row r="663" ht="15.75" customHeight="1" spans="1:51">
      <c r="A663" s="25"/>
      <c r="B663" s="172"/>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row>
    <row r="664" ht="15.75" customHeight="1" spans="1:51">
      <c r="A664" s="25"/>
      <c r="B664" s="172"/>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row>
    <row r="665" ht="15.75" customHeight="1" spans="1:51">
      <c r="A665" s="25"/>
      <c r="B665" s="172"/>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row>
    <row r="666" ht="15.75" customHeight="1" spans="1:51">
      <c r="A666" s="25"/>
      <c r="B666" s="172"/>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row>
    <row r="667" ht="15.75" customHeight="1" spans="1:51">
      <c r="A667" s="25"/>
      <c r="B667" s="172"/>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row>
    <row r="668" ht="15.75" customHeight="1" spans="1:51">
      <c r="A668" s="25"/>
      <c r="B668" s="172"/>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row>
    <row r="669" ht="15.75" customHeight="1" spans="1:51">
      <c r="A669" s="25"/>
      <c r="B669" s="172"/>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row>
    <row r="670" ht="15.75" customHeight="1" spans="1:51">
      <c r="A670" s="25"/>
      <c r="B670" s="172"/>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row>
    <row r="671" ht="15.75" customHeight="1" spans="1:51">
      <c r="A671" s="25"/>
      <c r="B671" s="172"/>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row>
    <row r="672" ht="15.75" customHeight="1" spans="1:51">
      <c r="A672" s="25"/>
      <c r="B672" s="172"/>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row>
    <row r="673" ht="15.75" customHeight="1" spans="1:51">
      <c r="A673" s="25"/>
      <c r="B673" s="172"/>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row>
    <row r="674" ht="15.75" customHeight="1" spans="1:51">
      <c r="A674" s="25"/>
      <c r="B674" s="172"/>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row>
    <row r="675" ht="15.75" customHeight="1" spans="1:51">
      <c r="A675" s="25"/>
      <c r="B675" s="172"/>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row>
    <row r="676" ht="15.75" customHeight="1" spans="1:51">
      <c r="A676" s="25"/>
      <c r="B676" s="172"/>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row>
    <row r="677" ht="15.75" customHeight="1" spans="1:51">
      <c r="A677" s="25"/>
      <c r="B677" s="172"/>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row>
    <row r="678" ht="15.75" customHeight="1" spans="1:51">
      <c r="A678" s="25"/>
      <c r="B678" s="172"/>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row>
    <row r="679" ht="15.75" customHeight="1" spans="1:51">
      <c r="A679" s="25"/>
      <c r="B679" s="172"/>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row>
    <row r="680" ht="15.75" customHeight="1" spans="1:51">
      <c r="A680" s="25"/>
      <c r="B680" s="172"/>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row>
    <row r="681" ht="15.75" customHeight="1" spans="1:51">
      <c r="A681" s="25"/>
      <c r="B681" s="172"/>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row>
    <row r="682" ht="15.75" customHeight="1" spans="1:51">
      <c r="A682" s="25"/>
      <c r="B682" s="172"/>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row>
    <row r="683" ht="15.75" customHeight="1" spans="1:51">
      <c r="A683" s="25"/>
      <c r="B683" s="172"/>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row>
    <row r="684" ht="15.75" customHeight="1" spans="1:51">
      <c r="A684" s="25"/>
      <c r="B684" s="172"/>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row>
    <row r="685" ht="15.75" customHeight="1" spans="1:51">
      <c r="A685" s="25"/>
      <c r="B685" s="172"/>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row>
    <row r="686" ht="15.75" customHeight="1" spans="1:51">
      <c r="A686" s="25"/>
      <c r="B686" s="172"/>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row>
    <row r="687" ht="15.75" customHeight="1" spans="1:51">
      <c r="A687" s="25"/>
      <c r="B687" s="172"/>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row>
    <row r="688" ht="15.75" customHeight="1" spans="1:51">
      <c r="A688" s="25"/>
      <c r="B688" s="172"/>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row>
    <row r="689" ht="15.75" customHeight="1" spans="1:51">
      <c r="A689" s="25"/>
      <c r="B689" s="172"/>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row>
    <row r="690" ht="15.75" customHeight="1" spans="1:51">
      <c r="A690" s="25"/>
      <c r="B690" s="172"/>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row>
    <row r="691" ht="15.75" customHeight="1" spans="1:51">
      <c r="A691" s="25"/>
      <c r="B691" s="172"/>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row>
    <row r="692" ht="15.75" customHeight="1" spans="1:51">
      <c r="A692" s="25"/>
      <c r="B692" s="172"/>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row>
    <row r="693" ht="15.75" customHeight="1" spans="1:51">
      <c r="A693" s="25"/>
      <c r="B693" s="172"/>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row>
    <row r="694" ht="15.75" customHeight="1" spans="1:51">
      <c r="A694" s="25"/>
      <c r="B694" s="172"/>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row>
    <row r="695" ht="15.75" customHeight="1" spans="1:51">
      <c r="A695" s="25"/>
      <c r="B695" s="172"/>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row>
    <row r="696" ht="15.75" customHeight="1" spans="1:51">
      <c r="A696" s="25"/>
      <c r="B696" s="172"/>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row>
    <row r="697" ht="15.75" customHeight="1" spans="1:51">
      <c r="A697" s="25"/>
      <c r="B697" s="172"/>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row>
    <row r="698" ht="15.75" customHeight="1" spans="1:51">
      <c r="A698" s="25"/>
      <c r="B698" s="172"/>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row>
    <row r="699" ht="15.75" customHeight="1" spans="1:51">
      <c r="A699" s="25"/>
      <c r="B699" s="172"/>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row>
    <row r="700" ht="15.75" customHeight="1" spans="1:51">
      <c r="A700" s="25"/>
      <c r="B700" s="172"/>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row>
    <row r="701" ht="15.75" customHeight="1" spans="1:51">
      <c r="A701" s="25"/>
      <c r="B701" s="172"/>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row>
    <row r="702" ht="15.75" customHeight="1" spans="1:51">
      <c r="A702" s="25"/>
      <c r="B702" s="172"/>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row>
    <row r="703" ht="15.75" customHeight="1" spans="1:51">
      <c r="A703" s="25"/>
      <c r="B703" s="172"/>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row>
    <row r="704" ht="15.75" customHeight="1" spans="1:51">
      <c r="A704" s="25"/>
      <c r="B704" s="172"/>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row>
    <row r="705" ht="15.75" customHeight="1" spans="1:51">
      <c r="A705" s="25"/>
      <c r="B705" s="172"/>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row>
    <row r="706" ht="15.75" customHeight="1" spans="1:51">
      <c r="A706" s="25"/>
      <c r="B706" s="172"/>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row>
    <row r="707" ht="15.75" customHeight="1" spans="1:51">
      <c r="A707" s="25"/>
      <c r="B707" s="172"/>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row>
    <row r="708" ht="15.75" customHeight="1" spans="1:51">
      <c r="A708" s="25"/>
      <c r="B708" s="172"/>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row>
    <row r="709" ht="15.75" customHeight="1" spans="1:51">
      <c r="A709" s="25"/>
      <c r="B709" s="172"/>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row>
    <row r="710" ht="15.75" customHeight="1" spans="1:51">
      <c r="A710" s="25"/>
      <c r="B710" s="172"/>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row>
    <row r="711" ht="15.75" customHeight="1" spans="1:51">
      <c r="A711" s="25"/>
      <c r="B711" s="172"/>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row>
    <row r="712" ht="15.75" customHeight="1" spans="1:51">
      <c r="A712" s="25"/>
      <c r="B712" s="172"/>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row>
    <row r="713" ht="15.75" customHeight="1" spans="1:51">
      <c r="A713" s="25"/>
      <c r="B713" s="172"/>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row>
    <row r="714" ht="15.75" customHeight="1" spans="1:51">
      <c r="A714" s="25"/>
      <c r="B714" s="172"/>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row>
    <row r="715" ht="15.75" customHeight="1" spans="1:51">
      <c r="A715" s="25"/>
      <c r="B715" s="172"/>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row>
    <row r="716" ht="15.75" customHeight="1" spans="1:51">
      <c r="A716" s="25"/>
      <c r="B716" s="172"/>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row>
    <row r="717" ht="15.75" customHeight="1" spans="1:51">
      <c r="A717" s="25"/>
      <c r="B717" s="172"/>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row>
    <row r="718" ht="15.75" customHeight="1" spans="1:51">
      <c r="A718" s="25"/>
      <c r="B718" s="172"/>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row>
    <row r="719" ht="15.75" customHeight="1" spans="1:51">
      <c r="A719" s="25"/>
      <c r="B719" s="172"/>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row>
    <row r="720" ht="15.75" customHeight="1" spans="1:51">
      <c r="A720" s="25"/>
      <c r="B720" s="172"/>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row>
    <row r="721" ht="15.75" customHeight="1" spans="1:51">
      <c r="A721" s="25"/>
      <c r="B721" s="172"/>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row>
    <row r="722" ht="15.75" customHeight="1" spans="1:51">
      <c r="A722" s="25"/>
      <c r="B722" s="172"/>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row>
    <row r="723" ht="15.75" customHeight="1" spans="1:51">
      <c r="A723" s="25"/>
      <c r="B723" s="172"/>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row>
    <row r="724" ht="15.75" customHeight="1" spans="1:51">
      <c r="A724" s="25"/>
      <c r="B724" s="172"/>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row>
    <row r="725" ht="15.75" customHeight="1" spans="1:51">
      <c r="A725" s="25"/>
      <c r="B725" s="172"/>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row>
    <row r="726" ht="15.75" customHeight="1" spans="1:51">
      <c r="A726" s="25"/>
      <c r="B726" s="172"/>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row>
    <row r="727" ht="15.75" customHeight="1" spans="1:51">
      <c r="A727" s="25"/>
      <c r="B727" s="172"/>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row>
    <row r="728" ht="15.75" customHeight="1" spans="1:51">
      <c r="A728" s="25"/>
      <c r="B728" s="172"/>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row>
    <row r="729" ht="15.75" customHeight="1" spans="1:51">
      <c r="A729" s="25"/>
      <c r="B729" s="172"/>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row>
    <row r="730" ht="15.75" customHeight="1" spans="1:51">
      <c r="A730" s="25"/>
      <c r="B730" s="172"/>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row>
    <row r="731" ht="15.75" customHeight="1" spans="1:51">
      <c r="A731" s="25"/>
      <c r="B731" s="172"/>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row>
    <row r="732" ht="15.75" customHeight="1" spans="1:51">
      <c r="A732" s="25"/>
      <c r="B732" s="172"/>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row>
    <row r="733" ht="15.75" customHeight="1" spans="1:51">
      <c r="A733" s="25"/>
      <c r="B733" s="172"/>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row>
    <row r="734" ht="15.75" customHeight="1" spans="1:51">
      <c r="A734" s="25"/>
      <c r="B734" s="172"/>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row>
    <row r="735" ht="15.75" customHeight="1" spans="1:51">
      <c r="A735" s="25"/>
      <c r="B735" s="172"/>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row>
    <row r="736" ht="15.75" customHeight="1" spans="1:51">
      <c r="A736" s="25"/>
      <c r="B736" s="172"/>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row>
    <row r="737" ht="15.75" customHeight="1" spans="1:51">
      <c r="A737" s="25"/>
      <c r="B737" s="172"/>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row>
    <row r="738" ht="15.75" customHeight="1" spans="1:51">
      <c r="A738" s="25"/>
      <c r="B738" s="172"/>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row>
    <row r="739" ht="15.75" customHeight="1" spans="1:51">
      <c r="A739" s="25"/>
      <c r="B739" s="172"/>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row>
    <row r="740" ht="15.75" customHeight="1" spans="1:51">
      <c r="A740" s="25"/>
      <c r="B740" s="172"/>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row>
    <row r="741" ht="15.75" customHeight="1" spans="1:51">
      <c r="A741" s="25"/>
      <c r="B741" s="172"/>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row>
    <row r="742" ht="15.75" customHeight="1" spans="1:51">
      <c r="A742" s="25"/>
      <c r="B742" s="172"/>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row>
    <row r="743" ht="15.75" customHeight="1" spans="1:51">
      <c r="A743" s="25"/>
      <c r="B743" s="172"/>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row>
    <row r="744" ht="15.75" customHeight="1" spans="1:51">
      <c r="A744" s="25"/>
      <c r="B744" s="172"/>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row>
    <row r="745" ht="15.75" customHeight="1" spans="1:51">
      <c r="A745" s="25"/>
      <c r="B745" s="172"/>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row>
    <row r="746" ht="15.75" customHeight="1" spans="1:51">
      <c r="A746" s="25"/>
      <c r="B746" s="172"/>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row>
    <row r="747" ht="15.75" customHeight="1" spans="1:51">
      <c r="A747" s="25"/>
      <c r="B747" s="172"/>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row>
    <row r="748" ht="15.75" customHeight="1" spans="1:51">
      <c r="A748" s="25"/>
      <c r="B748" s="172"/>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row>
    <row r="749" ht="15.75" customHeight="1" spans="1:51">
      <c r="A749" s="25"/>
      <c r="B749" s="172"/>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row>
    <row r="750" ht="15.75" customHeight="1" spans="1:51">
      <c r="A750" s="25"/>
      <c r="B750" s="172"/>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row>
    <row r="751" ht="15.75" customHeight="1" spans="1:51">
      <c r="A751" s="25"/>
      <c r="B751" s="172"/>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row>
    <row r="752" ht="15.75" customHeight="1" spans="1:51">
      <c r="A752" s="25"/>
      <c r="B752" s="172"/>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row>
    <row r="753" ht="15.75" customHeight="1" spans="1:51">
      <c r="A753" s="25"/>
      <c r="B753" s="172"/>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row>
    <row r="754" ht="15.75" customHeight="1" spans="1:51">
      <c r="A754" s="25"/>
      <c r="B754" s="172"/>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row>
    <row r="755" ht="15.75" customHeight="1" spans="1:51">
      <c r="A755" s="25"/>
      <c r="B755" s="172"/>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row>
    <row r="756" ht="15.75" customHeight="1" spans="1:51">
      <c r="A756" s="25"/>
      <c r="B756" s="172"/>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row>
    <row r="757" ht="15.75" customHeight="1" spans="1:51">
      <c r="A757" s="25"/>
      <c r="B757" s="172"/>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row>
    <row r="758" ht="15.75" customHeight="1" spans="1:51">
      <c r="A758" s="25"/>
      <c r="B758" s="172"/>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row>
    <row r="759" ht="15.75" customHeight="1" spans="1:51">
      <c r="A759" s="25"/>
      <c r="B759" s="172"/>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row>
    <row r="760" ht="15.75" customHeight="1" spans="1:51">
      <c r="A760" s="25"/>
      <c r="B760" s="172"/>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row>
    <row r="761" ht="15.75" customHeight="1" spans="1:51">
      <c r="A761" s="25"/>
      <c r="B761" s="172"/>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row>
    <row r="762" ht="15.75" customHeight="1" spans="1:51">
      <c r="A762" s="25"/>
      <c r="B762" s="172"/>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row>
    <row r="763" ht="15.75" customHeight="1" spans="1:51">
      <c r="A763" s="25"/>
      <c r="B763" s="172"/>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row>
    <row r="764" ht="15.75" customHeight="1" spans="1:51">
      <c r="A764" s="25"/>
      <c r="B764" s="172"/>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row>
    <row r="765" ht="15.75" customHeight="1" spans="1:51">
      <c r="A765" s="25"/>
      <c r="B765" s="172"/>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row>
    <row r="766" ht="15.75" customHeight="1" spans="1:51">
      <c r="A766" s="25"/>
      <c r="B766" s="172"/>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row>
    <row r="767" ht="15.75" customHeight="1" spans="1:51">
      <c r="A767" s="25"/>
      <c r="B767" s="172"/>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row>
    <row r="768" ht="15.75" customHeight="1" spans="1:51">
      <c r="A768" s="25"/>
      <c r="B768" s="172"/>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row>
    <row r="769" ht="15.75" customHeight="1" spans="1:51">
      <c r="A769" s="25"/>
      <c r="B769" s="172"/>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row>
    <row r="770" ht="15.75" customHeight="1" spans="1:51">
      <c r="A770" s="25"/>
      <c r="B770" s="172"/>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row>
    <row r="771" ht="15.75" customHeight="1" spans="1:51">
      <c r="A771" s="25"/>
      <c r="B771" s="172"/>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row>
    <row r="772" ht="15.75" customHeight="1" spans="1:51">
      <c r="A772" s="25"/>
      <c r="B772" s="172"/>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row>
    <row r="773" ht="15.75" customHeight="1" spans="1:51">
      <c r="A773" s="25"/>
      <c r="B773" s="172"/>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row>
    <row r="774" ht="15.75" customHeight="1" spans="1:51">
      <c r="A774" s="25"/>
      <c r="B774" s="172"/>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row>
    <row r="775" ht="15.75" customHeight="1" spans="1:51">
      <c r="A775" s="25"/>
      <c r="B775" s="172"/>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row>
    <row r="776" ht="15.75" customHeight="1" spans="1:51">
      <c r="A776" s="25"/>
      <c r="B776" s="172"/>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row>
    <row r="777" ht="15.75" customHeight="1" spans="1:51">
      <c r="A777" s="25"/>
      <c r="B777" s="172"/>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row>
    <row r="778" ht="15.75" customHeight="1" spans="1:51">
      <c r="A778" s="25"/>
      <c r="B778" s="172"/>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row>
    <row r="779" ht="15.75" customHeight="1" spans="1:51">
      <c r="A779" s="25"/>
      <c r="B779" s="172"/>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row>
    <row r="780" ht="15.75" customHeight="1" spans="1:51">
      <c r="A780" s="25"/>
      <c r="B780" s="172"/>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row>
    <row r="781" ht="15.75" customHeight="1" spans="1:51">
      <c r="A781" s="25"/>
      <c r="B781" s="172"/>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row>
    <row r="782" ht="15.75" customHeight="1" spans="1:51">
      <c r="A782" s="25"/>
      <c r="B782" s="172"/>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row>
    <row r="783" ht="15.75" customHeight="1" spans="1:51">
      <c r="A783" s="25"/>
      <c r="B783" s="172"/>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row>
    <row r="784" ht="15.75" customHeight="1" spans="1:51">
      <c r="A784" s="25"/>
      <c r="B784" s="172"/>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row>
    <row r="785" ht="15.75" customHeight="1" spans="1:51">
      <c r="A785" s="25"/>
      <c r="B785" s="172"/>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row>
    <row r="786" ht="15.75" customHeight="1" spans="1:51">
      <c r="A786" s="25"/>
      <c r="B786" s="172"/>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row>
    <row r="787" ht="15.75" customHeight="1" spans="1:51">
      <c r="A787" s="25"/>
      <c r="B787" s="172"/>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row>
    <row r="788" ht="15.75" customHeight="1" spans="1:51">
      <c r="A788" s="25"/>
      <c r="B788" s="172"/>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row>
    <row r="789" ht="15.75" customHeight="1" spans="1:51">
      <c r="A789" s="25"/>
      <c r="B789" s="172"/>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row>
    <row r="790" ht="15.75" customHeight="1" spans="1:51">
      <c r="A790" s="25"/>
      <c r="B790" s="172"/>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row>
    <row r="791" ht="15.75" customHeight="1" spans="1:51">
      <c r="A791" s="25"/>
      <c r="B791" s="172"/>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row>
    <row r="792" ht="15.75" customHeight="1" spans="1:51">
      <c r="A792" s="25"/>
      <c r="B792" s="172"/>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row>
    <row r="793" ht="15.75" customHeight="1" spans="1:51">
      <c r="A793" s="25"/>
      <c r="B793" s="172"/>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row>
    <row r="794" ht="15.75" customHeight="1" spans="1:51">
      <c r="A794" s="25"/>
      <c r="B794" s="172"/>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row>
    <row r="795" ht="15.75" customHeight="1" spans="1:51">
      <c r="A795" s="25"/>
      <c r="B795" s="172"/>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row>
    <row r="796" ht="15.75" customHeight="1" spans="1:51">
      <c r="A796" s="25"/>
      <c r="B796" s="172"/>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row>
    <row r="797" ht="15.75" customHeight="1" spans="1:51">
      <c r="A797" s="25"/>
      <c r="B797" s="172"/>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row>
    <row r="798" ht="15.75" customHeight="1" spans="1:51">
      <c r="A798" s="25"/>
      <c r="B798" s="172"/>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row>
    <row r="799" ht="15.75" customHeight="1" spans="1:51">
      <c r="A799" s="25"/>
      <c r="B799" s="172"/>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row>
    <row r="800" ht="15.75" customHeight="1" spans="1:51">
      <c r="A800" s="25"/>
      <c r="B800" s="172"/>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row>
    <row r="801" ht="15.75" customHeight="1" spans="1:51">
      <c r="A801" s="25"/>
      <c r="B801" s="172"/>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row>
    <row r="802" ht="15.75" customHeight="1" spans="1:51">
      <c r="A802" s="25"/>
      <c r="B802" s="172"/>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row>
    <row r="803" ht="15.75" customHeight="1" spans="1:51">
      <c r="A803" s="25"/>
      <c r="B803" s="172"/>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row>
    <row r="804" ht="15.75" customHeight="1" spans="1:51">
      <c r="A804" s="25"/>
      <c r="B804" s="172"/>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row>
    <row r="805" ht="15.75" customHeight="1" spans="1:51">
      <c r="A805" s="25"/>
      <c r="B805" s="172"/>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row>
    <row r="806" ht="15.75" customHeight="1" spans="1:51">
      <c r="A806" s="25"/>
      <c r="B806" s="172"/>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row>
    <row r="807" ht="15.75" customHeight="1" spans="1:51">
      <c r="A807" s="25"/>
      <c r="B807" s="172"/>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row>
    <row r="808" ht="15.75" customHeight="1" spans="1:51">
      <c r="A808" s="25"/>
      <c r="B808" s="172"/>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row>
    <row r="809" ht="15.75" customHeight="1" spans="1:51">
      <c r="A809" s="25"/>
      <c r="B809" s="172"/>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row>
    <row r="810" ht="15.75" customHeight="1" spans="1:51">
      <c r="A810" s="25"/>
      <c r="B810" s="172"/>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row>
    <row r="811" ht="15.75" customHeight="1" spans="1:51">
      <c r="A811" s="25"/>
      <c r="B811" s="172"/>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row>
    <row r="812" ht="15.75" customHeight="1" spans="1:51">
      <c r="A812" s="25"/>
      <c r="B812" s="172"/>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row>
    <row r="813" ht="15.75" customHeight="1" spans="1:51">
      <c r="A813" s="25"/>
      <c r="B813" s="172"/>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row>
    <row r="814" ht="15.75" customHeight="1" spans="1:51">
      <c r="A814" s="25"/>
      <c r="B814" s="172"/>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row>
    <row r="815" ht="15.75" customHeight="1" spans="1:51">
      <c r="A815" s="25"/>
      <c r="B815" s="172"/>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row>
    <row r="816" ht="15.75" customHeight="1" spans="1:51">
      <c r="A816" s="25"/>
      <c r="B816" s="172"/>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row>
    <row r="817" ht="15.75" customHeight="1" spans="1:51">
      <c r="A817" s="25"/>
      <c r="B817" s="172"/>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row>
    <row r="818" ht="15.75" customHeight="1" spans="1:51">
      <c r="A818" s="25"/>
      <c r="B818" s="172"/>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row>
    <row r="819" ht="15.75" customHeight="1" spans="1:51">
      <c r="A819" s="25"/>
      <c r="B819" s="172"/>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row>
    <row r="820" ht="15.75" customHeight="1" spans="1:51">
      <c r="A820" s="25"/>
      <c r="B820" s="172"/>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row>
    <row r="821" ht="15.75" customHeight="1" spans="1:51">
      <c r="A821" s="25"/>
      <c r="B821" s="172"/>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row>
    <row r="822" ht="15.75" customHeight="1" spans="1:51">
      <c r="A822" s="25"/>
      <c r="B822" s="172"/>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row>
    <row r="823" ht="15.75" customHeight="1" spans="1:51">
      <c r="A823" s="25"/>
      <c r="B823" s="172"/>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row>
    <row r="824" ht="15.75" customHeight="1" spans="1:51">
      <c r="A824" s="25"/>
      <c r="B824" s="172"/>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row>
    <row r="825" ht="15.75" customHeight="1" spans="1:51">
      <c r="A825" s="25"/>
      <c r="B825" s="172"/>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row>
    <row r="826" ht="15.75" customHeight="1" spans="1:51">
      <c r="A826" s="25"/>
      <c r="B826" s="172"/>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row>
    <row r="827" ht="15.75" customHeight="1" spans="1:51">
      <c r="A827" s="25"/>
      <c r="B827" s="172"/>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row>
    <row r="828" ht="15.75" customHeight="1" spans="1:51">
      <c r="A828" s="25"/>
      <c r="B828" s="172"/>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row>
    <row r="829" ht="15.75" customHeight="1" spans="1:51">
      <c r="A829" s="25"/>
      <c r="B829" s="172"/>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row>
    <row r="830" ht="15.75" customHeight="1" spans="1:51">
      <c r="A830" s="25"/>
      <c r="B830" s="172"/>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row>
    <row r="831" ht="15.75" customHeight="1" spans="1:51">
      <c r="A831" s="25"/>
      <c r="B831" s="172"/>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row>
    <row r="832" ht="15.75" customHeight="1" spans="1:51">
      <c r="A832" s="25"/>
      <c r="B832" s="172"/>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row>
    <row r="833" ht="15.75" customHeight="1" spans="1:51">
      <c r="A833" s="25"/>
      <c r="B833" s="172"/>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row>
    <row r="834" ht="15.75" customHeight="1" spans="1:51">
      <c r="A834" s="25"/>
      <c r="B834" s="172"/>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row>
    <row r="835" ht="15.75" customHeight="1" spans="1:51">
      <c r="A835" s="25"/>
      <c r="B835" s="172"/>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row>
    <row r="836" ht="15.75" customHeight="1" spans="1:51">
      <c r="A836" s="25"/>
      <c r="B836" s="172"/>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row>
    <row r="837" ht="15.75" customHeight="1" spans="1:51">
      <c r="A837" s="25"/>
      <c r="B837" s="172"/>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row>
    <row r="838" ht="15.75" customHeight="1" spans="1:51">
      <c r="A838" s="25"/>
      <c r="B838" s="172"/>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row>
    <row r="839" ht="15.75" customHeight="1" spans="1:51">
      <c r="A839" s="25"/>
      <c r="B839" s="172"/>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row>
    <row r="840" ht="15.75" customHeight="1" spans="1:51">
      <c r="A840" s="25"/>
      <c r="B840" s="172"/>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row>
    <row r="841" ht="15.75" customHeight="1" spans="1:51">
      <c r="A841" s="25"/>
      <c r="B841" s="172"/>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row>
    <row r="842" ht="15.75" customHeight="1" spans="1:51">
      <c r="A842" s="25"/>
      <c r="B842" s="172"/>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row>
    <row r="843" ht="15.75" customHeight="1" spans="1:51">
      <c r="A843" s="25"/>
      <c r="B843" s="172"/>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row>
    <row r="844" ht="15.75" customHeight="1" spans="1:51">
      <c r="A844" s="25"/>
      <c r="B844" s="172"/>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row>
    <row r="845" ht="15.75" customHeight="1" spans="1:51">
      <c r="A845" s="25"/>
      <c r="B845" s="172"/>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row>
    <row r="846" ht="15.75" customHeight="1" spans="1:51">
      <c r="A846" s="25"/>
      <c r="B846" s="172"/>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row>
    <row r="847" ht="15.75" customHeight="1" spans="1:51">
      <c r="A847" s="25"/>
      <c r="B847" s="172"/>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row>
    <row r="848" ht="15.75" customHeight="1" spans="1:51">
      <c r="A848" s="25"/>
      <c r="B848" s="172"/>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row>
    <row r="849" ht="15.75" customHeight="1" spans="1:51">
      <c r="A849" s="25"/>
      <c r="B849" s="172"/>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row>
    <row r="850" ht="15.75" customHeight="1" spans="1:51">
      <c r="A850" s="25"/>
      <c r="B850" s="172"/>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row>
    <row r="851" ht="15.75" customHeight="1" spans="1:51">
      <c r="A851" s="25"/>
      <c r="B851" s="172"/>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row>
    <row r="852" ht="15.75" customHeight="1" spans="1:51">
      <c r="A852" s="25"/>
      <c r="B852" s="172"/>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row>
    <row r="853" ht="15.75" customHeight="1" spans="1:51">
      <c r="A853" s="25"/>
      <c r="B853" s="172"/>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row>
    <row r="854" ht="15.75" customHeight="1" spans="1:51">
      <c r="A854" s="25"/>
      <c r="B854" s="172"/>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row>
    <row r="855" ht="15.75" customHeight="1" spans="1:51">
      <c r="A855" s="25"/>
      <c r="B855" s="172"/>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row>
    <row r="856" ht="15.75" customHeight="1" spans="1:51">
      <c r="A856" s="25"/>
      <c r="B856" s="172"/>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row>
    <row r="857" ht="15.75" customHeight="1" spans="1:51">
      <c r="A857" s="25"/>
      <c r="B857" s="172"/>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row>
    <row r="858" ht="15.75" customHeight="1" spans="1:51">
      <c r="A858" s="25"/>
      <c r="B858" s="172"/>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row>
    <row r="859" ht="15.75" customHeight="1" spans="1:51">
      <c r="A859" s="25"/>
      <c r="B859" s="172"/>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row>
    <row r="860" ht="15.75" customHeight="1" spans="1:51">
      <c r="A860" s="25"/>
      <c r="B860" s="172"/>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row>
    <row r="861" ht="15.75" customHeight="1" spans="1:51">
      <c r="A861" s="25"/>
      <c r="B861" s="172"/>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row>
    <row r="862" ht="15.75" customHeight="1" spans="1:51">
      <c r="A862" s="25"/>
      <c r="B862" s="172"/>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row>
    <row r="863" ht="15.75" customHeight="1" spans="1:51">
      <c r="A863" s="25"/>
      <c r="B863" s="172"/>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row>
    <row r="864" ht="15.75" customHeight="1" spans="1:51">
      <c r="A864" s="25"/>
      <c r="B864" s="172"/>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row>
    <row r="865" ht="15.75" customHeight="1" spans="1:51">
      <c r="A865" s="25"/>
      <c r="B865" s="172"/>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row>
    <row r="866" ht="15.75" customHeight="1" spans="1:51">
      <c r="A866" s="25"/>
      <c r="B866" s="172"/>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row>
    <row r="867" ht="15.75" customHeight="1" spans="1:51">
      <c r="A867" s="25"/>
      <c r="B867" s="172"/>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row>
    <row r="868" ht="15.75" customHeight="1" spans="1:51">
      <c r="A868" s="25"/>
      <c r="B868" s="172"/>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row>
    <row r="869" ht="15.75" customHeight="1" spans="1:51">
      <c r="A869" s="25"/>
      <c r="B869" s="172"/>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row>
    <row r="870" ht="15.75" customHeight="1" spans="1:51">
      <c r="A870" s="25"/>
      <c r="B870" s="172"/>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row>
    <row r="871" ht="15.75" customHeight="1" spans="1:51">
      <c r="A871" s="25"/>
      <c r="B871" s="172"/>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row>
    <row r="872" ht="15.75" customHeight="1" spans="1:51">
      <c r="A872" s="25"/>
      <c r="B872" s="172"/>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row>
    <row r="873" ht="15.75" customHeight="1" spans="1:51">
      <c r="A873" s="25"/>
      <c r="B873" s="172"/>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row>
    <row r="874" ht="15.75" customHeight="1" spans="1:51">
      <c r="A874" s="25"/>
      <c r="B874" s="172"/>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row>
    <row r="875" ht="15.75" customHeight="1" spans="1:51">
      <c r="A875" s="25"/>
      <c r="B875" s="172"/>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row>
    <row r="876" ht="15.75" customHeight="1" spans="1:51">
      <c r="A876" s="25"/>
      <c r="B876" s="172"/>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row>
    <row r="877" ht="15.75" customHeight="1" spans="1:51">
      <c r="A877" s="25"/>
      <c r="B877" s="172"/>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row>
    <row r="878" ht="15.75" customHeight="1" spans="1:51">
      <c r="A878" s="25"/>
      <c r="B878" s="172"/>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row>
    <row r="879" ht="15.75" customHeight="1" spans="1:51">
      <c r="A879" s="25"/>
      <c r="B879" s="172"/>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row>
    <row r="880" ht="15.75" customHeight="1" spans="1:51">
      <c r="A880" s="25"/>
      <c r="B880" s="172"/>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row>
    <row r="881" ht="15.75" customHeight="1" spans="1:51">
      <c r="A881" s="25"/>
      <c r="B881" s="172"/>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row>
    <row r="882" ht="15.75" customHeight="1" spans="1:51">
      <c r="A882" s="25"/>
      <c r="B882" s="172"/>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row>
    <row r="883" ht="15.75" customHeight="1" spans="1:51">
      <c r="A883" s="25"/>
      <c r="B883" s="172"/>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row>
    <row r="884" ht="15.75" customHeight="1" spans="1:51">
      <c r="A884" s="25"/>
      <c r="B884" s="172"/>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row>
    <row r="885" ht="15.75" customHeight="1" spans="1:51">
      <c r="A885" s="25"/>
      <c r="B885" s="172"/>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row>
    <row r="886" ht="15.75" customHeight="1" spans="1:51">
      <c r="A886" s="25"/>
      <c r="B886" s="172"/>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row>
    <row r="887" ht="15.75" customHeight="1" spans="1:51">
      <c r="A887" s="25"/>
      <c r="B887" s="172"/>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row>
    <row r="888" ht="15.75" customHeight="1" spans="1:51">
      <c r="A888" s="25"/>
      <c r="B888" s="172"/>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row>
    <row r="889" ht="15.75" customHeight="1" spans="1:51">
      <c r="A889" s="25"/>
      <c r="B889" s="172"/>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row>
    <row r="890" ht="15.75" customHeight="1" spans="1:51">
      <c r="A890" s="25"/>
      <c r="B890" s="172"/>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row>
    <row r="891" ht="15.75" customHeight="1" spans="1:51">
      <c r="A891" s="25"/>
      <c r="B891" s="172"/>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row>
    <row r="892" ht="15.75" customHeight="1" spans="1:51">
      <c r="A892" s="25"/>
      <c r="B892" s="172"/>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row>
    <row r="893" ht="15.75" customHeight="1" spans="1:51">
      <c r="A893" s="25"/>
      <c r="B893" s="172"/>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row>
    <row r="894" ht="15.75" customHeight="1" spans="1:51">
      <c r="A894" s="25"/>
      <c r="B894" s="172"/>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row>
    <row r="895" ht="15.75" customHeight="1" spans="1:51">
      <c r="A895" s="25"/>
      <c r="B895" s="172"/>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row>
    <row r="896" ht="15.75" customHeight="1" spans="1:51">
      <c r="A896" s="25"/>
      <c r="B896" s="172"/>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row>
    <row r="897" ht="15.75" customHeight="1" spans="1:51">
      <c r="A897" s="25"/>
      <c r="B897" s="172"/>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row>
    <row r="898" ht="15.75" customHeight="1" spans="1:51">
      <c r="A898" s="25"/>
      <c r="B898" s="172"/>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row>
    <row r="899" ht="15.75" customHeight="1" spans="1:51">
      <c r="A899" s="25"/>
      <c r="B899" s="172"/>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row>
    <row r="900" ht="15.75" customHeight="1" spans="1:51">
      <c r="A900" s="25"/>
      <c r="B900" s="172"/>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row>
    <row r="901" ht="15.75" customHeight="1" spans="1:51">
      <c r="A901" s="25"/>
      <c r="B901" s="172"/>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row>
    <row r="902" ht="15.75" customHeight="1" spans="1:51">
      <c r="A902" s="25"/>
      <c r="B902" s="172"/>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row>
    <row r="903" ht="15.75" customHeight="1" spans="1:51">
      <c r="A903" s="25"/>
      <c r="B903" s="172"/>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row>
    <row r="904" ht="15.75" customHeight="1" spans="1:51">
      <c r="A904" s="25"/>
      <c r="B904" s="172"/>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row>
    <row r="905" ht="15.75" customHeight="1" spans="1:51">
      <c r="A905" s="25"/>
      <c r="B905" s="172"/>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row>
    <row r="906" ht="15.75" customHeight="1" spans="1:51">
      <c r="A906" s="25"/>
      <c r="B906" s="172"/>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row>
    <row r="907" ht="15.75" customHeight="1" spans="1:51">
      <c r="A907" s="25"/>
      <c r="B907" s="172"/>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row>
    <row r="908" ht="15.75" customHeight="1" spans="1:51">
      <c r="A908" s="25"/>
      <c r="B908" s="172"/>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row>
    <row r="909" ht="15.75" customHeight="1" spans="1:51">
      <c r="A909" s="25"/>
      <c r="B909" s="172"/>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row>
    <row r="910" ht="15.75" customHeight="1" spans="1:51">
      <c r="A910" s="25"/>
      <c r="B910" s="172"/>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row>
    <row r="911" ht="15.75" customHeight="1" spans="1:51">
      <c r="A911" s="25"/>
      <c r="B911" s="172"/>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row>
    <row r="912" ht="15.75" customHeight="1" spans="1:51">
      <c r="A912" s="25"/>
      <c r="B912" s="172"/>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row>
    <row r="913" ht="15.75" customHeight="1" spans="1:51">
      <c r="A913" s="25"/>
      <c r="B913" s="172"/>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row>
    <row r="914" ht="15.75" customHeight="1" spans="1:51">
      <c r="A914" s="25"/>
      <c r="B914" s="172"/>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row>
    <row r="915" ht="15.75" customHeight="1" spans="1:51">
      <c r="A915" s="25"/>
      <c r="B915" s="172"/>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row>
    <row r="916" ht="15.75" customHeight="1" spans="1:51">
      <c r="A916" s="25"/>
      <c r="B916" s="172"/>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row>
    <row r="917" ht="15.75" customHeight="1" spans="1:51">
      <c r="A917" s="25"/>
      <c r="B917" s="172"/>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row>
    <row r="918" ht="15.75" customHeight="1" spans="1:51">
      <c r="A918" s="25"/>
      <c r="B918" s="172"/>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row>
    <row r="919" ht="15.75" customHeight="1" spans="1:51">
      <c r="A919" s="25"/>
      <c r="B919" s="172"/>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row>
    <row r="920" ht="15.75" customHeight="1" spans="1:51">
      <c r="A920" s="25"/>
      <c r="B920" s="172"/>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row>
    <row r="921" ht="15.75" customHeight="1" spans="1:51">
      <c r="A921" s="25"/>
      <c r="B921" s="172"/>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row>
    <row r="922" ht="15.75" customHeight="1" spans="1:51">
      <c r="A922" s="25"/>
      <c r="B922" s="172"/>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row>
    <row r="923" ht="15.75" customHeight="1" spans="1:51">
      <c r="A923" s="25"/>
      <c r="B923" s="172"/>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row>
    <row r="924" ht="15.75" customHeight="1" spans="1:51">
      <c r="A924" s="25"/>
      <c r="B924" s="172"/>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row>
    <row r="925" ht="15.75" customHeight="1" spans="1:51">
      <c r="A925" s="25"/>
      <c r="B925" s="172"/>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row>
    <row r="926" ht="15.75" customHeight="1" spans="1:51">
      <c r="A926" s="25"/>
      <c r="B926" s="172"/>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row>
    <row r="927" ht="15.75" customHeight="1" spans="1:51">
      <c r="A927" s="25"/>
      <c r="B927" s="172"/>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row>
    <row r="928" ht="15.75" customHeight="1" spans="1:51">
      <c r="A928" s="25"/>
      <c r="B928" s="172"/>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row>
    <row r="929" ht="15.75" customHeight="1" spans="1:51">
      <c r="A929" s="25"/>
      <c r="B929" s="172"/>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row>
    <row r="930" ht="15.75" customHeight="1" spans="1:51">
      <c r="A930" s="25"/>
      <c r="B930" s="172"/>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row>
    <row r="931" ht="15.75" customHeight="1" spans="1:51">
      <c r="A931" s="25"/>
      <c r="B931" s="172"/>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row>
    <row r="932" ht="15.75" customHeight="1" spans="1:51">
      <c r="A932" s="25"/>
      <c r="B932" s="172"/>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row>
    <row r="933" ht="15.75" customHeight="1" spans="1:51">
      <c r="A933" s="25"/>
      <c r="B933" s="172"/>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row>
    <row r="934" ht="15.75" customHeight="1" spans="1:51">
      <c r="A934" s="25"/>
      <c r="B934" s="172"/>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row>
    <row r="935" ht="15.75" customHeight="1" spans="1:51">
      <c r="A935" s="25"/>
      <c r="B935" s="172"/>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row>
    <row r="936" ht="15.75" customHeight="1" spans="1:51">
      <c r="A936" s="25"/>
      <c r="B936" s="172"/>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row>
    <row r="937" ht="15.75" customHeight="1" spans="1:51">
      <c r="A937" s="25"/>
      <c r="B937" s="172"/>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row>
    <row r="938" ht="15.75" customHeight="1" spans="1:51">
      <c r="A938" s="25"/>
      <c r="B938" s="172"/>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row>
    <row r="939" ht="15.75" customHeight="1" spans="1:51">
      <c r="A939" s="25"/>
      <c r="B939" s="172"/>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row>
    <row r="940" ht="15.75" customHeight="1" spans="1:51">
      <c r="A940" s="25"/>
      <c r="B940" s="172"/>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row>
    <row r="941" ht="15.75" customHeight="1" spans="1:51">
      <c r="A941" s="25"/>
      <c r="B941" s="172"/>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row>
    <row r="942" ht="15.75" customHeight="1" spans="1:51">
      <c r="A942" s="25"/>
      <c r="B942" s="172"/>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row>
    <row r="943" ht="15.75" customHeight="1" spans="1:51">
      <c r="A943" s="25"/>
      <c r="B943" s="172"/>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row>
    <row r="944" ht="15.75" customHeight="1" spans="1:51">
      <c r="A944" s="25"/>
      <c r="B944" s="172"/>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row>
    <row r="945" ht="15.75" customHeight="1" spans="1:51">
      <c r="A945" s="25"/>
      <c r="B945" s="172"/>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row>
    <row r="946" ht="15.75" customHeight="1" spans="1:51">
      <c r="A946" s="25"/>
      <c r="B946" s="172"/>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row>
    <row r="947" ht="15.75" customHeight="1" spans="1:51">
      <c r="A947" s="25"/>
      <c r="B947" s="172"/>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row>
    <row r="948" ht="15.75" customHeight="1" spans="1:51">
      <c r="A948" s="25"/>
      <c r="B948" s="172"/>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row>
    <row r="949" ht="15.75" customHeight="1" spans="1:51">
      <c r="A949" s="25"/>
      <c r="B949" s="172"/>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row>
    <row r="950" ht="15.75" customHeight="1" spans="1:51">
      <c r="A950" s="25"/>
      <c r="B950" s="172"/>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row>
    <row r="951" ht="15.75" customHeight="1" spans="1:51">
      <c r="A951" s="25"/>
      <c r="B951" s="172"/>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row>
    <row r="952" ht="15.75" customHeight="1" spans="1:51">
      <c r="A952" s="25"/>
      <c r="B952" s="172"/>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row>
    <row r="953" ht="15.75" customHeight="1" spans="1:51">
      <c r="A953" s="25"/>
      <c r="B953" s="172"/>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row>
    <row r="954" ht="15.75" customHeight="1" spans="1:51">
      <c r="A954" s="25"/>
      <c r="B954" s="172"/>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row>
    <row r="955" ht="15.75" customHeight="1" spans="1:51">
      <c r="A955" s="25"/>
      <c r="B955" s="172"/>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row>
    <row r="956" ht="15.75" customHeight="1" spans="1:51">
      <c r="A956" s="25"/>
      <c r="B956" s="172"/>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row>
    <row r="957" ht="15.75" customHeight="1" spans="1:51">
      <c r="A957" s="25"/>
      <c r="B957" s="172"/>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row>
    <row r="958" ht="15.75" customHeight="1" spans="1:51">
      <c r="A958" s="25"/>
      <c r="B958" s="172"/>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row>
    <row r="959" ht="15.75" customHeight="1" spans="1:51">
      <c r="A959" s="25"/>
      <c r="B959" s="172"/>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row>
    <row r="960" ht="15.75" customHeight="1" spans="1:51">
      <c r="A960" s="25"/>
      <c r="B960" s="172"/>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row>
    <row r="961" ht="15.75" customHeight="1" spans="1:51">
      <c r="A961" s="25"/>
      <c r="B961" s="172"/>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row>
    <row r="962" ht="15.75" customHeight="1" spans="1:51">
      <c r="A962" s="25"/>
      <c r="B962" s="172"/>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row>
    <row r="963" ht="15.75" customHeight="1" spans="1:51">
      <c r="A963" s="25"/>
      <c r="B963" s="172"/>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row>
    <row r="964" ht="15.75" customHeight="1" spans="1:51">
      <c r="A964" s="25"/>
      <c r="B964" s="172"/>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row>
    <row r="965" ht="15.75" customHeight="1" spans="1:51">
      <c r="A965" s="25"/>
      <c r="B965" s="172"/>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row>
    <row r="966" ht="15.75" customHeight="1" spans="1:51">
      <c r="A966" s="25"/>
      <c r="B966" s="172"/>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row>
    <row r="967" ht="15.75" customHeight="1" spans="1:51">
      <c r="A967" s="25"/>
      <c r="B967" s="172"/>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row>
    <row r="968" ht="15.75" customHeight="1" spans="1:51">
      <c r="A968" s="25"/>
      <c r="B968" s="172"/>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row>
    <row r="969" ht="15.75" customHeight="1" spans="1:51">
      <c r="A969" s="25"/>
      <c r="B969" s="172"/>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row>
    <row r="970" ht="15.75" customHeight="1" spans="1:51">
      <c r="A970" s="25"/>
      <c r="B970" s="172"/>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row>
    <row r="971" ht="15.75" customHeight="1" spans="1:51">
      <c r="A971" s="25"/>
      <c r="B971" s="172"/>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row>
    <row r="972" ht="15.75" customHeight="1" spans="1:51">
      <c r="A972" s="25"/>
      <c r="B972" s="172"/>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row>
    <row r="973" ht="15.75" customHeight="1" spans="1:51">
      <c r="A973" s="25"/>
      <c r="B973" s="172"/>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row>
    <row r="974" ht="15.75" customHeight="1" spans="1:51">
      <c r="A974" s="25"/>
      <c r="B974" s="172"/>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row>
    <row r="975" ht="15.75" customHeight="1" spans="1:51">
      <c r="A975" s="25"/>
      <c r="B975" s="172"/>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row>
    <row r="976" ht="15.75" customHeight="1" spans="1:51">
      <c r="A976" s="25"/>
      <c r="B976" s="172"/>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row>
    <row r="977" ht="15.75" customHeight="1" spans="1:51">
      <c r="A977" s="25"/>
      <c r="B977" s="172"/>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row>
    <row r="978" ht="15.75" customHeight="1" spans="1:51">
      <c r="A978" s="25"/>
      <c r="B978" s="172"/>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row>
    <row r="979" ht="15.75" customHeight="1" spans="1:51">
      <c r="A979" s="25"/>
      <c r="B979" s="172"/>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row>
    <row r="980" ht="15.75" customHeight="1" spans="1:51">
      <c r="A980" s="25"/>
      <c r="B980" s="172"/>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row>
    <row r="981" ht="15.75" customHeight="1" spans="1:51">
      <c r="A981" s="25"/>
      <c r="B981" s="172"/>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row>
    <row r="982" ht="15.75" customHeight="1" spans="1:51">
      <c r="A982" s="25"/>
      <c r="B982" s="172"/>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row>
    <row r="983" ht="15.75" customHeight="1" spans="1:51">
      <c r="A983" s="25"/>
      <c r="B983" s="172"/>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row>
    <row r="984" ht="15.75" customHeight="1" spans="1:51">
      <c r="A984" s="25"/>
      <c r="B984" s="172"/>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row>
    <row r="985" ht="15.75" customHeight="1" spans="1:51">
      <c r="A985" s="25"/>
      <c r="B985" s="172"/>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row>
    <row r="986" ht="15.75" customHeight="1" spans="1:51">
      <c r="A986" s="25"/>
      <c r="B986" s="172"/>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row>
    <row r="987" ht="15.75" customHeight="1" spans="1:51">
      <c r="A987" s="25"/>
      <c r="B987" s="172"/>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row>
    <row r="988" ht="15.75" customHeight="1" spans="1:51">
      <c r="A988" s="25"/>
      <c r="B988" s="172"/>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row>
    <row r="989" ht="15.75" customHeight="1" spans="1:51">
      <c r="A989" s="25"/>
      <c r="B989" s="172"/>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row>
    <row r="990" ht="15.75" customHeight="1" spans="1:51">
      <c r="A990" s="25"/>
      <c r="B990" s="172"/>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row>
    <row r="991" ht="15.75" customHeight="1" spans="1:51">
      <c r="A991" s="25"/>
      <c r="B991" s="172"/>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row>
    <row r="992" ht="15.75" customHeight="1" spans="1:51">
      <c r="A992" s="25"/>
      <c r="B992" s="172"/>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row>
    <row r="993" ht="15.75" customHeight="1" spans="1:51">
      <c r="A993" s="25"/>
      <c r="B993" s="172"/>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row>
    <row r="994" ht="15.75" customHeight="1" spans="1:51">
      <c r="A994" s="25"/>
      <c r="B994" s="172"/>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row>
    <row r="995" ht="15.75" customHeight="1" spans="1:51">
      <c r="A995" s="25"/>
      <c r="B995" s="172"/>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row>
    <row r="996" ht="15.75" customHeight="1" spans="1:51">
      <c r="A996" s="25"/>
      <c r="B996" s="172"/>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row>
    <row r="997" ht="15.75" customHeight="1" spans="1:51">
      <c r="A997" s="25"/>
      <c r="B997" s="172"/>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row>
    <row r="998" ht="15.75" customHeight="1" spans="1:51">
      <c r="A998" s="25"/>
      <c r="B998" s="172"/>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row>
    <row r="999" ht="15.75" customHeight="1" spans="1:51">
      <c r="A999" s="25"/>
      <c r="B999" s="172"/>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row>
    <row r="1000" ht="15.75" customHeight="1" spans="1:51">
      <c r="A1000" s="25"/>
      <c r="B1000" s="172"/>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row>
  </sheetData>
  <mergeCells count="1">
    <mergeCell ref="P1:AO1"/>
  </mergeCells>
  <pageMargins left="0.7" right="0.7" top="0.75" bottom="0.75" header="0" footer="0"/>
  <pageSetup paperSize="1" orientation="portrait"/>
  <headerFooter>
    <oddFooter>&amp;C000000000000&amp;P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1000"/>
  <sheetViews>
    <sheetView showGridLines="0" workbookViewId="0">
      <selection activeCell="A1" sqref="A1"/>
    </sheetView>
  </sheetViews>
  <sheetFormatPr defaultColWidth="12.5714285714286" defaultRowHeight="15" customHeight="1"/>
  <cols>
    <col min="1" max="1" width="17.8571428571429" customWidth="1"/>
    <col min="2" max="2" width="12.8571428571429" customWidth="1"/>
    <col min="3" max="3" width="15.4285714285714" customWidth="1"/>
    <col min="4" max="4" width="19.4285714285714" customWidth="1"/>
    <col min="5" max="5" width="16.2857142857143" customWidth="1"/>
    <col min="6" max="9" width="15" customWidth="1"/>
    <col min="10" max="10" width="7.71428571428571" customWidth="1"/>
    <col min="11" max="11" width="15.2857142857143" customWidth="1"/>
    <col min="12" max="12" width="18.4285714285714" customWidth="1"/>
    <col min="13" max="14" width="16.7142857142857" customWidth="1"/>
    <col min="15" max="15" width="12.2857142857143" customWidth="1"/>
    <col min="16" max="16" width="14.7142857142857" customWidth="1"/>
    <col min="17" max="17" width="11.8571428571429" customWidth="1"/>
    <col min="18" max="18" width="13" customWidth="1"/>
    <col min="19" max="21" width="15" customWidth="1"/>
    <col min="22" max="22" width="12.8571428571429" customWidth="1"/>
    <col min="23" max="23" width="14.4285714285714" customWidth="1"/>
    <col min="24" max="40" width="19.1428571428571" customWidth="1"/>
    <col min="41" max="41" width="13.8571428571429" customWidth="1"/>
    <col min="42" max="51" width="9.14285714285714" customWidth="1"/>
  </cols>
  <sheetData>
    <row r="1" ht="15.75" customHeight="1" spans="1:51">
      <c r="A1" s="26" t="s">
        <v>189</v>
      </c>
      <c r="B1" s="26" t="s">
        <v>116</v>
      </c>
      <c r="C1" s="26" t="s">
        <v>156</v>
      </c>
      <c r="D1" s="26" t="s">
        <v>152</v>
      </c>
      <c r="E1" s="26" t="s">
        <v>190</v>
      </c>
      <c r="F1" s="26" t="s">
        <v>154</v>
      </c>
      <c r="G1" s="26" t="s">
        <v>155</v>
      </c>
      <c r="H1" s="26" t="s">
        <v>133</v>
      </c>
      <c r="I1" s="26" t="s">
        <v>157</v>
      </c>
      <c r="J1" s="26" t="s">
        <v>40</v>
      </c>
      <c r="K1" s="26" t="s">
        <v>158</v>
      </c>
      <c r="L1" s="26" t="s">
        <v>159</v>
      </c>
      <c r="M1" s="71" t="s">
        <v>160</v>
      </c>
      <c r="N1" s="26" t="s">
        <v>193</v>
      </c>
      <c r="O1" s="72"/>
      <c r="P1" s="73" t="s">
        <v>162</v>
      </c>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34"/>
      <c r="AP1" s="135"/>
      <c r="AQ1" s="69"/>
      <c r="AR1" s="69"/>
      <c r="AS1" s="69"/>
      <c r="AT1" s="69"/>
      <c r="AU1" s="69"/>
      <c r="AV1" s="69"/>
      <c r="AW1" s="69"/>
      <c r="AX1" s="69"/>
      <c r="AY1" s="69"/>
    </row>
    <row r="2" ht="15.75" customHeight="1" spans="1:51">
      <c r="A2" s="27"/>
      <c r="B2" s="28"/>
      <c r="C2" s="29"/>
      <c r="D2" s="27"/>
      <c r="E2" s="27"/>
      <c r="F2" s="27"/>
      <c r="G2" s="27"/>
      <c r="H2" s="27"/>
      <c r="I2" s="27"/>
      <c r="J2" s="29"/>
      <c r="K2" s="74"/>
      <c r="L2" s="75"/>
      <c r="M2" s="76"/>
      <c r="N2" s="77"/>
      <c r="O2" s="78">
        <v>0.7</v>
      </c>
      <c r="P2" s="79" t="s">
        <v>163</v>
      </c>
      <c r="Q2" s="129" t="s">
        <v>164</v>
      </c>
      <c r="R2" s="129" t="s">
        <v>165</v>
      </c>
      <c r="S2" s="129" t="s">
        <v>166</v>
      </c>
      <c r="T2" s="129" t="s">
        <v>167</v>
      </c>
      <c r="U2" s="130" t="s">
        <v>168</v>
      </c>
      <c r="V2" s="79" t="s">
        <v>169</v>
      </c>
      <c r="W2" s="130" t="s">
        <v>170</v>
      </c>
      <c r="X2" s="131" t="s">
        <v>195</v>
      </c>
      <c r="Y2" s="131" t="s">
        <v>196</v>
      </c>
      <c r="Z2" s="131" t="s">
        <v>197</v>
      </c>
      <c r="AA2" s="131" t="s">
        <v>198</v>
      </c>
      <c r="AB2" s="131" t="s">
        <v>199</v>
      </c>
      <c r="AC2" s="131" t="s">
        <v>200</v>
      </c>
      <c r="AD2" s="131" t="s">
        <v>201</v>
      </c>
      <c r="AE2" s="131" t="s">
        <v>202</v>
      </c>
      <c r="AF2" s="131" t="s">
        <v>203</v>
      </c>
      <c r="AG2" s="131" t="s">
        <v>204</v>
      </c>
      <c r="AH2" s="131" t="s">
        <v>205</v>
      </c>
      <c r="AI2" s="131" t="s">
        <v>206</v>
      </c>
      <c r="AJ2" s="131" t="s">
        <v>207</v>
      </c>
      <c r="AK2" s="131" t="s">
        <v>208</v>
      </c>
      <c r="AL2" s="131" t="s">
        <v>209</v>
      </c>
      <c r="AM2" s="131" t="s">
        <v>217</v>
      </c>
      <c r="AN2" s="131" t="s">
        <v>210</v>
      </c>
      <c r="AO2" s="131" t="s">
        <v>44</v>
      </c>
      <c r="AP2" s="135"/>
      <c r="AQ2" s="69"/>
      <c r="AR2" s="69"/>
      <c r="AS2" s="69"/>
      <c r="AT2" s="69"/>
      <c r="AU2" s="69"/>
      <c r="AV2" s="69"/>
      <c r="AW2" s="69"/>
      <c r="AX2" s="69"/>
      <c r="AY2" s="69"/>
    </row>
    <row r="3" ht="15.75" customHeight="1" spans="1:51">
      <c r="A3" s="30" t="s">
        <v>142</v>
      </c>
      <c r="B3" s="31">
        <v>45139</v>
      </c>
      <c r="C3" s="32">
        <f>546500-30500</f>
        <v>516000</v>
      </c>
      <c r="D3" s="32">
        <f t="shared" ref="D3:D33" si="0">C3-E3-F3-G3-H3</f>
        <v>502500</v>
      </c>
      <c r="E3" s="33"/>
      <c r="F3" s="33"/>
      <c r="G3" s="33">
        <v>13500</v>
      </c>
      <c r="H3" s="33"/>
      <c r="I3" s="33" t="e">
        <f>'Détail Dépenses'!#REF!</f>
        <v>#REF!</v>
      </c>
      <c r="J3" s="80" t="e">
        <f t="shared" ref="J3:J33" si="1">I3/C3</f>
        <v>#REF!</v>
      </c>
      <c r="K3" s="81" t="e">
        <f t="shared" ref="K3:K33" si="2">D3-I3</f>
        <v>#REF!</v>
      </c>
      <c r="L3" s="81">
        <f>503500-13500-30500</f>
        <v>459500</v>
      </c>
      <c r="M3" s="81" t="e">
        <f t="shared" ref="M3:M33" si="3">L3-K3</f>
        <v>#REF!</v>
      </c>
      <c r="N3" s="82">
        <f t="shared" ref="N3:N33" si="4">N2+L3</f>
        <v>459500</v>
      </c>
      <c r="O3" s="83"/>
      <c r="P3" s="84">
        <v>35500</v>
      </c>
      <c r="Q3" s="84"/>
      <c r="R3" s="84">
        <f>46500+30500</f>
        <v>77000</v>
      </c>
      <c r="S3" s="84">
        <v>6000</v>
      </c>
      <c r="T3" s="84"/>
      <c r="U3" s="84"/>
      <c r="V3" s="84">
        <v>17500</v>
      </c>
      <c r="W3" s="84"/>
      <c r="X3" s="84">
        <v>10500</v>
      </c>
      <c r="Y3" s="84"/>
      <c r="Z3" s="84"/>
      <c r="AA3" s="84">
        <v>1500</v>
      </c>
      <c r="AB3" s="84"/>
      <c r="AC3" s="84"/>
      <c r="AD3" s="84"/>
      <c r="AE3" s="84">
        <v>500</v>
      </c>
      <c r="AF3" s="84">
        <v>500</v>
      </c>
      <c r="AG3" s="84"/>
      <c r="AH3" s="84"/>
      <c r="AI3" s="84"/>
      <c r="AJ3" s="84"/>
      <c r="AK3" s="84"/>
      <c r="AL3" s="84">
        <f>2500+500</f>
        <v>3000</v>
      </c>
      <c r="AM3" s="84"/>
      <c r="AN3" s="84"/>
      <c r="AO3" s="136">
        <f t="shared" ref="AO3:AO33" si="5">SUM(P3:AN3)</f>
        <v>152000</v>
      </c>
      <c r="AP3" s="133"/>
      <c r="AQ3" s="69"/>
      <c r="AR3" s="69"/>
      <c r="AS3" s="69"/>
      <c r="AT3" s="69"/>
      <c r="AU3" s="69"/>
      <c r="AV3" s="69"/>
      <c r="AW3" s="69"/>
      <c r="AX3" s="69"/>
      <c r="AY3" s="69"/>
    </row>
    <row r="4" ht="15.75" customHeight="1" spans="1:51">
      <c r="A4" s="34" t="s">
        <v>143</v>
      </c>
      <c r="B4" s="35">
        <v>45140</v>
      </c>
      <c r="C4" s="36">
        <f>2516250-241500+240000</f>
        <v>2514750</v>
      </c>
      <c r="D4" s="37">
        <f t="shared" si="0"/>
        <v>2484250</v>
      </c>
      <c r="E4" s="38"/>
      <c r="F4" s="38"/>
      <c r="G4" s="38">
        <v>29000</v>
      </c>
      <c r="H4" s="38">
        <f>241500-240000</f>
        <v>1500</v>
      </c>
      <c r="I4" s="38" t="e">
        <f>'Détail Dépenses'!#REF!</f>
        <v>#REF!</v>
      </c>
      <c r="J4" s="24" t="e">
        <f t="shared" si="1"/>
        <v>#REF!</v>
      </c>
      <c r="K4" s="85" t="e">
        <f t="shared" si="2"/>
        <v>#REF!</v>
      </c>
      <c r="L4" s="85">
        <f>1879000-100000-20000-10000-227000-100000+240000</f>
        <v>1662000</v>
      </c>
      <c r="M4" s="85" t="e">
        <f t="shared" si="3"/>
        <v>#REF!</v>
      </c>
      <c r="N4" s="86">
        <f t="shared" si="4"/>
        <v>2121500</v>
      </c>
      <c r="O4" s="87"/>
      <c r="P4" s="88">
        <v>31000</v>
      </c>
      <c r="Q4" s="88">
        <v>60000</v>
      </c>
      <c r="R4" s="88">
        <f>10000+24500</f>
        <v>34500</v>
      </c>
      <c r="S4" s="88">
        <v>18000</v>
      </c>
      <c r="T4" s="88"/>
      <c r="U4" s="88"/>
      <c r="V4" s="88"/>
      <c r="W4" s="88">
        <v>500</v>
      </c>
      <c r="X4" s="88">
        <v>116000</v>
      </c>
      <c r="Y4" s="88">
        <v>59000</v>
      </c>
      <c r="Z4" s="88"/>
      <c r="AA4" s="88"/>
      <c r="AB4" s="88">
        <v>1000</v>
      </c>
      <c r="AC4" s="88"/>
      <c r="AD4" s="88"/>
      <c r="AE4" s="88"/>
      <c r="AF4" s="88">
        <v>500</v>
      </c>
      <c r="AG4" s="88"/>
      <c r="AH4" s="88">
        <v>1000</v>
      </c>
      <c r="AI4" s="88"/>
      <c r="AJ4" s="88"/>
      <c r="AK4" s="88">
        <v>2500</v>
      </c>
      <c r="AL4" s="88"/>
      <c r="AM4" s="88"/>
      <c r="AN4" s="88">
        <v>500</v>
      </c>
      <c r="AO4" s="137">
        <f t="shared" si="5"/>
        <v>324500</v>
      </c>
      <c r="AP4" s="133"/>
      <c r="AQ4" s="69"/>
      <c r="AR4" s="69"/>
      <c r="AS4" s="69"/>
      <c r="AT4" s="69"/>
      <c r="AU4" s="69"/>
      <c r="AV4" s="69"/>
      <c r="AW4" s="69"/>
      <c r="AX4" s="69"/>
      <c r="AY4" s="69"/>
    </row>
    <row r="5" ht="15.75" customHeight="1" spans="1:51">
      <c r="A5" s="34" t="s">
        <v>144</v>
      </c>
      <c r="B5" s="35">
        <v>45141</v>
      </c>
      <c r="C5" s="36">
        <v>1210000</v>
      </c>
      <c r="D5" s="37">
        <f t="shared" si="0"/>
        <v>1195000</v>
      </c>
      <c r="E5" s="38">
        <v>15000</v>
      </c>
      <c r="F5" s="38"/>
      <c r="G5" s="38"/>
      <c r="H5" s="38"/>
      <c r="I5" s="38" t="e">
        <f>'Détail Dépenses'!#REF!</f>
        <v>#REF!</v>
      </c>
      <c r="J5" s="24" t="e">
        <f t="shared" si="1"/>
        <v>#REF!</v>
      </c>
      <c r="K5" s="85" t="e">
        <f t="shared" si="2"/>
        <v>#REF!</v>
      </c>
      <c r="L5" s="85">
        <v>786500</v>
      </c>
      <c r="M5" s="85" t="e">
        <f t="shared" si="3"/>
        <v>#REF!</v>
      </c>
      <c r="N5" s="86">
        <f t="shared" si="4"/>
        <v>2908000</v>
      </c>
      <c r="O5" s="87"/>
      <c r="P5" s="88"/>
      <c r="Q5" s="88"/>
      <c r="R5" s="88"/>
      <c r="S5" s="88">
        <v>10500</v>
      </c>
      <c r="T5" s="88"/>
      <c r="U5" s="88"/>
      <c r="V5" s="88">
        <v>3500</v>
      </c>
      <c r="W5" s="88">
        <f>2500+2500</f>
        <v>5000</v>
      </c>
      <c r="X5" s="88">
        <v>419500</v>
      </c>
      <c r="Y5" s="88">
        <v>40500</v>
      </c>
      <c r="Z5" s="88"/>
      <c r="AA5" s="88"/>
      <c r="AB5" s="88"/>
      <c r="AC5" s="88"/>
      <c r="AD5" s="88"/>
      <c r="AE5" s="88"/>
      <c r="AF5" s="88">
        <v>500</v>
      </c>
      <c r="AG5" s="88"/>
      <c r="AH5" s="88"/>
      <c r="AI5" s="88"/>
      <c r="AJ5" s="88"/>
      <c r="AK5" s="88"/>
      <c r="AL5" s="88">
        <v>1500</v>
      </c>
      <c r="AM5" s="88"/>
      <c r="AN5" s="88">
        <v>1000</v>
      </c>
      <c r="AO5" s="137">
        <f t="shared" si="5"/>
        <v>482000</v>
      </c>
      <c r="AP5" s="133"/>
      <c r="AQ5" s="69"/>
      <c r="AR5" s="69"/>
      <c r="AS5" s="69"/>
      <c r="AT5" s="69"/>
      <c r="AU5" s="69"/>
      <c r="AV5" s="69"/>
      <c r="AW5" s="69"/>
      <c r="AX5" s="69"/>
      <c r="AY5" s="69"/>
    </row>
    <row r="6" ht="15.75" customHeight="1" spans="1:51">
      <c r="A6" s="34" t="s">
        <v>145</v>
      </c>
      <c r="B6" s="35">
        <v>45142</v>
      </c>
      <c r="C6" s="37">
        <v>1610750</v>
      </c>
      <c r="D6" s="37">
        <f t="shared" si="0"/>
        <v>1578250</v>
      </c>
      <c r="E6" s="38"/>
      <c r="F6" s="38"/>
      <c r="G6" s="38">
        <v>32500</v>
      </c>
      <c r="H6" s="38"/>
      <c r="I6" s="38" t="e">
        <f>'Détail Dépenses'!#REF!</f>
        <v>#REF!</v>
      </c>
      <c r="J6" s="24" t="e">
        <f t="shared" si="1"/>
        <v>#REF!</v>
      </c>
      <c r="K6" s="85" t="e">
        <f t="shared" si="2"/>
        <v>#REF!</v>
      </c>
      <c r="L6" s="85">
        <f>1175000-75000</f>
        <v>1100000</v>
      </c>
      <c r="M6" s="85" t="e">
        <f t="shared" si="3"/>
        <v>#REF!</v>
      </c>
      <c r="N6" s="86">
        <f t="shared" si="4"/>
        <v>4008000</v>
      </c>
      <c r="O6" s="87"/>
      <c r="P6" s="88">
        <v>16000</v>
      </c>
      <c r="Q6" s="88"/>
      <c r="R6" s="88">
        <v>18000</v>
      </c>
      <c r="S6" s="88"/>
      <c r="T6" s="88"/>
      <c r="U6" s="88"/>
      <c r="V6" s="88">
        <v>2500</v>
      </c>
      <c r="W6" s="88">
        <v>500</v>
      </c>
      <c r="X6" s="88">
        <v>214000</v>
      </c>
      <c r="Y6" s="88"/>
      <c r="Z6" s="88">
        <v>2000</v>
      </c>
      <c r="AA6" s="88"/>
      <c r="AB6" s="88">
        <v>500</v>
      </c>
      <c r="AC6" s="88"/>
      <c r="AD6" s="88"/>
      <c r="AE6" s="88"/>
      <c r="AF6" s="88">
        <v>3000</v>
      </c>
      <c r="AG6" s="88"/>
      <c r="AH6" s="88"/>
      <c r="AI6" s="88"/>
      <c r="AJ6" s="88"/>
      <c r="AK6" s="88">
        <v>500</v>
      </c>
      <c r="AL6" s="88"/>
      <c r="AM6" s="88"/>
      <c r="AN6" s="88"/>
      <c r="AO6" s="137">
        <f t="shared" si="5"/>
        <v>257000</v>
      </c>
      <c r="AP6" s="133"/>
      <c r="AQ6" s="69"/>
      <c r="AR6" s="69"/>
      <c r="AS6" s="69"/>
      <c r="AT6" s="69"/>
      <c r="AU6" s="69"/>
      <c r="AV6" s="69"/>
      <c r="AW6" s="69"/>
      <c r="AX6" s="69"/>
      <c r="AY6" s="69"/>
    </row>
    <row r="7" ht="15.75" customHeight="1" spans="1:51">
      <c r="A7" s="34" t="s">
        <v>139</v>
      </c>
      <c r="B7" s="35">
        <v>45143</v>
      </c>
      <c r="C7" s="37">
        <v>1205750</v>
      </c>
      <c r="D7" s="37">
        <f t="shared" si="0"/>
        <v>1202750</v>
      </c>
      <c r="E7" s="38"/>
      <c r="F7" s="38"/>
      <c r="G7" s="38">
        <v>3000</v>
      </c>
      <c r="H7" s="38"/>
      <c r="I7" s="38" t="e">
        <f>'Détail Dépenses'!#REF!</f>
        <v>#REF!</v>
      </c>
      <c r="J7" s="24" t="e">
        <f t="shared" si="1"/>
        <v>#REF!</v>
      </c>
      <c r="K7" s="85" t="e">
        <f t="shared" si="2"/>
        <v>#REF!</v>
      </c>
      <c r="L7" s="85">
        <v>749500</v>
      </c>
      <c r="M7" s="85" t="e">
        <f t="shared" si="3"/>
        <v>#REF!</v>
      </c>
      <c r="N7" s="86">
        <f t="shared" si="4"/>
        <v>4757500</v>
      </c>
      <c r="O7" s="87"/>
      <c r="P7" s="88">
        <v>45500</v>
      </c>
      <c r="Q7" s="88"/>
      <c r="R7" s="88">
        <v>12500</v>
      </c>
      <c r="S7" s="88"/>
      <c r="T7" s="88"/>
      <c r="U7" s="88"/>
      <c r="V7" s="88">
        <f>6000+4000</f>
        <v>10000</v>
      </c>
      <c r="W7" s="88"/>
      <c r="X7" s="88">
        <v>246500</v>
      </c>
      <c r="Y7" s="88"/>
      <c r="Z7" s="88">
        <v>2000</v>
      </c>
      <c r="AA7" s="88"/>
      <c r="AB7" s="88">
        <v>500</v>
      </c>
      <c r="AC7" s="88"/>
      <c r="AD7" s="88"/>
      <c r="AE7" s="88"/>
      <c r="AF7" s="88">
        <v>2000</v>
      </c>
      <c r="AG7" s="88"/>
      <c r="AH7" s="88"/>
      <c r="AI7" s="88"/>
      <c r="AJ7" s="88"/>
      <c r="AK7" s="88">
        <v>500</v>
      </c>
      <c r="AL7" s="88"/>
      <c r="AM7" s="88"/>
      <c r="AN7" s="88">
        <v>1000</v>
      </c>
      <c r="AO7" s="137">
        <f t="shared" si="5"/>
        <v>320500</v>
      </c>
      <c r="AP7" s="133"/>
      <c r="AQ7" s="69"/>
      <c r="AR7" s="69"/>
      <c r="AS7" s="69"/>
      <c r="AT7" s="69"/>
      <c r="AU7" s="69"/>
      <c r="AV7" s="69"/>
      <c r="AW7" s="69"/>
      <c r="AX7" s="69"/>
      <c r="AY7" s="69"/>
    </row>
    <row r="8" ht="15.75" customHeight="1" spans="1:51">
      <c r="A8" s="39" t="s">
        <v>140</v>
      </c>
      <c r="B8" s="40">
        <v>45144</v>
      </c>
      <c r="C8" s="41"/>
      <c r="D8" s="41">
        <f t="shared" si="0"/>
        <v>0</v>
      </c>
      <c r="E8" s="42"/>
      <c r="F8" s="42"/>
      <c r="G8" s="42"/>
      <c r="H8" s="42"/>
      <c r="I8" s="42" t="e">
        <f>'Détail Dépenses'!#REF!</f>
        <v>#REF!</v>
      </c>
      <c r="J8" s="89" t="e">
        <f t="shared" si="1"/>
        <v>#REF!</v>
      </c>
      <c r="K8" s="90" t="e">
        <f t="shared" si="2"/>
        <v>#REF!</v>
      </c>
      <c r="L8" s="90"/>
      <c r="M8" s="90" t="e">
        <f t="shared" si="3"/>
        <v>#REF!</v>
      </c>
      <c r="N8" s="91">
        <f t="shared" si="4"/>
        <v>4757500</v>
      </c>
      <c r="O8" s="92"/>
      <c r="P8" s="93"/>
      <c r="Q8" s="93"/>
      <c r="R8" s="93"/>
      <c r="S8" s="93"/>
      <c r="T8" s="93"/>
      <c r="U8" s="93"/>
      <c r="V8" s="93"/>
      <c r="W8" s="93"/>
      <c r="X8" s="93"/>
      <c r="Y8" s="93"/>
      <c r="Z8" s="93"/>
      <c r="AA8" s="93"/>
      <c r="AB8" s="93"/>
      <c r="AC8" s="93"/>
      <c r="AD8" s="93"/>
      <c r="AE8" s="93"/>
      <c r="AF8" s="93"/>
      <c r="AG8" s="93"/>
      <c r="AH8" s="93"/>
      <c r="AI8" s="93"/>
      <c r="AJ8" s="93"/>
      <c r="AK8" s="93"/>
      <c r="AL8" s="93"/>
      <c r="AM8" s="93"/>
      <c r="AN8" s="93"/>
      <c r="AO8" s="138">
        <f t="shared" si="5"/>
        <v>0</v>
      </c>
      <c r="AP8" s="133"/>
      <c r="AQ8" s="69"/>
      <c r="AR8" s="69"/>
      <c r="AS8" s="69"/>
      <c r="AT8" s="69"/>
      <c r="AU8" s="69"/>
      <c r="AV8" s="69"/>
      <c r="AW8" s="69"/>
      <c r="AX8" s="69"/>
      <c r="AY8" s="69"/>
    </row>
    <row r="9" ht="15.75" customHeight="1" spans="1:51">
      <c r="A9" s="30" t="s">
        <v>141</v>
      </c>
      <c r="B9" s="31">
        <v>45145</v>
      </c>
      <c r="C9" s="43"/>
      <c r="D9" s="32">
        <f t="shared" si="0"/>
        <v>0</v>
      </c>
      <c r="E9" s="33"/>
      <c r="F9" s="33"/>
      <c r="G9" s="33"/>
      <c r="H9" s="33"/>
      <c r="I9" s="33" t="e">
        <f>'Détail Dépenses'!#REF!</f>
        <v>#REF!</v>
      </c>
      <c r="J9" s="80" t="e">
        <f t="shared" si="1"/>
        <v>#REF!</v>
      </c>
      <c r="K9" s="81" t="e">
        <f t="shared" si="2"/>
        <v>#REF!</v>
      </c>
      <c r="L9" s="81"/>
      <c r="M9" s="81" t="e">
        <f t="shared" si="3"/>
        <v>#REF!</v>
      </c>
      <c r="N9" s="82">
        <f t="shared" si="4"/>
        <v>4757500</v>
      </c>
      <c r="O9" s="83"/>
      <c r="P9" s="84"/>
      <c r="Q9" s="84"/>
      <c r="R9" s="84"/>
      <c r="S9" s="84"/>
      <c r="T9" s="84"/>
      <c r="U9" s="84"/>
      <c r="V9" s="84"/>
      <c r="W9" s="84"/>
      <c r="X9" s="84"/>
      <c r="Y9" s="84"/>
      <c r="Z9" s="84"/>
      <c r="AA9" s="84"/>
      <c r="AB9" s="84"/>
      <c r="AC9" s="84"/>
      <c r="AD9" s="84"/>
      <c r="AE9" s="84"/>
      <c r="AF9" s="84"/>
      <c r="AG9" s="84"/>
      <c r="AH9" s="84"/>
      <c r="AI9" s="84"/>
      <c r="AJ9" s="84"/>
      <c r="AK9" s="84"/>
      <c r="AL9" s="84"/>
      <c r="AM9" s="84"/>
      <c r="AN9" s="84"/>
      <c r="AO9" s="136">
        <f t="shared" si="5"/>
        <v>0</v>
      </c>
      <c r="AP9" s="133"/>
      <c r="AQ9" s="69"/>
      <c r="AR9" s="69"/>
      <c r="AS9" s="69"/>
      <c r="AT9" s="69"/>
      <c r="AU9" s="69"/>
      <c r="AV9" s="69"/>
      <c r="AW9" s="69"/>
      <c r="AX9" s="69"/>
      <c r="AY9" s="69"/>
    </row>
    <row r="10" ht="15.75" customHeight="1" spans="1:51">
      <c r="A10" s="34" t="s">
        <v>142</v>
      </c>
      <c r="B10" s="35">
        <v>45146</v>
      </c>
      <c r="C10" s="36"/>
      <c r="D10" s="37">
        <f t="shared" si="0"/>
        <v>0</v>
      </c>
      <c r="E10" s="38"/>
      <c r="F10" s="38"/>
      <c r="G10" s="38"/>
      <c r="H10" s="38"/>
      <c r="I10" s="38" t="e">
        <f>'Détail Dépenses'!#REF!</f>
        <v>#REF!</v>
      </c>
      <c r="J10" s="24" t="e">
        <f t="shared" si="1"/>
        <v>#REF!</v>
      </c>
      <c r="K10" s="85" t="e">
        <f t="shared" si="2"/>
        <v>#REF!</v>
      </c>
      <c r="L10" s="85"/>
      <c r="M10" s="85" t="e">
        <f t="shared" si="3"/>
        <v>#REF!</v>
      </c>
      <c r="N10" s="86">
        <f t="shared" si="4"/>
        <v>4757500</v>
      </c>
      <c r="O10" s="87"/>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137">
        <f t="shared" si="5"/>
        <v>0</v>
      </c>
      <c r="AP10" s="133"/>
      <c r="AQ10" s="69"/>
      <c r="AR10" s="69"/>
      <c r="AS10" s="69"/>
      <c r="AT10" s="69"/>
      <c r="AU10" s="69"/>
      <c r="AV10" s="69"/>
      <c r="AW10" s="69"/>
      <c r="AX10" s="69"/>
      <c r="AY10" s="69"/>
    </row>
    <row r="11" ht="15.75" customHeight="1" spans="1:51">
      <c r="A11" s="34" t="s">
        <v>143</v>
      </c>
      <c r="B11" s="35">
        <v>45147</v>
      </c>
      <c r="C11" s="37"/>
      <c r="D11" s="37">
        <f t="shared" si="0"/>
        <v>0</v>
      </c>
      <c r="E11" s="38"/>
      <c r="F11" s="38"/>
      <c r="G11" s="38"/>
      <c r="H11" s="38"/>
      <c r="I11" s="38" t="e">
        <f>'Détail Dépenses'!#REF!</f>
        <v>#REF!</v>
      </c>
      <c r="J11" s="24" t="e">
        <f t="shared" si="1"/>
        <v>#REF!</v>
      </c>
      <c r="K11" s="85" t="e">
        <f t="shared" si="2"/>
        <v>#REF!</v>
      </c>
      <c r="L11" s="85"/>
      <c r="M11" s="85" t="e">
        <f t="shared" si="3"/>
        <v>#REF!</v>
      </c>
      <c r="N11" s="86">
        <f t="shared" si="4"/>
        <v>4757500</v>
      </c>
      <c r="O11" s="87"/>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137">
        <f t="shared" si="5"/>
        <v>0</v>
      </c>
      <c r="AP11" s="133"/>
      <c r="AQ11" s="69"/>
      <c r="AR11" s="69"/>
      <c r="AS11" s="69"/>
      <c r="AT11" s="69"/>
      <c r="AU11" s="69"/>
      <c r="AV11" s="69"/>
      <c r="AW11" s="69"/>
      <c r="AX11" s="69"/>
      <c r="AY11" s="69"/>
    </row>
    <row r="12" ht="15.75" customHeight="1" spans="1:51">
      <c r="A12" s="34" t="s">
        <v>144</v>
      </c>
      <c r="B12" s="35">
        <v>45148</v>
      </c>
      <c r="C12" s="37"/>
      <c r="D12" s="37">
        <f t="shared" si="0"/>
        <v>0</v>
      </c>
      <c r="E12" s="38"/>
      <c r="F12" s="38"/>
      <c r="G12" s="38"/>
      <c r="H12" s="38"/>
      <c r="I12" s="38" t="e">
        <f>'Détail Dépenses'!#REF!</f>
        <v>#REF!</v>
      </c>
      <c r="J12" s="24" t="e">
        <f t="shared" si="1"/>
        <v>#REF!</v>
      </c>
      <c r="K12" s="85" t="e">
        <f t="shared" si="2"/>
        <v>#REF!</v>
      </c>
      <c r="L12" s="85"/>
      <c r="M12" s="85" t="e">
        <f t="shared" si="3"/>
        <v>#REF!</v>
      </c>
      <c r="N12" s="86">
        <f t="shared" si="4"/>
        <v>4757500</v>
      </c>
      <c r="O12" s="87"/>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137">
        <f t="shared" si="5"/>
        <v>0</v>
      </c>
      <c r="AP12" s="133"/>
      <c r="AQ12" s="69"/>
      <c r="AR12" s="69"/>
      <c r="AS12" s="69"/>
      <c r="AT12" s="69"/>
      <c r="AU12" s="69"/>
      <c r="AV12" s="69"/>
      <c r="AW12" s="69"/>
      <c r="AX12" s="69"/>
      <c r="AY12" s="69"/>
    </row>
    <row r="13" ht="15.75" customHeight="1" spans="1:51">
      <c r="A13" s="34" t="s">
        <v>145</v>
      </c>
      <c r="B13" s="35">
        <v>45149</v>
      </c>
      <c r="C13" s="37"/>
      <c r="D13" s="37">
        <f t="shared" si="0"/>
        <v>0</v>
      </c>
      <c r="E13" s="38"/>
      <c r="F13" s="38"/>
      <c r="G13" s="38"/>
      <c r="H13" s="38"/>
      <c r="I13" s="38" t="e">
        <f>'Détail Dépenses'!#REF!</f>
        <v>#REF!</v>
      </c>
      <c r="J13" s="24" t="e">
        <f t="shared" si="1"/>
        <v>#REF!</v>
      </c>
      <c r="K13" s="85" t="e">
        <f t="shared" si="2"/>
        <v>#REF!</v>
      </c>
      <c r="L13" s="85"/>
      <c r="M13" s="85" t="e">
        <f t="shared" si="3"/>
        <v>#REF!</v>
      </c>
      <c r="N13" s="86">
        <f t="shared" si="4"/>
        <v>4757500</v>
      </c>
      <c r="O13" s="87"/>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137">
        <f t="shared" si="5"/>
        <v>0</v>
      </c>
      <c r="AP13" s="133"/>
      <c r="AQ13" s="69"/>
      <c r="AR13" s="69"/>
      <c r="AS13" s="69"/>
      <c r="AT13" s="69"/>
      <c r="AU13" s="69"/>
      <c r="AV13" s="69"/>
      <c r="AW13" s="69"/>
      <c r="AX13" s="69"/>
      <c r="AY13" s="69"/>
    </row>
    <row r="14" ht="15.75" customHeight="1" spans="1:51">
      <c r="A14" s="34" t="s">
        <v>139</v>
      </c>
      <c r="B14" s="35">
        <v>45150</v>
      </c>
      <c r="C14" s="36"/>
      <c r="D14" s="37">
        <f t="shared" si="0"/>
        <v>0</v>
      </c>
      <c r="E14" s="38"/>
      <c r="F14" s="38"/>
      <c r="G14" s="38"/>
      <c r="H14" s="38"/>
      <c r="I14" s="38" t="e">
        <f>'Détail Dépenses'!#REF!</f>
        <v>#REF!</v>
      </c>
      <c r="J14" s="24" t="e">
        <f t="shared" si="1"/>
        <v>#REF!</v>
      </c>
      <c r="K14" s="85" t="e">
        <f t="shared" si="2"/>
        <v>#REF!</v>
      </c>
      <c r="L14" s="85"/>
      <c r="M14" s="85" t="e">
        <f t="shared" si="3"/>
        <v>#REF!</v>
      </c>
      <c r="N14" s="86">
        <f t="shared" si="4"/>
        <v>4757500</v>
      </c>
      <c r="O14" s="87"/>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137">
        <f t="shared" si="5"/>
        <v>0</v>
      </c>
      <c r="AP14" s="133"/>
      <c r="AQ14" s="69"/>
      <c r="AR14" s="69"/>
      <c r="AS14" s="69"/>
      <c r="AT14" s="69"/>
      <c r="AU14" s="69"/>
      <c r="AV14" s="69"/>
      <c r="AW14" s="69"/>
      <c r="AX14" s="69"/>
      <c r="AY14" s="69"/>
    </row>
    <row r="15" ht="15.75" customHeight="1" spans="1:51">
      <c r="A15" s="39" t="s">
        <v>140</v>
      </c>
      <c r="B15" s="40">
        <v>45151</v>
      </c>
      <c r="C15" s="44"/>
      <c r="D15" s="41">
        <f t="shared" si="0"/>
        <v>0</v>
      </c>
      <c r="E15" s="42"/>
      <c r="F15" s="42"/>
      <c r="G15" s="42"/>
      <c r="H15" s="42"/>
      <c r="I15" s="42" t="e">
        <f>'Détail Dépenses'!#REF!</f>
        <v>#REF!</v>
      </c>
      <c r="J15" s="89" t="e">
        <f t="shared" si="1"/>
        <v>#REF!</v>
      </c>
      <c r="K15" s="90" t="e">
        <f t="shared" si="2"/>
        <v>#REF!</v>
      </c>
      <c r="L15" s="90"/>
      <c r="M15" s="90" t="e">
        <f t="shared" si="3"/>
        <v>#REF!</v>
      </c>
      <c r="N15" s="91">
        <f t="shared" si="4"/>
        <v>4757500</v>
      </c>
      <c r="O15" s="92"/>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138">
        <f t="shared" si="5"/>
        <v>0</v>
      </c>
      <c r="AP15" s="133"/>
      <c r="AQ15" s="69"/>
      <c r="AR15" s="69"/>
      <c r="AS15" s="69"/>
      <c r="AT15" s="69"/>
      <c r="AU15" s="69"/>
      <c r="AV15" s="69"/>
      <c r="AW15" s="69"/>
      <c r="AX15" s="69"/>
      <c r="AY15" s="69"/>
    </row>
    <row r="16" ht="15.75" customHeight="1" spans="1:51">
      <c r="A16" s="30" t="s">
        <v>141</v>
      </c>
      <c r="B16" s="31">
        <v>45152</v>
      </c>
      <c r="C16" s="32"/>
      <c r="D16" s="32">
        <f t="shared" si="0"/>
        <v>0</v>
      </c>
      <c r="E16" s="33"/>
      <c r="F16" s="33"/>
      <c r="G16" s="33"/>
      <c r="H16" s="33"/>
      <c r="I16" s="33" t="e">
        <f>'Détail Dépenses'!#REF!</f>
        <v>#REF!</v>
      </c>
      <c r="J16" s="80" t="e">
        <f t="shared" si="1"/>
        <v>#REF!</v>
      </c>
      <c r="K16" s="81" t="e">
        <f t="shared" si="2"/>
        <v>#REF!</v>
      </c>
      <c r="L16" s="81"/>
      <c r="M16" s="81" t="e">
        <f t="shared" si="3"/>
        <v>#REF!</v>
      </c>
      <c r="N16" s="82">
        <f t="shared" si="4"/>
        <v>4757500</v>
      </c>
      <c r="O16" s="83"/>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136">
        <f t="shared" si="5"/>
        <v>0</v>
      </c>
      <c r="AP16" s="133"/>
      <c r="AQ16" s="69"/>
      <c r="AR16" s="69"/>
      <c r="AS16" s="69"/>
      <c r="AT16" s="69"/>
      <c r="AU16" s="69"/>
      <c r="AV16" s="69"/>
      <c r="AW16" s="69"/>
      <c r="AX16" s="69"/>
      <c r="AY16" s="69"/>
    </row>
    <row r="17" ht="15.75" customHeight="1" spans="1:51">
      <c r="A17" s="34" t="s">
        <v>142</v>
      </c>
      <c r="B17" s="35">
        <v>45153</v>
      </c>
      <c r="C17" s="37"/>
      <c r="D17" s="37">
        <f t="shared" si="0"/>
        <v>0</v>
      </c>
      <c r="E17" s="38"/>
      <c r="F17" s="38"/>
      <c r="G17" s="38"/>
      <c r="H17" s="38"/>
      <c r="I17" s="38" t="e">
        <f>'Détail Dépenses'!#REF!</f>
        <v>#REF!</v>
      </c>
      <c r="J17" s="24" t="e">
        <f t="shared" si="1"/>
        <v>#REF!</v>
      </c>
      <c r="K17" s="85" t="e">
        <f t="shared" si="2"/>
        <v>#REF!</v>
      </c>
      <c r="L17" s="85"/>
      <c r="M17" s="85" t="e">
        <f t="shared" si="3"/>
        <v>#REF!</v>
      </c>
      <c r="N17" s="86">
        <f t="shared" si="4"/>
        <v>4757500</v>
      </c>
      <c r="O17" s="87"/>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137">
        <f t="shared" si="5"/>
        <v>0</v>
      </c>
      <c r="AP17" s="133"/>
      <c r="AQ17" s="69"/>
      <c r="AR17" s="69"/>
      <c r="AS17" s="69"/>
      <c r="AT17" s="69"/>
      <c r="AU17" s="69"/>
      <c r="AV17" s="69"/>
      <c r="AW17" s="69"/>
      <c r="AX17" s="69"/>
      <c r="AY17" s="69"/>
    </row>
    <row r="18" ht="15.75" customHeight="1" spans="1:51">
      <c r="A18" s="34" t="s">
        <v>143</v>
      </c>
      <c r="B18" s="35">
        <v>45154</v>
      </c>
      <c r="C18" s="37"/>
      <c r="D18" s="37">
        <f t="shared" si="0"/>
        <v>0</v>
      </c>
      <c r="E18" s="38"/>
      <c r="F18" s="38"/>
      <c r="G18" s="38"/>
      <c r="H18" s="38"/>
      <c r="I18" s="38" t="e">
        <f>'Détail Dépenses'!#REF!</f>
        <v>#REF!</v>
      </c>
      <c r="J18" s="24" t="e">
        <f t="shared" si="1"/>
        <v>#REF!</v>
      </c>
      <c r="K18" s="85" t="e">
        <f t="shared" si="2"/>
        <v>#REF!</v>
      </c>
      <c r="L18" s="85"/>
      <c r="M18" s="85" t="e">
        <f t="shared" si="3"/>
        <v>#REF!</v>
      </c>
      <c r="N18" s="86">
        <f t="shared" si="4"/>
        <v>4757500</v>
      </c>
      <c r="O18" s="87"/>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137">
        <f t="shared" si="5"/>
        <v>0</v>
      </c>
      <c r="AP18" s="133"/>
      <c r="AQ18" s="69"/>
      <c r="AR18" s="69"/>
      <c r="AS18" s="69"/>
      <c r="AT18" s="69"/>
      <c r="AU18" s="69"/>
      <c r="AV18" s="69"/>
      <c r="AW18" s="69"/>
      <c r="AX18" s="69"/>
      <c r="AY18" s="69"/>
    </row>
    <row r="19" ht="15.75" customHeight="1" spans="1:51">
      <c r="A19" s="34" t="s">
        <v>144</v>
      </c>
      <c r="B19" s="35">
        <v>45155</v>
      </c>
      <c r="C19" s="36"/>
      <c r="D19" s="37">
        <f t="shared" si="0"/>
        <v>0</v>
      </c>
      <c r="E19" s="38"/>
      <c r="F19" s="38"/>
      <c r="G19" s="38"/>
      <c r="H19" s="38"/>
      <c r="I19" s="38" t="e">
        <f>'Détail Dépenses'!#REF!</f>
        <v>#REF!</v>
      </c>
      <c r="J19" s="24" t="e">
        <f t="shared" si="1"/>
        <v>#REF!</v>
      </c>
      <c r="K19" s="85" t="e">
        <f t="shared" si="2"/>
        <v>#REF!</v>
      </c>
      <c r="L19" s="85"/>
      <c r="M19" s="85" t="e">
        <f t="shared" si="3"/>
        <v>#REF!</v>
      </c>
      <c r="N19" s="86">
        <f t="shared" si="4"/>
        <v>4757500</v>
      </c>
      <c r="O19" s="87"/>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137">
        <f t="shared" si="5"/>
        <v>0</v>
      </c>
      <c r="AP19" s="133"/>
      <c r="AQ19" s="69"/>
      <c r="AR19" s="69"/>
      <c r="AS19" s="69"/>
      <c r="AT19" s="69"/>
      <c r="AU19" s="69"/>
      <c r="AV19" s="69"/>
      <c r="AW19" s="69"/>
      <c r="AX19" s="69"/>
      <c r="AY19" s="69"/>
    </row>
    <row r="20" ht="15.75" customHeight="1" spans="1:51">
      <c r="A20" s="34" t="s">
        <v>145</v>
      </c>
      <c r="B20" s="35">
        <v>45156</v>
      </c>
      <c r="C20" s="36"/>
      <c r="D20" s="37">
        <f t="shared" si="0"/>
        <v>0</v>
      </c>
      <c r="E20" s="38"/>
      <c r="F20" s="38"/>
      <c r="G20" s="38"/>
      <c r="H20" s="38"/>
      <c r="I20" s="38" t="e">
        <f>'Détail Dépenses'!#REF!</f>
        <v>#REF!</v>
      </c>
      <c r="J20" s="24" t="e">
        <f t="shared" si="1"/>
        <v>#REF!</v>
      </c>
      <c r="K20" s="85" t="e">
        <f t="shared" si="2"/>
        <v>#REF!</v>
      </c>
      <c r="L20" s="85"/>
      <c r="M20" s="85" t="e">
        <f t="shared" si="3"/>
        <v>#REF!</v>
      </c>
      <c r="N20" s="86">
        <f t="shared" si="4"/>
        <v>4757500</v>
      </c>
      <c r="O20" s="87"/>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137">
        <f t="shared" si="5"/>
        <v>0</v>
      </c>
      <c r="AP20" s="133"/>
      <c r="AQ20" s="69"/>
      <c r="AR20" s="69"/>
      <c r="AS20" s="69"/>
      <c r="AT20" s="69"/>
      <c r="AU20" s="69"/>
      <c r="AV20" s="69"/>
      <c r="AW20" s="69"/>
      <c r="AX20" s="69"/>
      <c r="AY20" s="69"/>
    </row>
    <row r="21" ht="15.75" customHeight="1" spans="1:51">
      <c r="A21" s="34" t="s">
        <v>139</v>
      </c>
      <c r="B21" s="35">
        <v>45157</v>
      </c>
      <c r="C21" s="37"/>
      <c r="D21" s="37">
        <f t="shared" si="0"/>
        <v>0</v>
      </c>
      <c r="E21" s="38"/>
      <c r="F21" s="38"/>
      <c r="G21" s="38"/>
      <c r="H21" s="38"/>
      <c r="I21" s="38" t="e">
        <f>'Détail Dépenses'!#REF!</f>
        <v>#REF!</v>
      </c>
      <c r="J21" s="24" t="e">
        <f t="shared" si="1"/>
        <v>#REF!</v>
      </c>
      <c r="K21" s="85" t="e">
        <f t="shared" si="2"/>
        <v>#REF!</v>
      </c>
      <c r="L21" s="85"/>
      <c r="M21" s="85" t="e">
        <f t="shared" si="3"/>
        <v>#REF!</v>
      </c>
      <c r="N21" s="86">
        <f t="shared" si="4"/>
        <v>4757500</v>
      </c>
      <c r="O21" s="87"/>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137">
        <f t="shared" si="5"/>
        <v>0</v>
      </c>
      <c r="AP21" s="133"/>
      <c r="AQ21" s="69"/>
      <c r="AR21" s="69"/>
      <c r="AS21" s="69"/>
      <c r="AT21" s="69"/>
      <c r="AU21" s="69"/>
      <c r="AV21" s="69"/>
      <c r="AW21" s="69"/>
      <c r="AX21" s="69"/>
      <c r="AY21" s="69"/>
    </row>
    <row r="22" ht="15.75" customHeight="1" spans="1:51">
      <c r="A22" s="39" t="s">
        <v>140</v>
      </c>
      <c r="B22" s="40">
        <v>45158</v>
      </c>
      <c r="C22" s="41"/>
      <c r="D22" s="41">
        <f t="shared" si="0"/>
        <v>0</v>
      </c>
      <c r="E22" s="42"/>
      <c r="F22" s="42"/>
      <c r="G22" s="42"/>
      <c r="H22" s="42"/>
      <c r="I22" s="42" t="e">
        <f>'Détail Dépenses'!#REF!</f>
        <v>#REF!</v>
      </c>
      <c r="J22" s="89" t="e">
        <f t="shared" si="1"/>
        <v>#REF!</v>
      </c>
      <c r="K22" s="90" t="e">
        <f t="shared" si="2"/>
        <v>#REF!</v>
      </c>
      <c r="L22" s="90"/>
      <c r="M22" s="90" t="e">
        <f t="shared" si="3"/>
        <v>#REF!</v>
      </c>
      <c r="N22" s="91">
        <f t="shared" si="4"/>
        <v>4757500</v>
      </c>
      <c r="O22" s="92"/>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138">
        <f t="shared" si="5"/>
        <v>0</v>
      </c>
      <c r="AP22" s="133"/>
      <c r="AQ22" s="69"/>
      <c r="AR22" s="69"/>
      <c r="AS22" s="69"/>
      <c r="AT22" s="69"/>
      <c r="AU22" s="69"/>
      <c r="AV22" s="69"/>
      <c r="AW22" s="69"/>
      <c r="AX22" s="69"/>
      <c r="AY22" s="69"/>
    </row>
    <row r="23" ht="15.75" customHeight="1" spans="1:51">
      <c r="A23" s="30" t="s">
        <v>141</v>
      </c>
      <c r="B23" s="31">
        <v>45159</v>
      </c>
      <c r="C23" s="32"/>
      <c r="D23" s="32">
        <f t="shared" si="0"/>
        <v>0</v>
      </c>
      <c r="E23" s="33"/>
      <c r="F23" s="33"/>
      <c r="G23" s="33"/>
      <c r="H23" s="33"/>
      <c r="I23" s="33" t="e">
        <f>'Détail Dépenses'!#REF!</f>
        <v>#REF!</v>
      </c>
      <c r="J23" s="80" t="e">
        <f t="shared" si="1"/>
        <v>#REF!</v>
      </c>
      <c r="K23" s="81" t="e">
        <f t="shared" si="2"/>
        <v>#REF!</v>
      </c>
      <c r="L23" s="81"/>
      <c r="M23" s="81" t="e">
        <f t="shared" si="3"/>
        <v>#REF!</v>
      </c>
      <c r="N23" s="82">
        <f t="shared" si="4"/>
        <v>4757500</v>
      </c>
      <c r="O23" s="83"/>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136">
        <f t="shared" si="5"/>
        <v>0</v>
      </c>
      <c r="AP23" s="133"/>
      <c r="AQ23" s="69"/>
      <c r="AR23" s="69"/>
      <c r="AS23" s="69"/>
      <c r="AT23" s="69"/>
      <c r="AU23" s="69"/>
      <c r="AV23" s="69"/>
      <c r="AW23" s="69"/>
      <c r="AX23" s="69"/>
      <c r="AY23" s="69"/>
    </row>
    <row r="24" ht="15.75" customHeight="1" spans="1:51">
      <c r="A24" s="34" t="s">
        <v>142</v>
      </c>
      <c r="B24" s="35">
        <v>45160</v>
      </c>
      <c r="C24" s="36"/>
      <c r="D24" s="37">
        <f t="shared" si="0"/>
        <v>0</v>
      </c>
      <c r="E24" s="38"/>
      <c r="F24" s="38"/>
      <c r="G24" s="38"/>
      <c r="H24" s="38"/>
      <c r="I24" s="38" t="e">
        <f>'Détail Dépenses'!#REF!</f>
        <v>#REF!</v>
      </c>
      <c r="J24" s="24" t="e">
        <f t="shared" si="1"/>
        <v>#REF!</v>
      </c>
      <c r="K24" s="85" t="e">
        <f t="shared" si="2"/>
        <v>#REF!</v>
      </c>
      <c r="L24" s="85"/>
      <c r="M24" s="85" t="e">
        <f t="shared" si="3"/>
        <v>#REF!</v>
      </c>
      <c r="N24" s="86">
        <f t="shared" si="4"/>
        <v>4757500</v>
      </c>
      <c r="O24" s="87"/>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137">
        <f t="shared" si="5"/>
        <v>0</v>
      </c>
      <c r="AP24" s="133"/>
      <c r="AQ24" s="69"/>
      <c r="AR24" s="69"/>
      <c r="AS24" s="69"/>
      <c r="AT24" s="69"/>
      <c r="AU24" s="69"/>
      <c r="AV24" s="69"/>
      <c r="AW24" s="69"/>
      <c r="AX24" s="69"/>
      <c r="AY24" s="69"/>
    </row>
    <row r="25" ht="15.75" customHeight="1" spans="1:51">
      <c r="A25" s="34" t="s">
        <v>143</v>
      </c>
      <c r="B25" s="35">
        <v>45161</v>
      </c>
      <c r="C25" s="36"/>
      <c r="D25" s="37">
        <f t="shared" si="0"/>
        <v>0</v>
      </c>
      <c r="E25" s="38"/>
      <c r="F25" s="38"/>
      <c r="G25" s="38"/>
      <c r="H25" s="38"/>
      <c r="I25" s="38" t="e">
        <f>'Détail Dépenses'!#REF!</f>
        <v>#REF!</v>
      </c>
      <c r="J25" s="24" t="e">
        <f t="shared" si="1"/>
        <v>#REF!</v>
      </c>
      <c r="K25" s="85" t="e">
        <f t="shared" si="2"/>
        <v>#REF!</v>
      </c>
      <c r="L25" s="85"/>
      <c r="M25" s="85" t="e">
        <f t="shared" si="3"/>
        <v>#REF!</v>
      </c>
      <c r="N25" s="86">
        <f t="shared" si="4"/>
        <v>4757500</v>
      </c>
      <c r="O25" s="87"/>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137">
        <f t="shared" si="5"/>
        <v>0</v>
      </c>
      <c r="AP25" s="133"/>
      <c r="AQ25" s="69"/>
      <c r="AR25" s="69"/>
      <c r="AS25" s="69"/>
      <c r="AT25" s="69"/>
      <c r="AU25" s="69"/>
      <c r="AV25" s="69"/>
      <c r="AW25" s="69"/>
      <c r="AX25" s="69"/>
      <c r="AY25" s="69"/>
    </row>
    <row r="26" ht="15.75" customHeight="1" spans="1:51">
      <c r="A26" s="34" t="s">
        <v>144</v>
      </c>
      <c r="B26" s="35">
        <v>45162</v>
      </c>
      <c r="C26" s="37"/>
      <c r="D26" s="37">
        <f t="shared" si="0"/>
        <v>0</v>
      </c>
      <c r="E26" s="38"/>
      <c r="F26" s="38"/>
      <c r="G26" s="38"/>
      <c r="H26" s="38"/>
      <c r="I26" s="38" t="e">
        <f>'Détail Dépenses'!#REF!</f>
        <v>#REF!</v>
      </c>
      <c r="J26" s="24" t="e">
        <f t="shared" si="1"/>
        <v>#REF!</v>
      </c>
      <c r="K26" s="85" t="e">
        <f t="shared" si="2"/>
        <v>#REF!</v>
      </c>
      <c r="L26" s="85"/>
      <c r="M26" s="85" t="e">
        <f t="shared" si="3"/>
        <v>#REF!</v>
      </c>
      <c r="N26" s="86">
        <f t="shared" si="4"/>
        <v>4757500</v>
      </c>
      <c r="O26" s="87"/>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137">
        <f t="shared" si="5"/>
        <v>0</v>
      </c>
      <c r="AP26" s="133"/>
      <c r="AQ26" s="69"/>
      <c r="AR26" s="69"/>
      <c r="AS26" s="69"/>
      <c r="AT26" s="69"/>
      <c r="AU26" s="69"/>
      <c r="AV26" s="69"/>
      <c r="AW26" s="69"/>
      <c r="AX26" s="69"/>
      <c r="AY26" s="69"/>
    </row>
    <row r="27" ht="15.75" customHeight="1" spans="1:51">
      <c r="A27" s="34" t="s">
        <v>145</v>
      </c>
      <c r="B27" s="35">
        <v>45163</v>
      </c>
      <c r="C27" s="37"/>
      <c r="D27" s="37">
        <f t="shared" si="0"/>
        <v>0</v>
      </c>
      <c r="E27" s="38"/>
      <c r="F27" s="38"/>
      <c r="G27" s="38"/>
      <c r="H27" s="38"/>
      <c r="I27" s="38" t="e">
        <f>'Détail Dépenses'!#REF!</f>
        <v>#REF!</v>
      </c>
      <c r="J27" s="24" t="e">
        <f t="shared" si="1"/>
        <v>#REF!</v>
      </c>
      <c r="K27" s="85" t="e">
        <f t="shared" si="2"/>
        <v>#REF!</v>
      </c>
      <c r="L27" s="85"/>
      <c r="M27" s="85" t="e">
        <f t="shared" si="3"/>
        <v>#REF!</v>
      </c>
      <c r="N27" s="86">
        <f t="shared" si="4"/>
        <v>4757500</v>
      </c>
      <c r="O27" s="87"/>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137">
        <f t="shared" si="5"/>
        <v>0</v>
      </c>
      <c r="AP27" s="133"/>
      <c r="AQ27" s="69"/>
      <c r="AR27" s="69"/>
      <c r="AS27" s="69"/>
      <c r="AT27" s="69"/>
      <c r="AU27" s="69"/>
      <c r="AV27" s="69"/>
      <c r="AW27" s="69"/>
      <c r="AX27" s="69"/>
      <c r="AY27" s="69"/>
    </row>
    <row r="28" ht="15.75" customHeight="1" spans="1:51">
      <c r="A28" s="34" t="s">
        <v>139</v>
      </c>
      <c r="B28" s="35">
        <v>45164</v>
      </c>
      <c r="C28" s="37"/>
      <c r="D28" s="37">
        <f t="shared" si="0"/>
        <v>0</v>
      </c>
      <c r="E28" s="38"/>
      <c r="F28" s="38"/>
      <c r="G28" s="38"/>
      <c r="H28" s="38"/>
      <c r="I28" s="38" t="e">
        <f>'Détail Dépenses'!#REF!</f>
        <v>#REF!</v>
      </c>
      <c r="J28" s="24" t="e">
        <f t="shared" si="1"/>
        <v>#REF!</v>
      </c>
      <c r="K28" s="85" t="e">
        <f t="shared" si="2"/>
        <v>#REF!</v>
      </c>
      <c r="L28" s="85"/>
      <c r="M28" s="85" t="e">
        <f t="shared" si="3"/>
        <v>#REF!</v>
      </c>
      <c r="N28" s="86">
        <f t="shared" si="4"/>
        <v>4757500</v>
      </c>
      <c r="O28" s="87"/>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137">
        <f t="shared" si="5"/>
        <v>0</v>
      </c>
      <c r="AP28" s="133"/>
      <c r="AQ28" s="69"/>
      <c r="AR28" s="69"/>
      <c r="AS28" s="69"/>
      <c r="AT28" s="69"/>
      <c r="AU28" s="69"/>
      <c r="AV28" s="69"/>
      <c r="AW28" s="69"/>
      <c r="AX28" s="69"/>
      <c r="AY28" s="69"/>
    </row>
    <row r="29" ht="15.75" customHeight="1" spans="1:51">
      <c r="A29" s="39" t="s">
        <v>140</v>
      </c>
      <c r="B29" s="40">
        <v>45165</v>
      </c>
      <c r="C29" s="44"/>
      <c r="D29" s="41">
        <f t="shared" si="0"/>
        <v>0</v>
      </c>
      <c r="E29" s="42"/>
      <c r="F29" s="42"/>
      <c r="G29" s="42"/>
      <c r="H29" s="42"/>
      <c r="I29" s="42" t="e">
        <f>'Détail Dépenses'!#REF!</f>
        <v>#REF!</v>
      </c>
      <c r="J29" s="89" t="e">
        <f t="shared" si="1"/>
        <v>#REF!</v>
      </c>
      <c r="K29" s="90" t="e">
        <f t="shared" si="2"/>
        <v>#REF!</v>
      </c>
      <c r="L29" s="90"/>
      <c r="M29" s="90" t="e">
        <f t="shared" si="3"/>
        <v>#REF!</v>
      </c>
      <c r="N29" s="91">
        <f t="shared" si="4"/>
        <v>4757500</v>
      </c>
      <c r="O29" s="92"/>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138">
        <f t="shared" si="5"/>
        <v>0</v>
      </c>
      <c r="AP29" s="133"/>
      <c r="AQ29" s="69"/>
      <c r="AR29" s="69"/>
      <c r="AS29" s="69"/>
      <c r="AT29" s="69"/>
      <c r="AU29" s="69"/>
      <c r="AV29" s="69"/>
      <c r="AW29" s="69"/>
      <c r="AX29" s="69"/>
      <c r="AY29" s="69"/>
    </row>
    <row r="30" ht="15.75" customHeight="1" spans="1:51">
      <c r="A30" s="30" t="s">
        <v>141</v>
      </c>
      <c r="B30" s="31">
        <v>45166</v>
      </c>
      <c r="C30" s="43"/>
      <c r="D30" s="32">
        <f t="shared" si="0"/>
        <v>0</v>
      </c>
      <c r="E30" s="33"/>
      <c r="F30" s="33"/>
      <c r="G30" s="33"/>
      <c r="H30" s="33"/>
      <c r="I30" s="33" t="e">
        <f>'Détail Dépenses'!#REF!</f>
        <v>#REF!</v>
      </c>
      <c r="J30" s="80" t="e">
        <f t="shared" si="1"/>
        <v>#REF!</v>
      </c>
      <c r="K30" s="81" t="e">
        <f t="shared" si="2"/>
        <v>#REF!</v>
      </c>
      <c r="L30" s="81"/>
      <c r="M30" s="81" t="e">
        <f t="shared" si="3"/>
        <v>#REF!</v>
      </c>
      <c r="N30" s="82">
        <f t="shared" si="4"/>
        <v>4757500</v>
      </c>
      <c r="O30" s="83"/>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136">
        <f t="shared" si="5"/>
        <v>0</v>
      </c>
      <c r="AP30" s="133"/>
      <c r="AQ30" s="69"/>
      <c r="AR30" s="69"/>
      <c r="AS30" s="69"/>
      <c r="AT30" s="69"/>
      <c r="AU30" s="69"/>
      <c r="AV30" s="69"/>
      <c r="AW30" s="69"/>
      <c r="AX30" s="69"/>
      <c r="AY30" s="69"/>
    </row>
    <row r="31" ht="15.75" customHeight="1" spans="1:51">
      <c r="A31" s="34" t="s">
        <v>142</v>
      </c>
      <c r="B31" s="35">
        <v>45167</v>
      </c>
      <c r="C31" s="37"/>
      <c r="D31" s="37">
        <f t="shared" si="0"/>
        <v>0</v>
      </c>
      <c r="E31" s="38"/>
      <c r="F31" s="38"/>
      <c r="G31" s="38"/>
      <c r="H31" s="38"/>
      <c r="I31" s="38" t="e">
        <f>'Détail Dépenses'!#REF!</f>
        <v>#REF!</v>
      </c>
      <c r="J31" s="24" t="e">
        <f t="shared" si="1"/>
        <v>#REF!</v>
      </c>
      <c r="K31" s="85" t="e">
        <f t="shared" si="2"/>
        <v>#REF!</v>
      </c>
      <c r="L31" s="85"/>
      <c r="M31" s="85" t="e">
        <f t="shared" si="3"/>
        <v>#REF!</v>
      </c>
      <c r="N31" s="86">
        <f t="shared" si="4"/>
        <v>4757500</v>
      </c>
      <c r="O31" s="87"/>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137">
        <f t="shared" si="5"/>
        <v>0</v>
      </c>
      <c r="AP31" s="133"/>
      <c r="AQ31" s="69"/>
      <c r="AR31" s="69"/>
      <c r="AS31" s="69"/>
      <c r="AT31" s="69"/>
      <c r="AU31" s="69"/>
      <c r="AV31" s="69"/>
      <c r="AW31" s="69"/>
      <c r="AX31" s="69"/>
      <c r="AY31" s="69"/>
    </row>
    <row r="32" ht="15.75" customHeight="1" spans="1:51">
      <c r="A32" s="34" t="s">
        <v>143</v>
      </c>
      <c r="B32" s="35">
        <v>45168</v>
      </c>
      <c r="C32" s="37"/>
      <c r="D32" s="37">
        <f t="shared" si="0"/>
        <v>0</v>
      </c>
      <c r="E32" s="38"/>
      <c r="F32" s="38"/>
      <c r="G32" s="38"/>
      <c r="H32" s="38"/>
      <c r="I32" s="38" t="e">
        <f>'Détail Dépenses'!#REF!</f>
        <v>#REF!</v>
      </c>
      <c r="J32" s="24" t="e">
        <f t="shared" si="1"/>
        <v>#REF!</v>
      </c>
      <c r="K32" s="85" t="e">
        <f t="shared" si="2"/>
        <v>#REF!</v>
      </c>
      <c r="L32" s="85"/>
      <c r="M32" s="85" t="e">
        <f t="shared" si="3"/>
        <v>#REF!</v>
      </c>
      <c r="N32" s="86">
        <f t="shared" si="4"/>
        <v>4757500</v>
      </c>
      <c r="O32" s="87"/>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137">
        <f t="shared" si="5"/>
        <v>0</v>
      </c>
      <c r="AP32" s="133"/>
      <c r="AQ32" s="69"/>
      <c r="AR32" s="69"/>
      <c r="AS32" s="69"/>
      <c r="AT32" s="69"/>
      <c r="AU32" s="69"/>
      <c r="AV32" s="69"/>
      <c r="AW32" s="69"/>
      <c r="AX32" s="69"/>
      <c r="AY32" s="69"/>
    </row>
    <row r="33" ht="15.75" customHeight="1" spans="1:51">
      <c r="A33" s="45" t="s">
        <v>144</v>
      </c>
      <c r="B33" s="46">
        <v>45169</v>
      </c>
      <c r="C33" s="41"/>
      <c r="D33" s="41">
        <f t="shared" si="0"/>
        <v>0</v>
      </c>
      <c r="E33" s="42"/>
      <c r="F33" s="42"/>
      <c r="G33" s="42"/>
      <c r="H33" s="42"/>
      <c r="I33" s="42" t="e">
        <f>'Détail Dépenses'!#REF!</f>
        <v>#REF!</v>
      </c>
      <c r="J33" s="89" t="e">
        <f t="shared" si="1"/>
        <v>#REF!</v>
      </c>
      <c r="K33" s="90" t="e">
        <f t="shared" si="2"/>
        <v>#REF!</v>
      </c>
      <c r="L33" s="94"/>
      <c r="M33" s="90" t="e">
        <f t="shared" si="3"/>
        <v>#REF!</v>
      </c>
      <c r="N33" s="91">
        <f t="shared" si="4"/>
        <v>4757500</v>
      </c>
      <c r="O33" s="92"/>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138">
        <f t="shared" si="5"/>
        <v>0</v>
      </c>
      <c r="AP33" s="133"/>
      <c r="AQ33" s="69"/>
      <c r="AR33" s="69"/>
      <c r="AS33" s="69"/>
      <c r="AT33" s="69"/>
      <c r="AU33" s="69"/>
      <c r="AV33" s="69"/>
      <c r="AW33" s="69"/>
      <c r="AX33" s="69"/>
      <c r="AY33" s="69"/>
    </row>
    <row r="34" ht="16.5" customHeight="1" spans="1:51">
      <c r="A34" s="47"/>
      <c r="B34" s="48" t="s">
        <v>44</v>
      </c>
      <c r="C34" s="49">
        <f t="shared" ref="C34:I34" si="6">SUM(C3:C33)</f>
        <v>7057250</v>
      </c>
      <c r="D34" s="49">
        <f t="shared" si="6"/>
        <v>6962750</v>
      </c>
      <c r="E34" s="49">
        <f t="shared" si="6"/>
        <v>15000</v>
      </c>
      <c r="F34" s="49">
        <f t="shared" si="6"/>
        <v>0</v>
      </c>
      <c r="G34" s="49">
        <f t="shared" si="6"/>
        <v>78000</v>
      </c>
      <c r="H34" s="49">
        <f t="shared" si="6"/>
        <v>1500</v>
      </c>
      <c r="I34" s="49" t="e">
        <f t="shared" si="6"/>
        <v>#REF!</v>
      </c>
      <c r="J34" s="49"/>
      <c r="K34" s="49" t="e">
        <f t="shared" ref="K34:M34" si="7">SUM(K3:K33)</f>
        <v>#REF!</v>
      </c>
      <c r="L34" s="95">
        <f t="shared" si="7"/>
        <v>4757500</v>
      </c>
      <c r="M34" s="49" t="e">
        <f t="shared" si="7"/>
        <v>#REF!</v>
      </c>
      <c r="N34" s="49">
        <f>N33</f>
        <v>4757500</v>
      </c>
      <c r="O34" s="96"/>
      <c r="P34" s="49">
        <f t="shared" ref="P34:AN34" si="8">SUM(P3:P33)</f>
        <v>128000</v>
      </c>
      <c r="Q34" s="49">
        <f t="shared" si="8"/>
        <v>60000</v>
      </c>
      <c r="R34" s="49">
        <f t="shared" si="8"/>
        <v>142000</v>
      </c>
      <c r="S34" s="49">
        <f t="shared" si="8"/>
        <v>34500</v>
      </c>
      <c r="T34" s="49">
        <f t="shared" si="8"/>
        <v>0</v>
      </c>
      <c r="U34" s="49">
        <f t="shared" si="8"/>
        <v>0</v>
      </c>
      <c r="V34" s="49">
        <f t="shared" si="8"/>
        <v>33500</v>
      </c>
      <c r="W34" s="49">
        <f t="shared" si="8"/>
        <v>6000</v>
      </c>
      <c r="X34" s="49">
        <f t="shared" si="8"/>
        <v>1006500</v>
      </c>
      <c r="Y34" s="49">
        <f t="shared" si="8"/>
        <v>99500</v>
      </c>
      <c r="Z34" s="49">
        <f t="shared" si="8"/>
        <v>4000</v>
      </c>
      <c r="AA34" s="49">
        <f t="shared" si="8"/>
        <v>1500</v>
      </c>
      <c r="AB34" s="49">
        <f t="shared" si="8"/>
        <v>2000</v>
      </c>
      <c r="AC34" s="49">
        <f t="shared" si="8"/>
        <v>0</v>
      </c>
      <c r="AD34" s="49">
        <f t="shared" si="8"/>
        <v>0</v>
      </c>
      <c r="AE34" s="49">
        <f t="shared" si="8"/>
        <v>500</v>
      </c>
      <c r="AF34" s="49">
        <f t="shared" si="8"/>
        <v>6500</v>
      </c>
      <c r="AG34" s="49">
        <f t="shared" si="8"/>
        <v>0</v>
      </c>
      <c r="AH34" s="49">
        <f t="shared" si="8"/>
        <v>1000</v>
      </c>
      <c r="AI34" s="49">
        <f t="shared" si="8"/>
        <v>0</v>
      </c>
      <c r="AJ34" s="49">
        <f t="shared" si="8"/>
        <v>0</v>
      </c>
      <c r="AK34" s="49">
        <f t="shared" si="8"/>
        <v>3500</v>
      </c>
      <c r="AL34" s="49">
        <f t="shared" si="8"/>
        <v>4500</v>
      </c>
      <c r="AM34" s="49">
        <f t="shared" si="8"/>
        <v>0</v>
      </c>
      <c r="AN34" s="49">
        <f t="shared" si="8"/>
        <v>2500</v>
      </c>
      <c r="AO34" s="49">
        <f>SUM(P34:AN34)-X34</f>
        <v>529500</v>
      </c>
      <c r="AP34" s="133"/>
      <c r="AQ34" s="69"/>
      <c r="AR34" s="69"/>
      <c r="AS34" s="69"/>
      <c r="AT34" s="69"/>
      <c r="AU34" s="69"/>
      <c r="AV34" s="69"/>
      <c r="AW34" s="69"/>
      <c r="AX34" s="69"/>
      <c r="AY34" s="69"/>
    </row>
    <row r="35" ht="15.75" customHeight="1" spans="1:51">
      <c r="A35" s="50"/>
      <c r="B35" s="51" t="s">
        <v>40</v>
      </c>
      <c r="C35" s="50"/>
      <c r="D35" s="50"/>
      <c r="E35" s="50">
        <f t="shared" ref="E35:I35" si="9">E34/$C$34</f>
        <v>0.00212547380353537</v>
      </c>
      <c r="F35" s="50">
        <f t="shared" si="9"/>
        <v>0</v>
      </c>
      <c r="G35" s="50">
        <f t="shared" si="9"/>
        <v>0.0110524637783839</v>
      </c>
      <c r="H35" s="50">
        <f t="shared" si="9"/>
        <v>0.000212547380353537</v>
      </c>
      <c r="I35" s="50" t="e">
        <f t="shared" si="9"/>
        <v>#REF!</v>
      </c>
      <c r="J35" s="50"/>
      <c r="K35" s="50" t="e">
        <f>K34/$C$34</f>
        <v>#REF!</v>
      </c>
      <c r="L35" s="50">
        <f>L33/$C$34</f>
        <v>0</v>
      </c>
      <c r="M35" s="50" t="e">
        <f>M34/$C$34</f>
        <v>#REF!</v>
      </c>
      <c r="N35" s="50"/>
      <c r="O35" s="97"/>
      <c r="P35" s="50">
        <f t="shared" ref="P35:AL35" si="10">P34/$C$34</f>
        <v>0.0181373764568352</v>
      </c>
      <c r="Q35" s="50">
        <f t="shared" si="10"/>
        <v>0.00850189521414149</v>
      </c>
      <c r="R35" s="50">
        <f t="shared" si="10"/>
        <v>0.0201211520068015</v>
      </c>
      <c r="S35" s="50">
        <f t="shared" si="10"/>
        <v>0.00488858974813135</v>
      </c>
      <c r="T35" s="50">
        <f t="shared" si="10"/>
        <v>0</v>
      </c>
      <c r="U35" s="50">
        <f t="shared" si="10"/>
        <v>0</v>
      </c>
      <c r="V35" s="50">
        <f t="shared" si="10"/>
        <v>0.00474689149456233</v>
      </c>
      <c r="W35" s="50">
        <f t="shared" si="10"/>
        <v>0.000850189521414149</v>
      </c>
      <c r="X35" s="50">
        <f t="shared" si="10"/>
        <v>0.142619292217223</v>
      </c>
      <c r="Y35" s="50">
        <f t="shared" si="10"/>
        <v>0.014098976230118</v>
      </c>
      <c r="Z35" s="50">
        <f t="shared" si="10"/>
        <v>0.000566793014276099</v>
      </c>
      <c r="AA35" s="50">
        <f t="shared" si="10"/>
        <v>0.000212547380353537</v>
      </c>
      <c r="AB35" s="50">
        <f t="shared" si="10"/>
        <v>0.00028339650713805</v>
      </c>
      <c r="AC35" s="50">
        <f t="shared" si="10"/>
        <v>0</v>
      </c>
      <c r="AD35" s="50">
        <f t="shared" si="10"/>
        <v>0</v>
      </c>
      <c r="AE35" s="50">
        <f t="shared" si="10"/>
        <v>7.08491267845124e-5</v>
      </c>
      <c r="AF35" s="50">
        <f t="shared" si="10"/>
        <v>0.000921038648198661</v>
      </c>
      <c r="AG35" s="50">
        <f t="shared" si="10"/>
        <v>0</v>
      </c>
      <c r="AH35" s="50">
        <f t="shared" si="10"/>
        <v>0.000141698253569025</v>
      </c>
      <c r="AI35" s="50">
        <f t="shared" si="10"/>
        <v>0</v>
      </c>
      <c r="AJ35" s="50">
        <f t="shared" si="10"/>
        <v>0</v>
      </c>
      <c r="AK35" s="50">
        <f t="shared" si="10"/>
        <v>0.000495943887491587</v>
      </c>
      <c r="AL35" s="50">
        <f t="shared" si="10"/>
        <v>0.000637642141060611</v>
      </c>
      <c r="AM35" s="50"/>
      <c r="AN35" s="50">
        <f t="shared" ref="AN35:AO35" si="11">AN34/$C$34</f>
        <v>0.000354245633922562</v>
      </c>
      <c r="AO35" s="50">
        <f t="shared" si="11"/>
        <v>0.0750292252647986</v>
      </c>
      <c r="AP35" s="133"/>
      <c r="AQ35" s="69"/>
      <c r="AR35" s="69"/>
      <c r="AS35" s="69"/>
      <c r="AT35" s="69"/>
      <c r="AU35" s="69"/>
      <c r="AV35" s="69"/>
      <c r="AW35" s="69"/>
      <c r="AX35" s="69"/>
      <c r="AY35" s="69"/>
    </row>
    <row r="36" ht="15.75" customHeight="1" spans="1:51">
      <c r="A36" s="50"/>
      <c r="B36" s="51" t="s">
        <v>148</v>
      </c>
      <c r="C36" s="50">
        <f>C34/'JUILLET 23'!C33-1</f>
        <v>16.3930991990142</v>
      </c>
      <c r="D36" s="50">
        <f>D34/'JUILLET 23'!D33-1</f>
        <v>16.4177611006879</v>
      </c>
      <c r="E36" s="50" t="e">
        <f>E34/'JUILLET 23'!E33-1</f>
        <v>#DIV/0!</v>
      </c>
      <c r="F36" s="50" t="e">
        <f>F34/'JUILLET 23'!F33-1</f>
        <v>#DIV/0!</v>
      </c>
      <c r="G36" s="50">
        <f>G34/'JUILLET 23'!G33-1</f>
        <v>12</v>
      </c>
      <c r="H36" s="50" t="e">
        <f>H34/'JUILLET 23'!H33-1</f>
        <v>#DIV/0!</v>
      </c>
      <c r="I36" s="50" t="e">
        <f>I34/'JUILLET 23'!I33-1</f>
        <v>#REF!</v>
      </c>
      <c r="J36" s="50">
        <f>J34/'JUILLET 23'!J33-1</f>
        <v>-1</v>
      </c>
      <c r="K36" s="50" t="e">
        <f>K34/'JUILLET 23'!K33-1</f>
        <v>#REF!</v>
      </c>
      <c r="L36" s="50">
        <f>L34/'JUILLET 23'!L33-1</f>
        <v>-12.5543412264724</v>
      </c>
      <c r="M36" s="50" t="e">
        <f>M34/'JUILLET 23'!M33-1</f>
        <v>#REF!</v>
      </c>
      <c r="N36" s="50">
        <f>N34/'JUILLET 23'!N33-1</f>
        <v>-0.502447237967747</v>
      </c>
      <c r="O36" s="98"/>
      <c r="P36" s="50">
        <f>P34/'JUILLET 23'!P33-1</f>
        <v>18.6923076923077</v>
      </c>
      <c r="Q36" s="50" t="e">
        <f>Q34/'JUILLET 23'!Q33-1</f>
        <v>#DIV/0!</v>
      </c>
      <c r="R36" s="50">
        <f>R34/'JUILLET 23'!R33-1</f>
        <v>8.79310344827586</v>
      </c>
      <c r="S36" s="50" t="e">
        <f>S34/'JUILLET 23'!S33-1</f>
        <v>#DIV/0!</v>
      </c>
      <c r="T36" s="50" t="e">
        <f>T34/'JUILLET 23'!T33-1</f>
        <v>#DIV/0!</v>
      </c>
      <c r="U36" s="50" t="e">
        <f>U34/'JUILLET 23'!U33-1</f>
        <v>#DIV/0!</v>
      </c>
      <c r="V36" s="50">
        <f>V34/'JUILLET 23'!V33-1</f>
        <v>5.09090909090909</v>
      </c>
      <c r="W36" s="50" t="e">
        <f>W34/'JUILLET 23'!W33-1</f>
        <v>#DIV/0!</v>
      </c>
      <c r="X36" s="50">
        <f>X34/'JUILLET 23'!X33-1</f>
        <v>11.1265060240964</v>
      </c>
      <c r="Y36" s="50" t="e">
        <f>Y34/'JUILLET 23'!Y33-1</f>
        <v>#DIV/0!</v>
      </c>
      <c r="Z36" s="50">
        <f>Z34/'JUILLET 23'!Z33-1</f>
        <v>3</v>
      </c>
      <c r="AA36" s="50" t="e">
        <f>AA34/'JUILLET 23'!AA33-1</f>
        <v>#DIV/0!</v>
      </c>
      <c r="AB36" s="50">
        <f>AB34/'JUILLET 23'!AB33-1</f>
        <v>3</v>
      </c>
      <c r="AC36" s="50" t="e">
        <f>AC34/'JUILLET 23'!AC33-1</f>
        <v>#DIV/0!</v>
      </c>
      <c r="AD36" s="50" t="e">
        <f>AD34/'JUILLET 23'!AD33-1</f>
        <v>#DIV/0!</v>
      </c>
      <c r="AE36" s="50" t="e">
        <f>AE34/'JUILLET 23'!AE33-1</f>
        <v>#DIV/0!</v>
      </c>
      <c r="AF36" s="50" t="e">
        <f>AF34/'JUILLET 23'!AF33-1</f>
        <v>#DIV/0!</v>
      </c>
      <c r="AG36" s="50" t="e">
        <f>AG34/'JUILLET 23'!AG33-1</f>
        <v>#DIV/0!</v>
      </c>
      <c r="AH36" s="50" t="e">
        <f>AH34/'JUILLET 23'!AH33-1</f>
        <v>#DIV/0!</v>
      </c>
      <c r="AI36" s="50" t="e">
        <f>AI34/'JUILLET 23'!AI33-1</f>
        <v>#DIV/0!</v>
      </c>
      <c r="AJ36" s="50" t="e">
        <f>AJ34/'JUILLET 23'!AJ33-1</f>
        <v>#DIV/0!</v>
      </c>
      <c r="AK36" s="50" t="e">
        <f>AK34/'JUILLET 23'!AK33-1</f>
        <v>#DIV/0!</v>
      </c>
      <c r="AL36" s="50">
        <f>AL34/'JUILLET 23'!AL33-1</f>
        <v>-0.4</v>
      </c>
      <c r="AM36" s="50" t="e">
        <f>AM34/'JUILLET 23'!AM33-1</f>
        <v>#DIV/0!</v>
      </c>
      <c r="AN36" s="50">
        <f>AN34/'JUILLET 23'!AN33-1</f>
        <v>1.5</v>
      </c>
      <c r="AO36" s="50">
        <f>AO34/'JUILLET 23'!AO33-1</f>
        <v>3.43096234309623</v>
      </c>
      <c r="AP36" s="133"/>
      <c r="AQ36" s="69"/>
      <c r="AR36" s="69"/>
      <c r="AS36" s="69"/>
      <c r="AT36" s="69"/>
      <c r="AU36" s="69"/>
      <c r="AV36" s="69"/>
      <c r="AW36" s="69"/>
      <c r="AX36" s="69"/>
      <c r="AY36" s="69"/>
    </row>
    <row r="37" ht="15.75" customHeight="1" spans="1:51">
      <c r="A37" s="52" t="s">
        <v>156</v>
      </c>
      <c r="B37" s="53">
        <f>C34</f>
        <v>7057250</v>
      </c>
      <c r="C37" s="54"/>
      <c r="D37" s="55"/>
      <c r="E37" s="55"/>
      <c r="F37" s="56"/>
      <c r="G37" s="56"/>
      <c r="H37" s="57"/>
      <c r="I37" s="57"/>
      <c r="J37" s="99"/>
      <c r="K37" s="100"/>
      <c r="L37" s="101"/>
      <c r="M37" s="102"/>
      <c r="N37" s="103"/>
      <c r="O37" s="104" t="s">
        <v>185</v>
      </c>
      <c r="P37" s="105">
        <f>'AVRIL 23'!N15</f>
        <v>25950</v>
      </c>
      <c r="Q37" s="105">
        <f>'AVRIL 23'!O15</f>
        <v>94950</v>
      </c>
      <c r="R37" s="105">
        <f>'AVRIL 23'!P15</f>
        <v>4500</v>
      </c>
      <c r="S37" s="132"/>
      <c r="T37" s="66"/>
      <c r="U37" s="66"/>
      <c r="V37" s="66"/>
      <c r="W37" s="66"/>
      <c r="X37" s="66"/>
      <c r="Y37" s="66"/>
      <c r="Z37" s="66"/>
      <c r="AA37" s="66"/>
      <c r="AB37" s="66"/>
      <c r="AC37" s="66"/>
      <c r="AD37" s="66"/>
      <c r="AE37" s="66"/>
      <c r="AF37" s="66"/>
      <c r="AG37" s="66"/>
      <c r="AH37" s="66"/>
      <c r="AI37" s="66"/>
      <c r="AJ37" s="66"/>
      <c r="AK37" s="66"/>
      <c r="AL37" s="66"/>
      <c r="AM37" s="66"/>
      <c r="AN37" s="66"/>
      <c r="AO37" s="66"/>
      <c r="AP37" s="69"/>
      <c r="AQ37" s="69"/>
      <c r="AR37" s="69"/>
      <c r="AS37" s="69"/>
      <c r="AT37" s="69"/>
      <c r="AU37" s="69"/>
      <c r="AV37" s="69"/>
      <c r="AW37" s="69"/>
      <c r="AX37" s="69"/>
      <c r="AY37" s="69"/>
    </row>
    <row r="38" ht="15.75" customHeight="1" spans="1:51">
      <c r="A38" s="52" t="s">
        <v>176</v>
      </c>
      <c r="B38" s="53" t="e">
        <f>'Détail Dépenses'!#REF!+'Détail Dépenses'!#REF!+'Détail Dépenses'!#REF!+'Détail Dépenses'!#REF!+'Détail Dépenses'!#REF!</f>
        <v>#REF!</v>
      </c>
      <c r="C38" s="58"/>
      <c r="D38" s="59"/>
      <c r="E38" s="59"/>
      <c r="F38" s="59"/>
      <c r="G38" s="59"/>
      <c r="H38" s="60"/>
      <c r="I38" s="106"/>
      <c r="J38" s="107"/>
      <c r="K38" s="108"/>
      <c r="L38" s="109"/>
      <c r="M38" s="110"/>
      <c r="N38" s="111"/>
      <c r="O38" s="104" t="s">
        <v>186</v>
      </c>
      <c r="P38" s="105">
        <f>'MAI 23'!O37</f>
        <v>107550</v>
      </c>
      <c r="Q38" s="105">
        <f>'MAI 23'!P37</f>
        <v>213000</v>
      </c>
      <c r="R38" s="105">
        <f>'MAI 23'!Q37</f>
        <v>70950</v>
      </c>
      <c r="S38" s="133"/>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row>
    <row r="39" ht="15.75" customHeight="1" spans="1:51">
      <c r="A39" s="52" t="s">
        <v>177</v>
      </c>
      <c r="B39" s="53" t="e">
        <f>C34-B38</f>
        <v>#REF!</v>
      </c>
      <c r="C39" s="58"/>
      <c r="D39" s="59"/>
      <c r="E39" s="59"/>
      <c r="F39" s="59"/>
      <c r="G39" s="59"/>
      <c r="H39" s="61"/>
      <c r="I39" s="112"/>
      <c r="J39" s="113"/>
      <c r="K39" s="114"/>
      <c r="L39" s="115"/>
      <c r="M39" s="116"/>
      <c r="N39" s="117"/>
      <c r="O39" s="104" t="s">
        <v>212</v>
      </c>
      <c r="P39" s="105">
        <f>'JUIN 23'!P38</f>
        <v>85200</v>
      </c>
      <c r="Q39" s="105">
        <f>'JUIN 23'!Q38</f>
        <v>115200</v>
      </c>
      <c r="R39" s="105">
        <f>'JUIN 23'!R38</f>
        <v>189150</v>
      </c>
      <c r="S39" s="133"/>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row>
    <row r="40" ht="15.75" customHeight="1" spans="1:51">
      <c r="A40" s="52" t="s">
        <v>178</v>
      </c>
      <c r="B40" s="62" t="e">
        <f>B39/C34</f>
        <v>#REF!</v>
      </c>
      <c r="C40" s="58"/>
      <c r="D40" s="59"/>
      <c r="E40" s="59"/>
      <c r="F40" s="59"/>
      <c r="G40" s="59"/>
      <c r="H40" s="59"/>
      <c r="I40" s="59"/>
      <c r="J40" s="118"/>
      <c r="K40" s="119"/>
      <c r="L40" s="120"/>
      <c r="M40" s="121"/>
      <c r="N40" s="122"/>
      <c r="O40" s="104" t="s">
        <v>218</v>
      </c>
      <c r="P40" s="105">
        <f>'JUILLET 23'!P40</f>
        <v>100275</v>
      </c>
      <c r="Q40" s="105">
        <f>'JUILLET 23'!Q40</f>
        <v>63900</v>
      </c>
      <c r="R40" s="105">
        <f>'JUILLET 23'!R40</f>
        <v>99375</v>
      </c>
      <c r="S40" s="133"/>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row>
    <row r="41" ht="15.75" customHeight="1" spans="1:51">
      <c r="A41" s="52" t="s">
        <v>20</v>
      </c>
      <c r="B41" s="53" t="e">
        <f>SUM('Détail Dépenses'!#REF!)+'Détail Dépenses'!#REF!</f>
        <v>#REF!</v>
      </c>
      <c r="C41" s="58"/>
      <c r="D41" s="59"/>
      <c r="E41" s="59"/>
      <c r="F41" s="59"/>
      <c r="G41" s="59"/>
      <c r="H41" s="59"/>
      <c r="I41" s="59"/>
      <c r="J41" s="118"/>
      <c r="K41" s="119"/>
      <c r="L41" s="120"/>
      <c r="M41" s="121"/>
      <c r="N41" s="122"/>
      <c r="O41" s="104" t="s">
        <v>221</v>
      </c>
      <c r="P41" s="105">
        <f t="shared" ref="P41:R41" si="12">P34*(1-$O$2)</f>
        <v>38400</v>
      </c>
      <c r="Q41" s="105">
        <f t="shared" si="12"/>
        <v>18000</v>
      </c>
      <c r="R41" s="105">
        <f t="shared" si="12"/>
        <v>42600</v>
      </c>
      <c r="S41" s="133"/>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row>
    <row r="42" ht="15.75" customHeight="1" spans="1:51">
      <c r="A42" s="52" t="s">
        <v>213</v>
      </c>
      <c r="B42" s="62" t="e">
        <f>B41/B37</f>
        <v>#REF!</v>
      </c>
      <c r="C42" s="58"/>
      <c r="D42" s="59"/>
      <c r="E42" s="59"/>
      <c r="F42" s="59"/>
      <c r="G42" s="59"/>
      <c r="H42" s="59"/>
      <c r="I42" s="59"/>
      <c r="J42" s="118"/>
      <c r="K42" s="119"/>
      <c r="L42" s="120"/>
      <c r="M42" s="121"/>
      <c r="N42" s="122"/>
      <c r="O42" s="123" t="s">
        <v>219</v>
      </c>
      <c r="P42" s="124">
        <f t="shared" ref="P42:R42" si="13">SUM(P37:P41)</f>
        <v>357375</v>
      </c>
      <c r="Q42" s="124">
        <f t="shared" si="13"/>
        <v>505050</v>
      </c>
      <c r="R42" s="124">
        <f t="shared" si="13"/>
        <v>406575</v>
      </c>
      <c r="S42" s="133"/>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row>
    <row r="43" ht="15.75" customHeight="1" spans="1:51">
      <c r="A43" s="52" t="s">
        <v>179</v>
      </c>
      <c r="B43" s="53" t="e">
        <f>'Détail Dépenses'!#REF!+'Détail Dépenses'!#REF!</f>
        <v>#REF!</v>
      </c>
      <c r="C43" s="58"/>
      <c r="D43" s="59"/>
      <c r="E43" s="59"/>
      <c r="F43" s="59"/>
      <c r="G43" s="59"/>
      <c r="H43" s="59"/>
      <c r="I43" s="59"/>
      <c r="J43" s="118"/>
      <c r="K43" s="119"/>
      <c r="L43" s="120"/>
      <c r="M43" s="121"/>
      <c r="N43" s="121"/>
      <c r="O43" s="125"/>
      <c r="P43" s="66"/>
      <c r="Q43" s="66"/>
      <c r="R43" s="66"/>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row>
    <row r="44" ht="15.75" customHeight="1" spans="1:51">
      <c r="A44" s="52" t="s">
        <v>180</v>
      </c>
      <c r="B44" s="53" t="e">
        <f>B39-B41-B43</f>
        <v>#REF!</v>
      </c>
      <c r="C44" s="58"/>
      <c r="D44" s="59"/>
      <c r="E44" s="59"/>
      <c r="F44" s="59"/>
      <c r="G44" s="59"/>
      <c r="H44" s="59"/>
      <c r="I44" s="59"/>
      <c r="J44" s="118"/>
      <c r="K44" s="119"/>
      <c r="L44" s="120"/>
      <c r="M44" s="121"/>
      <c r="N44" s="121"/>
      <c r="O44" s="126"/>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row>
    <row r="45" ht="15.75" customHeight="1" spans="1:51">
      <c r="A45" s="52" t="s">
        <v>181</v>
      </c>
      <c r="B45" s="62" t="e">
        <f>B44/C34</f>
        <v>#REF!</v>
      </c>
      <c r="C45" s="58"/>
      <c r="D45" s="59"/>
      <c r="E45" s="59"/>
      <c r="F45" s="59"/>
      <c r="G45" s="59"/>
      <c r="H45" s="59"/>
      <c r="I45" s="59"/>
      <c r="J45" s="118"/>
      <c r="K45" s="119"/>
      <c r="L45" s="120"/>
      <c r="M45" s="121"/>
      <c r="N45" s="121"/>
      <c r="O45" s="126"/>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row>
    <row r="46" ht="15.75" customHeight="1" spans="1:51">
      <c r="A46" s="52" t="s">
        <v>214</v>
      </c>
      <c r="B46" s="53">
        <f>RHv!J58</f>
        <v>0</v>
      </c>
      <c r="C46" s="58"/>
      <c r="D46" s="59"/>
      <c r="E46" s="59"/>
      <c r="F46" s="59"/>
      <c r="G46" s="59"/>
      <c r="H46" s="59"/>
      <c r="I46" s="59"/>
      <c r="J46" s="118"/>
      <c r="K46" s="119"/>
      <c r="L46" s="120"/>
      <c r="M46" s="121"/>
      <c r="N46" s="121"/>
      <c r="O46" s="126"/>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row>
    <row r="47" ht="15.75" customHeight="1" spans="1:51">
      <c r="A47" s="52" t="s">
        <v>215</v>
      </c>
      <c r="B47" s="62">
        <f>B46/B37</f>
        <v>0</v>
      </c>
      <c r="C47" s="58"/>
      <c r="D47" s="59"/>
      <c r="E47" s="59"/>
      <c r="F47" s="59"/>
      <c r="G47" s="59"/>
      <c r="H47" s="59"/>
      <c r="I47" s="59"/>
      <c r="J47" s="118"/>
      <c r="K47" s="119"/>
      <c r="L47" s="120"/>
      <c r="M47" s="121"/>
      <c r="N47" s="121"/>
      <c r="O47" s="126"/>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row>
    <row r="48" ht="15.75" customHeight="1" spans="1:51">
      <c r="A48" s="52" t="s">
        <v>216</v>
      </c>
      <c r="B48" s="53" t="e">
        <f>B38+B41+B43+B46</f>
        <v>#REF!</v>
      </c>
      <c r="C48" s="63" t="s">
        <v>220</v>
      </c>
      <c r="D48" s="59"/>
      <c r="E48" s="59"/>
      <c r="F48" s="59"/>
      <c r="G48" s="59"/>
      <c r="H48" s="59"/>
      <c r="I48" s="59"/>
      <c r="J48" s="118"/>
      <c r="K48" s="119"/>
      <c r="L48" s="120"/>
      <c r="M48" s="121"/>
      <c r="N48" s="121"/>
      <c r="O48" s="126"/>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row>
    <row r="49" ht="15.75" customHeight="1" spans="1:51">
      <c r="A49" s="52" t="s">
        <v>183</v>
      </c>
      <c r="B49" s="64" t="e">
        <f>B44-B46</f>
        <v>#REF!</v>
      </c>
      <c r="C49" s="65">
        <f>N34+E34-B46</f>
        <v>4772500</v>
      </c>
      <c r="D49" s="59"/>
      <c r="E49" s="59"/>
      <c r="F49" s="59"/>
      <c r="G49" s="59"/>
      <c r="H49" s="59"/>
      <c r="I49" s="59"/>
      <c r="J49" s="118"/>
      <c r="K49" s="119"/>
      <c r="L49" s="120"/>
      <c r="M49" s="121"/>
      <c r="N49" s="127"/>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row>
    <row r="50" ht="15.75" customHeight="1" spans="1:51">
      <c r="A50" s="52" t="s">
        <v>184</v>
      </c>
      <c r="B50" s="62" t="e">
        <f>B49/B37</f>
        <v>#REF!</v>
      </c>
      <c r="C50" s="58"/>
      <c r="D50" s="59"/>
      <c r="E50" s="59"/>
      <c r="F50" s="59"/>
      <c r="G50" s="59"/>
      <c r="H50" s="59"/>
      <c r="I50" s="59"/>
      <c r="J50" s="118"/>
      <c r="K50" s="119"/>
      <c r="L50" s="120"/>
      <c r="M50" s="121"/>
      <c r="N50" s="121"/>
      <c r="O50" s="126"/>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row>
    <row r="51" ht="15.75" customHeight="1" spans="1:51">
      <c r="A51" s="66"/>
      <c r="B51" s="66"/>
      <c r="C51" s="67"/>
      <c r="D51" s="68"/>
      <c r="E51" s="68"/>
      <c r="F51" s="68"/>
      <c r="G51" s="68"/>
      <c r="H51" s="68"/>
      <c r="I51" s="68"/>
      <c r="J51" s="67"/>
      <c r="K51" s="68"/>
      <c r="L51" s="68"/>
      <c r="M51" s="68"/>
      <c r="N51" s="68"/>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row>
    <row r="52" ht="15.75" customHeight="1" spans="1:51">
      <c r="A52" s="69"/>
      <c r="B52" s="69"/>
      <c r="C52" s="70"/>
      <c r="D52" s="69"/>
      <c r="E52" s="69"/>
      <c r="F52" s="69"/>
      <c r="G52" s="69"/>
      <c r="H52" s="69"/>
      <c r="I52" s="69"/>
      <c r="J52" s="70"/>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row>
    <row r="53" ht="15.75" customHeight="1" spans="1:51">
      <c r="A53" s="69"/>
      <c r="B53" s="69"/>
      <c r="C53" s="70"/>
      <c r="D53" s="69"/>
      <c r="E53" s="69"/>
      <c r="F53" s="69"/>
      <c r="G53" s="69"/>
      <c r="H53" s="69"/>
      <c r="I53" s="69"/>
      <c r="J53" s="70"/>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row>
    <row r="54" ht="15.75" customHeight="1" spans="1:51">
      <c r="A54" s="69"/>
      <c r="B54" s="69"/>
      <c r="C54" s="70"/>
      <c r="D54" s="69"/>
      <c r="E54" s="69"/>
      <c r="F54" s="69"/>
      <c r="G54" s="69"/>
      <c r="H54" s="69"/>
      <c r="I54" s="69"/>
      <c r="J54" s="70"/>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row>
    <row r="55" ht="15.75" customHeight="1" spans="1:51">
      <c r="A55" s="69"/>
      <c r="B55" s="69"/>
      <c r="C55" s="70"/>
      <c r="D55" s="69"/>
      <c r="E55" s="69"/>
      <c r="F55" s="69"/>
      <c r="G55" s="69"/>
      <c r="H55" s="69"/>
      <c r="I55" s="69"/>
      <c r="J55" s="70"/>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row>
    <row r="56" ht="15.75" customHeight="1" spans="1:51">
      <c r="A56" s="69"/>
      <c r="B56" s="69"/>
      <c r="C56" s="70"/>
      <c r="D56" s="69"/>
      <c r="E56" s="69"/>
      <c r="F56" s="69"/>
      <c r="G56" s="69"/>
      <c r="H56" s="69"/>
      <c r="I56" s="69"/>
      <c r="J56" s="70"/>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row>
    <row r="57" ht="15.75" customHeight="1" spans="1:51">
      <c r="A57" s="69"/>
      <c r="B57" s="69"/>
      <c r="C57" s="70"/>
      <c r="D57" s="69"/>
      <c r="E57" s="69"/>
      <c r="F57" s="69"/>
      <c r="G57" s="69"/>
      <c r="H57" s="69"/>
      <c r="I57" s="69"/>
      <c r="J57" s="70"/>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row>
    <row r="58" ht="15.75" customHeight="1" spans="1:51">
      <c r="A58" s="69"/>
      <c r="B58" s="69"/>
      <c r="C58" s="70"/>
      <c r="D58" s="69"/>
      <c r="E58" s="69"/>
      <c r="F58" s="69"/>
      <c r="G58" s="69"/>
      <c r="H58" s="69"/>
      <c r="I58" s="69"/>
      <c r="J58" s="70"/>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row>
    <row r="59" ht="15.75" customHeight="1" spans="1:51">
      <c r="A59" s="69"/>
      <c r="B59" s="69"/>
      <c r="C59" s="70"/>
      <c r="D59" s="69"/>
      <c r="E59" s="69"/>
      <c r="F59" s="69"/>
      <c r="G59" s="69"/>
      <c r="H59" s="69"/>
      <c r="I59" s="69"/>
      <c r="J59" s="70"/>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row>
    <row r="60" ht="15.75" customHeight="1" spans="1:51">
      <c r="A60" s="69"/>
      <c r="B60" s="69"/>
      <c r="C60" s="70"/>
      <c r="D60" s="69"/>
      <c r="E60" s="69"/>
      <c r="F60" s="69"/>
      <c r="G60" s="69"/>
      <c r="H60" s="69"/>
      <c r="I60" s="69"/>
      <c r="J60" s="70"/>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row>
    <row r="61" ht="15.75" customHeight="1" spans="1:51">
      <c r="A61" s="69"/>
      <c r="B61" s="69"/>
      <c r="C61" s="70"/>
      <c r="D61" s="69"/>
      <c r="E61" s="69"/>
      <c r="F61" s="69"/>
      <c r="G61" s="69"/>
      <c r="H61" s="69"/>
      <c r="I61" s="69"/>
      <c r="J61" s="70"/>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row>
    <row r="62" ht="15.75" customHeight="1" spans="1:51">
      <c r="A62" s="69"/>
      <c r="B62" s="69"/>
      <c r="C62" s="70"/>
      <c r="D62" s="69"/>
      <c r="E62" s="69"/>
      <c r="F62" s="69"/>
      <c r="G62" s="69"/>
      <c r="H62" s="69"/>
      <c r="I62" s="69"/>
      <c r="J62" s="70"/>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row>
    <row r="63" ht="15.75" customHeight="1" spans="1:51">
      <c r="A63" s="69"/>
      <c r="B63" s="69"/>
      <c r="C63" s="70"/>
      <c r="D63" s="69"/>
      <c r="E63" s="69"/>
      <c r="F63" s="69"/>
      <c r="G63" s="69"/>
      <c r="H63" s="69"/>
      <c r="I63" s="69"/>
      <c r="J63" s="70"/>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row>
    <row r="64" ht="15.75" customHeight="1" spans="1:51">
      <c r="A64" s="69"/>
      <c r="B64" s="69"/>
      <c r="C64" s="70"/>
      <c r="D64" s="69"/>
      <c r="E64" s="69"/>
      <c r="F64" s="69"/>
      <c r="G64" s="69"/>
      <c r="H64" s="69"/>
      <c r="I64" s="69"/>
      <c r="J64" s="70"/>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row>
    <row r="65" ht="15.75" customHeight="1" spans="1:51">
      <c r="A65" s="69"/>
      <c r="B65" s="69"/>
      <c r="C65" s="70"/>
      <c r="D65" s="69"/>
      <c r="E65" s="69"/>
      <c r="F65" s="69"/>
      <c r="G65" s="69"/>
      <c r="H65" s="69"/>
      <c r="I65" s="69"/>
      <c r="J65" s="70"/>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row>
    <row r="66" ht="15.75" customHeight="1" spans="1:51">
      <c r="A66" s="69"/>
      <c r="B66" s="69"/>
      <c r="C66" s="70"/>
      <c r="D66" s="69"/>
      <c r="E66" s="69"/>
      <c r="F66" s="69"/>
      <c r="G66" s="69"/>
      <c r="H66" s="69"/>
      <c r="I66" s="69"/>
      <c r="J66" s="70"/>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row>
    <row r="67" ht="15.75" customHeight="1" spans="1:51">
      <c r="A67" s="69"/>
      <c r="B67" s="69"/>
      <c r="C67" s="70"/>
      <c r="D67" s="69"/>
      <c r="E67" s="69"/>
      <c r="F67" s="69"/>
      <c r="G67" s="69"/>
      <c r="H67" s="69"/>
      <c r="I67" s="69"/>
      <c r="J67" s="70"/>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row>
    <row r="68" ht="15.75" customHeight="1" spans="1:51">
      <c r="A68" s="69"/>
      <c r="B68" s="69"/>
      <c r="C68" s="70"/>
      <c r="D68" s="69"/>
      <c r="E68" s="69"/>
      <c r="F68" s="69"/>
      <c r="G68" s="69"/>
      <c r="H68" s="69"/>
      <c r="I68" s="69"/>
      <c r="J68" s="70"/>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row>
    <row r="69" ht="15.75" customHeight="1" spans="1:51">
      <c r="A69" s="69"/>
      <c r="B69" s="69"/>
      <c r="C69" s="70"/>
      <c r="D69" s="69"/>
      <c r="E69" s="69"/>
      <c r="F69" s="69"/>
      <c r="G69" s="69"/>
      <c r="H69" s="69"/>
      <c r="I69" s="69"/>
      <c r="J69" s="70"/>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row>
    <row r="70" ht="15.75" customHeight="1" spans="1:51">
      <c r="A70" s="69"/>
      <c r="B70" s="69"/>
      <c r="C70" s="70"/>
      <c r="D70" s="69"/>
      <c r="E70" s="69"/>
      <c r="F70" s="69"/>
      <c r="G70" s="69"/>
      <c r="H70" s="69"/>
      <c r="I70" s="69"/>
      <c r="J70" s="70"/>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row>
    <row r="71" ht="15.75" customHeight="1" spans="1:51">
      <c r="A71" s="69"/>
      <c r="B71" s="69"/>
      <c r="C71" s="70"/>
      <c r="D71" s="69"/>
      <c r="E71" s="69"/>
      <c r="F71" s="69"/>
      <c r="G71" s="69"/>
      <c r="H71" s="69"/>
      <c r="I71" s="69"/>
      <c r="J71" s="70"/>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row>
    <row r="72" ht="15.75" customHeight="1" spans="1:51">
      <c r="A72" s="69"/>
      <c r="B72" s="69"/>
      <c r="C72" s="70"/>
      <c r="D72" s="69"/>
      <c r="E72" s="69"/>
      <c r="F72" s="69"/>
      <c r="G72" s="69"/>
      <c r="H72" s="69"/>
      <c r="I72" s="69"/>
      <c r="J72" s="70"/>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row>
    <row r="73" ht="15.75" customHeight="1" spans="1:51">
      <c r="A73" s="69"/>
      <c r="B73" s="69"/>
      <c r="C73" s="70"/>
      <c r="D73" s="69"/>
      <c r="E73" s="69"/>
      <c r="F73" s="69"/>
      <c r="G73" s="69"/>
      <c r="H73" s="69"/>
      <c r="I73" s="69"/>
      <c r="J73" s="70"/>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row>
    <row r="74" ht="15.75" customHeight="1" spans="1:51">
      <c r="A74" s="69"/>
      <c r="B74" s="69"/>
      <c r="C74" s="70"/>
      <c r="D74" s="69"/>
      <c r="E74" s="69"/>
      <c r="F74" s="69"/>
      <c r="G74" s="69"/>
      <c r="H74" s="69"/>
      <c r="I74" s="69"/>
      <c r="J74" s="70"/>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row>
    <row r="75" ht="15.75" customHeight="1" spans="1:51">
      <c r="A75" s="69"/>
      <c r="B75" s="69"/>
      <c r="C75" s="70"/>
      <c r="D75" s="69"/>
      <c r="E75" s="69"/>
      <c r="F75" s="69"/>
      <c r="G75" s="69"/>
      <c r="H75" s="69"/>
      <c r="I75" s="69"/>
      <c r="J75" s="70"/>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row>
    <row r="76" ht="15.75" customHeight="1" spans="1:51">
      <c r="A76" s="69"/>
      <c r="B76" s="69"/>
      <c r="C76" s="70"/>
      <c r="D76" s="69"/>
      <c r="E76" s="69"/>
      <c r="F76" s="69"/>
      <c r="G76" s="69"/>
      <c r="H76" s="69"/>
      <c r="I76" s="69"/>
      <c r="J76" s="70"/>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row>
    <row r="77" ht="15.75" customHeight="1" spans="1:51">
      <c r="A77" s="69"/>
      <c r="B77" s="69"/>
      <c r="C77" s="70"/>
      <c r="D77" s="69"/>
      <c r="E77" s="69"/>
      <c r="F77" s="69"/>
      <c r="G77" s="69"/>
      <c r="H77" s="69"/>
      <c r="I77" s="69"/>
      <c r="J77" s="70"/>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row>
    <row r="78" ht="15.75" customHeight="1" spans="1:51">
      <c r="A78" s="69"/>
      <c r="B78" s="69"/>
      <c r="C78" s="70"/>
      <c r="D78" s="69"/>
      <c r="E78" s="69"/>
      <c r="F78" s="69"/>
      <c r="G78" s="69"/>
      <c r="H78" s="69"/>
      <c r="I78" s="69"/>
      <c r="J78" s="70"/>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row>
    <row r="79" ht="15.75" customHeight="1" spans="1:51">
      <c r="A79" s="69"/>
      <c r="B79" s="69"/>
      <c r="C79" s="70"/>
      <c r="D79" s="69"/>
      <c r="E79" s="69"/>
      <c r="F79" s="69"/>
      <c r="G79" s="69"/>
      <c r="H79" s="69"/>
      <c r="I79" s="69"/>
      <c r="J79" s="70"/>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row>
    <row r="80" ht="15.75" customHeight="1" spans="1:51">
      <c r="A80" s="69"/>
      <c r="B80" s="69"/>
      <c r="C80" s="70"/>
      <c r="D80" s="69"/>
      <c r="E80" s="69"/>
      <c r="F80" s="69"/>
      <c r="G80" s="69"/>
      <c r="H80" s="69"/>
      <c r="I80" s="69"/>
      <c r="J80" s="70"/>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row>
    <row r="81" ht="15.75" customHeight="1" spans="1:51">
      <c r="A81" s="69"/>
      <c r="B81" s="69"/>
      <c r="C81" s="70"/>
      <c r="D81" s="69"/>
      <c r="E81" s="69"/>
      <c r="F81" s="69"/>
      <c r="G81" s="69"/>
      <c r="H81" s="69"/>
      <c r="I81" s="69"/>
      <c r="J81" s="70"/>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row>
    <row r="82" ht="15.75" customHeight="1" spans="1:51">
      <c r="A82" s="69"/>
      <c r="B82" s="69"/>
      <c r="C82" s="70"/>
      <c r="D82" s="69"/>
      <c r="E82" s="69"/>
      <c r="F82" s="69"/>
      <c r="G82" s="69"/>
      <c r="H82" s="69"/>
      <c r="I82" s="69"/>
      <c r="J82" s="70"/>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row>
    <row r="83" ht="15.75" customHeight="1" spans="1:51">
      <c r="A83" s="69"/>
      <c r="B83" s="69"/>
      <c r="C83" s="70"/>
      <c r="D83" s="69"/>
      <c r="E83" s="69"/>
      <c r="F83" s="69"/>
      <c r="G83" s="69"/>
      <c r="H83" s="69"/>
      <c r="I83" s="69"/>
      <c r="J83" s="70"/>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row>
    <row r="84" ht="15.75" customHeight="1" spans="1:51">
      <c r="A84" s="69"/>
      <c r="B84" s="69"/>
      <c r="C84" s="70"/>
      <c r="D84" s="69"/>
      <c r="E84" s="69"/>
      <c r="F84" s="69"/>
      <c r="G84" s="69"/>
      <c r="H84" s="69"/>
      <c r="I84" s="69"/>
      <c r="J84" s="70"/>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row>
    <row r="85" ht="15.75" customHeight="1" spans="1:51">
      <c r="A85" s="69"/>
      <c r="B85" s="69"/>
      <c r="C85" s="70"/>
      <c r="D85" s="69"/>
      <c r="E85" s="69"/>
      <c r="F85" s="69"/>
      <c r="G85" s="69"/>
      <c r="H85" s="69"/>
      <c r="I85" s="69"/>
      <c r="J85" s="70"/>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row>
    <row r="86" ht="15.75" customHeight="1" spans="1:51">
      <c r="A86" s="69"/>
      <c r="B86" s="69"/>
      <c r="C86" s="70"/>
      <c r="D86" s="69"/>
      <c r="E86" s="69"/>
      <c r="F86" s="69"/>
      <c r="G86" s="69"/>
      <c r="H86" s="69"/>
      <c r="I86" s="69"/>
      <c r="J86" s="70"/>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row>
    <row r="87" ht="15.75" customHeight="1" spans="1:51">
      <c r="A87" s="69"/>
      <c r="B87" s="69"/>
      <c r="C87" s="70"/>
      <c r="D87" s="69"/>
      <c r="E87" s="69"/>
      <c r="F87" s="69"/>
      <c r="G87" s="69"/>
      <c r="H87" s="69"/>
      <c r="I87" s="69"/>
      <c r="J87" s="70"/>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row>
    <row r="88" ht="15.75" customHeight="1" spans="1:51">
      <c r="A88" s="69"/>
      <c r="B88" s="69"/>
      <c r="C88" s="70"/>
      <c r="D88" s="69"/>
      <c r="E88" s="69"/>
      <c r="F88" s="69"/>
      <c r="G88" s="69"/>
      <c r="H88" s="69"/>
      <c r="I88" s="69"/>
      <c r="J88" s="70"/>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row>
    <row r="89" ht="15.75" customHeight="1" spans="1:51">
      <c r="A89" s="69"/>
      <c r="B89" s="69"/>
      <c r="C89" s="70"/>
      <c r="D89" s="69"/>
      <c r="E89" s="69"/>
      <c r="F89" s="69"/>
      <c r="G89" s="69"/>
      <c r="H89" s="69"/>
      <c r="I89" s="69"/>
      <c r="J89" s="70"/>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row>
    <row r="90" ht="15.75" customHeight="1" spans="1:51">
      <c r="A90" s="69"/>
      <c r="B90" s="69"/>
      <c r="C90" s="70"/>
      <c r="D90" s="69"/>
      <c r="E90" s="69"/>
      <c r="F90" s="69"/>
      <c r="G90" s="69"/>
      <c r="H90" s="69"/>
      <c r="I90" s="69"/>
      <c r="J90" s="70"/>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row>
    <row r="91" ht="15.75" customHeight="1" spans="1:51">
      <c r="A91" s="69"/>
      <c r="B91" s="69"/>
      <c r="C91" s="70"/>
      <c r="D91" s="69"/>
      <c r="E91" s="69"/>
      <c r="F91" s="69"/>
      <c r="G91" s="69"/>
      <c r="H91" s="69"/>
      <c r="I91" s="69"/>
      <c r="J91" s="70"/>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row>
    <row r="92" ht="15.75" customHeight="1" spans="1:51">
      <c r="A92" s="69"/>
      <c r="B92" s="69"/>
      <c r="C92" s="70"/>
      <c r="D92" s="69"/>
      <c r="E92" s="69"/>
      <c r="F92" s="69"/>
      <c r="G92" s="69"/>
      <c r="H92" s="69"/>
      <c r="I92" s="69"/>
      <c r="J92" s="70"/>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row>
    <row r="93" ht="15.75" customHeight="1" spans="1:51">
      <c r="A93" s="69"/>
      <c r="B93" s="69"/>
      <c r="C93" s="70"/>
      <c r="D93" s="69"/>
      <c r="E93" s="69"/>
      <c r="F93" s="69"/>
      <c r="G93" s="69"/>
      <c r="H93" s="69"/>
      <c r="I93" s="69"/>
      <c r="J93" s="70"/>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row>
    <row r="94" ht="15.75" customHeight="1" spans="1:51">
      <c r="A94" s="69"/>
      <c r="B94" s="69"/>
      <c r="C94" s="70"/>
      <c r="D94" s="69"/>
      <c r="E94" s="69"/>
      <c r="F94" s="69"/>
      <c r="G94" s="69"/>
      <c r="H94" s="69"/>
      <c r="I94" s="69"/>
      <c r="J94" s="70"/>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row>
    <row r="95" ht="15.75" customHeight="1" spans="1:51">
      <c r="A95" s="69"/>
      <c r="B95" s="69"/>
      <c r="C95" s="70"/>
      <c r="D95" s="69"/>
      <c r="E95" s="69"/>
      <c r="F95" s="69"/>
      <c r="G95" s="69"/>
      <c r="H95" s="69"/>
      <c r="I95" s="69"/>
      <c r="J95" s="70"/>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row>
    <row r="96" ht="15.75" customHeight="1" spans="1:51">
      <c r="A96" s="69"/>
      <c r="B96" s="69"/>
      <c r="C96" s="70"/>
      <c r="D96" s="69"/>
      <c r="E96" s="69"/>
      <c r="F96" s="69"/>
      <c r="G96" s="69"/>
      <c r="H96" s="69"/>
      <c r="I96" s="69"/>
      <c r="J96" s="70"/>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row>
    <row r="97" ht="15.75" customHeight="1" spans="1:51">
      <c r="A97" s="69"/>
      <c r="B97" s="69"/>
      <c r="C97" s="70"/>
      <c r="D97" s="69"/>
      <c r="E97" s="69"/>
      <c r="F97" s="69"/>
      <c r="G97" s="69"/>
      <c r="H97" s="69"/>
      <c r="I97" s="69"/>
      <c r="J97" s="70"/>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row>
    <row r="98" ht="15.75" customHeight="1" spans="1:51">
      <c r="A98" s="69"/>
      <c r="B98" s="69"/>
      <c r="C98" s="70"/>
      <c r="D98" s="69"/>
      <c r="E98" s="69"/>
      <c r="F98" s="69"/>
      <c r="G98" s="69"/>
      <c r="H98" s="69"/>
      <c r="I98" s="69"/>
      <c r="J98" s="70"/>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row>
    <row r="99" ht="15.75" customHeight="1" spans="1:51">
      <c r="A99" s="69"/>
      <c r="B99" s="69"/>
      <c r="C99" s="70"/>
      <c r="D99" s="69"/>
      <c r="E99" s="69"/>
      <c r="F99" s="69"/>
      <c r="G99" s="69"/>
      <c r="H99" s="69"/>
      <c r="I99" s="69"/>
      <c r="J99" s="70"/>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row>
    <row r="100" ht="15.75" customHeight="1" spans="1:51">
      <c r="A100" s="69"/>
      <c r="B100" s="69"/>
      <c r="C100" s="70"/>
      <c r="D100" s="69"/>
      <c r="E100" s="69"/>
      <c r="F100" s="69"/>
      <c r="G100" s="69"/>
      <c r="H100" s="69"/>
      <c r="I100" s="69"/>
      <c r="J100" s="70"/>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row>
    <row r="101" ht="15.75" customHeight="1" spans="1:51">
      <c r="A101" s="69"/>
      <c r="B101" s="69"/>
      <c r="C101" s="70"/>
      <c r="D101" s="69"/>
      <c r="E101" s="69"/>
      <c r="F101" s="69"/>
      <c r="G101" s="69"/>
      <c r="H101" s="69"/>
      <c r="I101" s="69"/>
      <c r="J101" s="70"/>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row>
    <row r="102" ht="15.75" customHeight="1" spans="1:51">
      <c r="A102" s="69"/>
      <c r="B102" s="69"/>
      <c r="C102" s="70"/>
      <c r="D102" s="69"/>
      <c r="E102" s="69"/>
      <c r="F102" s="69"/>
      <c r="G102" s="69"/>
      <c r="H102" s="69"/>
      <c r="I102" s="69"/>
      <c r="J102" s="70"/>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row>
    <row r="103" ht="15.75" customHeight="1" spans="1:51">
      <c r="A103" s="69"/>
      <c r="B103" s="69"/>
      <c r="C103" s="70"/>
      <c r="D103" s="69"/>
      <c r="E103" s="69"/>
      <c r="F103" s="69"/>
      <c r="G103" s="69"/>
      <c r="H103" s="69"/>
      <c r="I103" s="69"/>
      <c r="J103" s="70"/>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row>
    <row r="104" ht="15.75" customHeight="1" spans="1:51">
      <c r="A104" s="69"/>
      <c r="B104" s="69"/>
      <c r="C104" s="70"/>
      <c r="D104" s="69"/>
      <c r="E104" s="69"/>
      <c r="F104" s="69"/>
      <c r="G104" s="69"/>
      <c r="H104" s="69"/>
      <c r="I104" s="69"/>
      <c r="J104" s="70"/>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row>
    <row r="105" ht="15.75" customHeight="1" spans="1:51">
      <c r="A105" s="69"/>
      <c r="B105" s="69"/>
      <c r="C105" s="70"/>
      <c r="D105" s="69"/>
      <c r="E105" s="69"/>
      <c r="F105" s="69"/>
      <c r="G105" s="69"/>
      <c r="H105" s="69"/>
      <c r="I105" s="69"/>
      <c r="J105" s="70"/>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row>
    <row r="106" ht="15.75" customHeight="1" spans="1:51">
      <c r="A106" s="69"/>
      <c r="B106" s="69"/>
      <c r="C106" s="70"/>
      <c r="D106" s="69"/>
      <c r="E106" s="69"/>
      <c r="F106" s="69"/>
      <c r="G106" s="69"/>
      <c r="H106" s="69"/>
      <c r="I106" s="69"/>
      <c r="J106" s="70"/>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row>
    <row r="107" ht="15.75" customHeight="1" spans="1:51">
      <c r="A107" s="69"/>
      <c r="B107" s="69"/>
      <c r="C107" s="70"/>
      <c r="D107" s="69"/>
      <c r="E107" s="69"/>
      <c r="F107" s="69"/>
      <c r="G107" s="69"/>
      <c r="H107" s="69"/>
      <c r="I107" s="69"/>
      <c r="J107" s="70"/>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row>
    <row r="108" ht="15.75" customHeight="1" spans="1:51">
      <c r="A108" s="69"/>
      <c r="B108" s="69"/>
      <c r="C108" s="70"/>
      <c r="D108" s="69"/>
      <c r="E108" s="69"/>
      <c r="F108" s="69"/>
      <c r="G108" s="69"/>
      <c r="H108" s="69"/>
      <c r="I108" s="69"/>
      <c r="J108" s="70"/>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row>
    <row r="109" ht="15.75" customHeight="1" spans="1:51">
      <c r="A109" s="69"/>
      <c r="B109" s="69"/>
      <c r="C109" s="70"/>
      <c r="D109" s="69"/>
      <c r="E109" s="69"/>
      <c r="F109" s="69"/>
      <c r="G109" s="69"/>
      <c r="H109" s="69"/>
      <c r="I109" s="69"/>
      <c r="J109" s="70"/>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row>
    <row r="110" ht="15.75" customHeight="1" spans="1:51">
      <c r="A110" s="69"/>
      <c r="B110" s="69"/>
      <c r="C110" s="70"/>
      <c r="D110" s="69"/>
      <c r="E110" s="69"/>
      <c r="F110" s="69"/>
      <c r="G110" s="69"/>
      <c r="H110" s="69"/>
      <c r="I110" s="69"/>
      <c r="J110" s="70"/>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row>
    <row r="111" ht="15.75" customHeight="1" spans="1:51">
      <c r="A111" s="69"/>
      <c r="B111" s="69"/>
      <c r="C111" s="70"/>
      <c r="D111" s="69"/>
      <c r="E111" s="69"/>
      <c r="F111" s="69"/>
      <c r="G111" s="69"/>
      <c r="H111" s="69"/>
      <c r="I111" s="69"/>
      <c r="J111" s="70"/>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row>
    <row r="112" ht="15.75" customHeight="1" spans="1:51">
      <c r="A112" s="69"/>
      <c r="B112" s="69"/>
      <c r="C112" s="70"/>
      <c r="D112" s="69"/>
      <c r="E112" s="69"/>
      <c r="F112" s="69"/>
      <c r="G112" s="69"/>
      <c r="H112" s="69"/>
      <c r="I112" s="69"/>
      <c r="J112" s="70"/>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row>
    <row r="113" ht="15.75" customHeight="1" spans="1:51">
      <c r="A113" s="69"/>
      <c r="B113" s="69"/>
      <c r="C113" s="70"/>
      <c r="D113" s="69"/>
      <c r="E113" s="69"/>
      <c r="F113" s="69"/>
      <c r="G113" s="69"/>
      <c r="H113" s="69"/>
      <c r="I113" s="69"/>
      <c r="J113" s="70"/>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row>
    <row r="114" ht="15.75" customHeight="1" spans="1:51">
      <c r="A114" s="69"/>
      <c r="B114" s="69"/>
      <c r="C114" s="70"/>
      <c r="D114" s="69"/>
      <c r="E114" s="69"/>
      <c r="F114" s="69"/>
      <c r="G114" s="69"/>
      <c r="H114" s="69"/>
      <c r="I114" s="69"/>
      <c r="J114" s="70"/>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row>
    <row r="115" ht="15.75" customHeight="1" spans="1:51">
      <c r="A115" s="69"/>
      <c r="B115" s="69"/>
      <c r="C115" s="70"/>
      <c r="D115" s="69"/>
      <c r="E115" s="69"/>
      <c r="F115" s="69"/>
      <c r="G115" s="69"/>
      <c r="H115" s="69"/>
      <c r="I115" s="69"/>
      <c r="J115" s="70"/>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row>
    <row r="116" ht="15.75" customHeight="1" spans="1:51">
      <c r="A116" s="69"/>
      <c r="B116" s="69"/>
      <c r="C116" s="70"/>
      <c r="D116" s="69"/>
      <c r="E116" s="69"/>
      <c r="F116" s="69"/>
      <c r="G116" s="69"/>
      <c r="H116" s="69"/>
      <c r="I116" s="69"/>
      <c r="J116" s="70"/>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row>
    <row r="117" ht="15.75" customHeight="1" spans="1:51">
      <c r="A117" s="69"/>
      <c r="B117" s="69"/>
      <c r="C117" s="70"/>
      <c r="D117" s="69"/>
      <c r="E117" s="69"/>
      <c r="F117" s="69"/>
      <c r="G117" s="69"/>
      <c r="H117" s="69"/>
      <c r="I117" s="69"/>
      <c r="J117" s="70"/>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row>
    <row r="118" ht="15.75" customHeight="1" spans="1:51">
      <c r="A118" s="69"/>
      <c r="B118" s="69"/>
      <c r="C118" s="70"/>
      <c r="D118" s="69"/>
      <c r="E118" s="69"/>
      <c r="F118" s="69"/>
      <c r="G118" s="69"/>
      <c r="H118" s="69"/>
      <c r="I118" s="69"/>
      <c r="J118" s="70"/>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row>
    <row r="119" ht="15.75" customHeight="1" spans="1:51">
      <c r="A119" s="69"/>
      <c r="B119" s="69"/>
      <c r="C119" s="70"/>
      <c r="D119" s="69"/>
      <c r="E119" s="69"/>
      <c r="F119" s="69"/>
      <c r="G119" s="69"/>
      <c r="H119" s="69"/>
      <c r="I119" s="69"/>
      <c r="J119" s="70"/>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row>
    <row r="120" ht="15.75" customHeight="1" spans="1:51">
      <c r="A120" s="69"/>
      <c r="B120" s="69"/>
      <c r="C120" s="70"/>
      <c r="D120" s="69"/>
      <c r="E120" s="69"/>
      <c r="F120" s="69"/>
      <c r="G120" s="69"/>
      <c r="H120" s="69"/>
      <c r="I120" s="69"/>
      <c r="J120" s="70"/>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row>
    <row r="121" ht="15.75" customHeight="1" spans="1:51">
      <c r="A121" s="69"/>
      <c r="B121" s="69"/>
      <c r="C121" s="70"/>
      <c r="D121" s="69"/>
      <c r="E121" s="69"/>
      <c r="F121" s="69"/>
      <c r="G121" s="69"/>
      <c r="H121" s="69"/>
      <c r="I121" s="69"/>
      <c r="J121" s="70"/>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row>
    <row r="122" ht="15.75" customHeight="1" spans="1:51">
      <c r="A122" s="69"/>
      <c r="B122" s="69"/>
      <c r="C122" s="70"/>
      <c r="D122" s="69"/>
      <c r="E122" s="69"/>
      <c r="F122" s="69"/>
      <c r="G122" s="69"/>
      <c r="H122" s="69"/>
      <c r="I122" s="69"/>
      <c r="J122" s="70"/>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row>
    <row r="123" ht="15.75" customHeight="1" spans="1:51">
      <c r="A123" s="69"/>
      <c r="B123" s="69"/>
      <c r="C123" s="70"/>
      <c r="D123" s="69"/>
      <c r="E123" s="69"/>
      <c r="F123" s="69"/>
      <c r="G123" s="69"/>
      <c r="H123" s="69"/>
      <c r="I123" s="69"/>
      <c r="J123" s="70"/>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row>
    <row r="124" ht="15.75" customHeight="1" spans="1:51">
      <c r="A124" s="69"/>
      <c r="B124" s="69"/>
      <c r="C124" s="70"/>
      <c r="D124" s="69"/>
      <c r="E124" s="69"/>
      <c r="F124" s="69"/>
      <c r="G124" s="69"/>
      <c r="H124" s="69"/>
      <c r="I124" s="69"/>
      <c r="J124" s="70"/>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row>
    <row r="125" ht="15.75" customHeight="1" spans="1:51">
      <c r="A125" s="69"/>
      <c r="B125" s="69"/>
      <c r="C125" s="70"/>
      <c r="D125" s="69"/>
      <c r="E125" s="69"/>
      <c r="F125" s="69"/>
      <c r="G125" s="69"/>
      <c r="H125" s="69"/>
      <c r="I125" s="69"/>
      <c r="J125" s="70"/>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row>
    <row r="126" ht="15.75" customHeight="1" spans="1:51">
      <c r="A126" s="69"/>
      <c r="B126" s="69"/>
      <c r="C126" s="70"/>
      <c r="D126" s="69"/>
      <c r="E126" s="69"/>
      <c r="F126" s="69"/>
      <c r="G126" s="69"/>
      <c r="H126" s="69"/>
      <c r="I126" s="69"/>
      <c r="J126" s="70"/>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row>
    <row r="127" ht="15.75" customHeight="1" spans="1:51">
      <c r="A127" s="69"/>
      <c r="B127" s="69"/>
      <c r="C127" s="70"/>
      <c r="D127" s="69"/>
      <c r="E127" s="69"/>
      <c r="F127" s="69"/>
      <c r="G127" s="69"/>
      <c r="H127" s="69"/>
      <c r="I127" s="69"/>
      <c r="J127" s="70"/>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row>
    <row r="128" ht="15.75" customHeight="1" spans="1:51">
      <c r="A128" s="69"/>
      <c r="B128" s="69"/>
      <c r="C128" s="70"/>
      <c r="D128" s="69"/>
      <c r="E128" s="69"/>
      <c r="F128" s="69"/>
      <c r="G128" s="69"/>
      <c r="H128" s="69"/>
      <c r="I128" s="69"/>
      <c r="J128" s="70"/>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row>
    <row r="129" ht="15.75" customHeight="1" spans="1:51">
      <c r="A129" s="69"/>
      <c r="B129" s="69"/>
      <c r="C129" s="70"/>
      <c r="D129" s="69"/>
      <c r="E129" s="69"/>
      <c r="F129" s="69"/>
      <c r="G129" s="69"/>
      <c r="H129" s="69"/>
      <c r="I129" s="69"/>
      <c r="J129" s="70"/>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row>
    <row r="130" ht="15.75" customHeight="1" spans="1:51">
      <c r="A130" s="69"/>
      <c r="B130" s="69"/>
      <c r="C130" s="70"/>
      <c r="D130" s="69"/>
      <c r="E130" s="69"/>
      <c r="F130" s="69"/>
      <c r="G130" s="69"/>
      <c r="H130" s="69"/>
      <c r="I130" s="69"/>
      <c r="J130" s="70"/>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row>
    <row r="131" ht="15.75" customHeight="1" spans="1:51">
      <c r="A131" s="69"/>
      <c r="B131" s="69"/>
      <c r="C131" s="70"/>
      <c r="D131" s="69"/>
      <c r="E131" s="69"/>
      <c r="F131" s="69"/>
      <c r="G131" s="69"/>
      <c r="H131" s="69"/>
      <c r="I131" s="69"/>
      <c r="J131" s="70"/>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row>
    <row r="132" ht="15.75" customHeight="1" spans="1:51">
      <c r="A132" s="69"/>
      <c r="B132" s="69"/>
      <c r="C132" s="70"/>
      <c r="D132" s="69"/>
      <c r="E132" s="69"/>
      <c r="F132" s="69"/>
      <c r="G132" s="69"/>
      <c r="H132" s="69"/>
      <c r="I132" s="69"/>
      <c r="J132" s="70"/>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row>
    <row r="133" ht="15.75" customHeight="1" spans="1:51">
      <c r="A133" s="69"/>
      <c r="B133" s="69"/>
      <c r="C133" s="70"/>
      <c r="D133" s="69"/>
      <c r="E133" s="69"/>
      <c r="F133" s="69"/>
      <c r="G133" s="69"/>
      <c r="H133" s="69"/>
      <c r="I133" s="69"/>
      <c r="J133" s="70"/>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row>
    <row r="134" ht="15.75" customHeight="1" spans="1:51">
      <c r="A134" s="69"/>
      <c r="B134" s="69"/>
      <c r="C134" s="70"/>
      <c r="D134" s="69"/>
      <c r="E134" s="69"/>
      <c r="F134" s="69"/>
      <c r="G134" s="69"/>
      <c r="H134" s="69"/>
      <c r="I134" s="69"/>
      <c r="J134" s="70"/>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row>
    <row r="135" ht="15.75" customHeight="1" spans="1:51">
      <c r="A135" s="69"/>
      <c r="B135" s="69"/>
      <c r="C135" s="70"/>
      <c r="D135" s="69"/>
      <c r="E135" s="69"/>
      <c r="F135" s="69"/>
      <c r="G135" s="69"/>
      <c r="H135" s="69"/>
      <c r="I135" s="69"/>
      <c r="J135" s="70"/>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row>
    <row r="136" ht="15.75" customHeight="1" spans="1:51">
      <c r="A136" s="69"/>
      <c r="B136" s="69"/>
      <c r="C136" s="70"/>
      <c r="D136" s="69"/>
      <c r="E136" s="69"/>
      <c r="F136" s="69"/>
      <c r="G136" s="69"/>
      <c r="H136" s="69"/>
      <c r="I136" s="69"/>
      <c r="J136" s="70"/>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row>
    <row r="137" ht="15.75" customHeight="1" spans="1:51">
      <c r="A137" s="69"/>
      <c r="B137" s="69"/>
      <c r="C137" s="70"/>
      <c r="D137" s="69"/>
      <c r="E137" s="69"/>
      <c r="F137" s="69"/>
      <c r="G137" s="69"/>
      <c r="H137" s="69"/>
      <c r="I137" s="69"/>
      <c r="J137" s="70"/>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row>
    <row r="138" ht="15.75" customHeight="1" spans="1:51">
      <c r="A138" s="69"/>
      <c r="B138" s="69"/>
      <c r="C138" s="70"/>
      <c r="D138" s="69"/>
      <c r="E138" s="69"/>
      <c r="F138" s="69"/>
      <c r="G138" s="69"/>
      <c r="H138" s="69"/>
      <c r="I138" s="69"/>
      <c r="J138" s="70"/>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row>
    <row r="139" ht="15.75" customHeight="1" spans="1:51">
      <c r="A139" s="69"/>
      <c r="B139" s="69"/>
      <c r="C139" s="70"/>
      <c r="D139" s="69"/>
      <c r="E139" s="69"/>
      <c r="F139" s="69"/>
      <c r="G139" s="69"/>
      <c r="H139" s="69"/>
      <c r="I139" s="69"/>
      <c r="J139" s="70"/>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row>
    <row r="140" ht="15.75" customHeight="1" spans="1:51">
      <c r="A140" s="69"/>
      <c r="B140" s="69"/>
      <c r="C140" s="70"/>
      <c r="D140" s="69"/>
      <c r="E140" s="69"/>
      <c r="F140" s="69"/>
      <c r="G140" s="69"/>
      <c r="H140" s="69"/>
      <c r="I140" s="69"/>
      <c r="J140" s="70"/>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row>
    <row r="141" ht="15.75" customHeight="1" spans="1:51">
      <c r="A141" s="69"/>
      <c r="B141" s="69"/>
      <c r="C141" s="70"/>
      <c r="D141" s="69"/>
      <c r="E141" s="69"/>
      <c r="F141" s="69"/>
      <c r="G141" s="69"/>
      <c r="H141" s="69"/>
      <c r="I141" s="69"/>
      <c r="J141" s="70"/>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row>
    <row r="142" ht="15.75" customHeight="1" spans="1:51">
      <c r="A142" s="69"/>
      <c r="B142" s="69"/>
      <c r="C142" s="70"/>
      <c r="D142" s="69"/>
      <c r="E142" s="69"/>
      <c r="F142" s="69"/>
      <c r="G142" s="69"/>
      <c r="H142" s="69"/>
      <c r="I142" s="69"/>
      <c r="J142" s="70"/>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row>
    <row r="143" ht="15.75" customHeight="1" spans="1:51">
      <c r="A143" s="69"/>
      <c r="B143" s="69"/>
      <c r="C143" s="70"/>
      <c r="D143" s="69"/>
      <c r="E143" s="69"/>
      <c r="F143" s="69"/>
      <c r="G143" s="69"/>
      <c r="H143" s="69"/>
      <c r="I143" s="69"/>
      <c r="J143" s="70"/>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row>
    <row r="144" ht="15.75" customHeight="1" spans="1:51">
      <c r="A144" s="69"/>
      <c r="B144" s="69"/>
      <c r="C144" s="70"/>
      <c r="D144" s="69"/>
      <c r="E144" s="69"/>
      <c r="F144" s="69"/>
      <c r="G144" s="69"/>
      <c r="H144" s="69"/>
      <c r="I144" s="69"/>
      <c r="J144" s="70"/>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row>
    <row r="145" ht="15.75" customHeight="1" spans="1:51">
      <c r="A145" s="69"/>
      <c r="B145" s="69"/>
      <c r="C145" s="70"/>
      <c r="D145" s="69"/>
      <c r="E145" s="69"/>
      <c r="F145" s="69"/>
      <c r="G145" s="69"/>
      <c r="H145" s="69"/>
      <c r="I145" s="69"/>
      <c r="J145" s="70"/>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row>
    <row r="146" ht="15.75" customHeight="1" spans="1:51">
      <c r="A146" s="69"/>
      <c r="B146" s="69"/>
      <c r="C146" s="70"/>
      <c r="D146" s="69"/>
      <c r="E146" s="69"/>
      <c r="F146" s="69"/>
      <c r="G146" s="69"/>
      <c r="H146" s="69"/>
      <c r="I146" s="69"/>
      <c r="J146" s="70"/>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row>
    <row r="147" ht="15.75" customHeight="1" spans="1:51">
      <c r="A147" s="69"/>
      <c r="B147" s="69"/>
      <c r="C147" s="70"/>
      <c r="D147" s="69"/>
      <c r="E147" s="69"/>
      <c r="F147" s="69"/>
      <c r="G147" s="69"/>
      <c r="H147" s="69"/>
      <c r="I147" s="69"/>
      <c r="J147" s="70"/>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row>
    <row r="148" ht="15.75" customHeight="1" spans="1:51">
      <c r="A148" s="69"/>
      <c r="B148" s="69"/>
      <c r="C148" s="70"/>
      <c r="D148" s="69"/>
      <c r="E148" s="69"/>
      <c r="F148" s="69"/>
      <c r="G148" s="69"/>
      <c r="H148" s="69"/>
      <c r="I148" s="69"/>
      <c r="J148" s="70"/>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row>
    <row r="149" ht="15.75" customHeight="1" spans="1:51">
      <c r="A149" s="69"/>
      <c r="B149" s="69"/>
      <c r="C149" s="70"/>
      <c r="D149" s="69"/>
      <c r="E149" s="69"/>
      <c r="F149" s="69"/>
      <c r="G149" s="69"/>
      <c r="H149" s="69"/>
      <c r="I149" s="69"/>
      <c r="J149" s="70"/>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row>
    <row r="150" ht="15.75" customHeight="1" spans="1:51">
      <c r="A150" s="69"/>
      <c r="B150" s="69"/>
      <c r="C150" s="70"/>
      <c r="D150" s="69"/>
      <c r="E150" s="69"/>
      <c r="F150" s="69"/>
      <c r="G150" s="69"/>
      <c r="H150" s="69"/>
      <c r="I150" s="69"/>
      <c r="J150" s="70"/>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row>
    <row r="151" ht="15.75" customHeight="1" spans="1:51">
      <c r="A151" s="69"/>
      <c r="B151" s="69"/>
      <c r="C151" s="70"/>
      <c r="D151" s="69"/>
      <c r="E151" s="69"/>
      <c r="F151" s="69"/>
      <c r="G151" s="69"/>
      <c r="H151" s="69"/>
      <c r="I151" s="69"/>
      <c r="J151" s="70"/>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row>
    <row r="152" ht="15.75" customHeight="1" spans="1:51">
      <c r="A152" s="69"/>
      <c r="B152" s="69"/>
      <c r="C152" s="70"/>
      <c r="D152" s="69"/>
      <c r="E152" s="69"/>
      <c r="F152" s="69"/>
      <c r="G152" s="69"/>
      <c r="H152" s="69"/>
      <c r="I152" s="69"/>
      <c r="J152" s="70"/>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row>
    <row r="153" ht="15.75" customHeight="1" spans="1:51">
      <c r="A153" s="69"/>
      <c r="B153" s="69"/>
      <c r="C153" s="70"/>
      <c r="D153" s="69"/>
      <c r="E153" s="69"/>
      <c r="F153" s="69"/>
      <c r="G153" s="69"/>
      <c r="H153" s="69"/>
      <c r="I153" s="69"/>
      <c r="J153" s="70"/>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row>
    <row r="154" ht="15.75" customHeight="1" spans="1:51">
      <c r="A154" s="69"/>
      <c r="B154" s="69"/>
      <c r="C154" s="70"/>
      <c r="D154" s="69"/>
      <c r="E154" s="69"/>
      <c r="F154" s="69"/>
      <c r="G154" s="69"/>
      <c r="H154" s="69"/>
      <c r="I154" s="69"/>
      <c r="J154" s="70"/>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row>
    <row r="155" ht="15.75" customHeight="1" spans="1:51">
      <c r="A155" s="69"/>
      <c r="B155" s="69"/>
      <c r="C155" s="70"/>
      <c r="D155" s="69"/>
      <c r="E155" s="69"/>
      <c r="F155" s="69"/>
      <c r="G155" s="69"/>
      <c r="H155" s="69"/>
      <c r="I155" s="69"/>
      <c r="J155" s="70"/>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row>
    <row r="156" ht="15.75" customHeight="1" spans="1:51">
      <c r="A156" s="69"/>
      <c r="B156" s="69"/>
      <c r="C156" s="70"/>
      <c r="D156" s="69"/>
      <c r="E156" s="69"/>
      <c r="F156" s="69"/>
      <c r="G156" s="69"/>
      <c r="H156" s="69"/>
      <c r="I156" s="69"/>
      <c r="J156" s="70"/>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row>
    <row r="157" ht="15.75" customHeight="1" spans="1:51">
      <c r="A157" s="69"/>
      <c r="B157" s="69"/>
      <c r="C157" s="70"/>
      <c r="D157" s="69"/>
      <c r="E157" s="69"/>
      <c r="F157" s="69"/>
      <c r="G157" s="69"/>
      <c r="H157" s="69"/>
      <c r="I157" s="69"/>
      <c r="J157" s="70"/>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row>
    <row r="158" ht="15.75" customHeight="1" spans="1:51">
      <c r="A158" s="69"/>
      <c r="B158" s="69"/>
      <c r="C158" s="70"/>
      <c r="D158" s="69"/>
      <c r="E158" s="69"/>
      <c r="F158" s="69"/>
      <c r="G158" s="69"/>
      <c r="H158" s="69"/>
      <c r="I158" s="69"/>
      <c r="J158" s="70"/>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row>
    <row r="159" ht="15.75" customHeight="1" spans="1:51">
      <c r="A159" s="69"/>
      <c r="B159" s="69"/>
      <c r="C159" s="70"/>
      <c r="D159" s="69"/>
      <c r="E159" s="69"/>
      <c r="F159" s="69"/>
      <c r="G159" s="69"/>
      <c r="H159" s="69"/>
      <c r="I159" s="69"/>
      <c r="J159" s="70"/>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row>
    <row r="160" ht="15.75" customHeight="1" spans="1:51">
      <c r="A160" s="69"/>
      <c r="B160" s="69"/>
      <c r="C160" s="70"/>
      <c r="D160" s="69"/>
      <c r="E160" s="69"/>
      <c r="F160" s="69"/>
      <c r="G160" s="69"/>
      <c r="H160" s="69"/>
      <c r="I160" s="69"/>
      <c r="J160" s="70"/>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row>
    <row r="161" ht="15.75" customHeight="1" spans="1:51">
      <c r="A161" s="69"/>
      <c r="B161" s="69"/>
      <c r="C161" s="70"/>
      <c r="D161" s="69"/>
      <c r="E161" s="69"/>
      <c r="F161" s="69"/>
      <c r="G161" s="69"/>
      <c r="H161" s="69"/>
      <c r="I161" s="69"/>
      <c r="J161" s="70"/>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row>
    <row r="162" ht="15.75" customHeight="1" spans="1:51">
      <c r="A162" s="69"/>
      <c r="B162" s="69"/>
      <c r="C162" s="70"/>
      <c r="D162" s="69"/>
      <c r="E162" s="69"/>
      <c r="F162" s="69"/>
      <c r="G162" s="69"/>
      <c r="H162" s="69"/>
      <c r="I162" s="69"/>
      <c r="J162" s="70"/>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row>
    <row r="163" ht="15.75" customHeight="1" spans="1:51">
      <c r="A163" s="69"/>
      <c r="B163" s="69"/>
      <c r="C163" s="70"/>
      <c r="D163" s="69"/>
      <c r="E163" s="69"/>
      <c r="F163" s="69"/>
      <c r="G163" s="69"/>
      <c r="H163" s="69"/>
      <c r="I163" s="69"/>
      <c r="J163" s="70"/>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row>
    <row r="164" ht="15.75" customHeight="1" spans="1:51">
      <c r="A164" s="69"/>
      <c r="B164" s="69"/>
      <c r="C164" s="70"/>
      <c r="D164" s="69"/>
      <c r="E164" s="69"/>
      <c r="F164" s="69"/>
      <c r="G164" s="69"/>
      <c r="H164" s="69"/>
      <c r="I164" s="69"/>
      <c r="J164" s="70"/>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row>
    <row r="165" ht="15.75" customHeight="1" spans="1:51">
      <c r="A165" s="69"/>
      <c r="B165" s="69"/>
      <c r="C165" s="70"/>
      <c r="D165" s="69"/>
      <c r="E165" s="69"/>
      <c r="F165" s="69"/>
      <c r="G165" s="69"/>
      <c r="H165" s="69"/>
      <c r="I165" s="69"/>
      <c r="J165" s="70"/>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row>
    <row r="166" ht="15.75" customHeight="1" spans="1:51">
      <c r="A166" s="69"/>
      <c r="B166" s="69"/>
      <c r="C166" s="70"/>
      <c r="D166" s="69"/>
      <c r="E166" s="69"/>
      <c r="F166" s="69"/>
      <c r="G166" s="69"/>
      <c r="H166" s="69"/>
      <c r="I166" s="69"/>
      <c r="J166" s="70"/>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row>
    <row r="167" ht="15.75" customHeight="1" spans="1:51">
      <c r="A167" s="69"/>
      <c r="B167" s="69"/>
      <c r="C167" s="70"/>
      <c r="D167" s="69"/>
      <c r="E167" s="69"/>
      <c r="F167" s="69"/>
      <c r="G167" s="69"/>
      <c r="H167" s="69"/>
      <c r="I167" s="69"/>
      <c r="J167" s="70"/>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row>
    <row r="168" ht="15.75" customHeight="1" spans="1:51">
      <c r="A168" s="69"/>
      <c r="B168" s="69"/>
      <c r="C168" s="70"/>
      <c r="D168" s="69"/>
      <c r="E168" s="69"/>
      <c r="F168" s="69"/>
      <c r="G168" s="69"/>
      <c r="H168" s="69"/>
      <c r="I168" s="69"/>
      <c r="J168" s="70"/>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row>
    <row r="169" ht="15.75" customHeight="1" spans="1:51">
      <c r="A169" s="69"/>
      <c r="B169" s="69"/>
      <c r="C169" s="70"/>
      <c r="D169" s="69"/>
      <c r="E169" s="69"/>
      <c r="F169" s="69"/>
      <c r="G169" s="69"/>
      <c r="H169" s="69"/>
      <c r="I169" s="69"/>
      <c r="J169" s="70"/>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row>
    <row r="170" ht="15.75" customHeight="1" spans="1:51">
      <c r="A170" s="69"/>
      <c r="B170" s="69"/>
      <c r="C170" s="70"/>
      <c r="D170" s="69"/>
      <c r="E170" s="69"/>
      <c r="F170" s="69"/>
      <c r="G170" s="69"/>
      <c r="H170" s="69"/>
      <c r="I170" s="69"/>
      <c r="J170" s="70"/>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row>
    <row r="171" ht="15.75" customHeight="1" spans="1:51">
      <c r="A171" s="69"/>
      <c r="B171" s="69"/>
      <c r="C171" s="70"/>
      <c r="D171" s="69"/>
      <c r="E171" s="69"/>
      <c r="F171" s="69"/>
      <c r="G171" s="69"/>
      <c r="H171" s="69"/>
      <c r="I171" s="69"/>
      <c r="J171" s="70"/>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row>
    <row r="172" ht="15.75" customHeight="1" spans="1:51">
      <c r="A172" s="69"/>
      <c r="B172" s="69"/>
      <c r="C172" s="70"/>
      <c r="D172" s="69"/>
      <c r="E172" s="69"/>
      <c r="F172" s="69"/>
      <c r="G172" s="69"/>
      <c r="H172" s="69"/>
      <c r="I172" s="69"/>
      <c r="J172" s="70"/>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row>
    <row r="173" ht="15.75" customHeight="1" spans="1:51">
      <c r="A173" s="69"/>
      <c r="B173" s="69"/>
      <c r="C173" s="70"/>
      <c r="D173" s="69"/>
      <c r="E173" s="69"/>
      <c r="F173" s="69"/>
      <c r="G173" s="69"/>
      <c r="H173" s="69"/>
      <c r="I173" s="69"/>
      <c r="J173" s="70"/>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row>
    <row r="174" ht="15.75" customHeight="1" spans="1:51">
      <c r="A174" s="69"/>
      <c r="B174" s="69"/>
      <c r="C174" s="70"/>
      <c r="D174" s="69"/>
      <c r="E174" s="69"/>
      <c r="F174" s="69"/>
      <c r="G174" s="69"/>
      <c r="H174" s="69"/>
      <c r="I174" s="69"/>
      <c r="J174" s="70"/>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row>
    <row r="175" ht="15.75" customHeight="1" spans="1:51">
      <c r="A175" s="69"/>
      <c r="B175" s="69"/>
      <c r="C175" s="70"/>
      <c r="D175" s="69"/>
      <c r="E175" s="69"/>
      <c r="F175" s="69"/>
      <c r="G175" s="69"/>
      <c r="H175" s="69"/>
      <c r="I175" s="69"/>
      <c r="J175" s="70"/>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row>
    <row r="176" ht="15.75" customHeight="1" spans="1:51">
      <c r="A176" s="69"/>
      <c r="B176" s="69"/>
      <c r="C176" s="70"/>
      <c r="D176" s="69"/>
      <c r="E176" s="69"/>
      <c r="F176" s="69"/>
      <c r="G176" s="69"/>
      <c r="H176" s="69"/>
      <c r="I176" s="69"/>
      <c r="J176" s="70"/>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row>
    <row r="177" ht="15.75" customHeight="1" spans="1:51">
      <c r="A177" s="69"/>
      <c r="B177" s="69"/>
      <c r="C177" s="70"/>
      <c r="D177" s="69"/>
      <c r="E177" s="69"/>
      <c r="F177" s="69"/>
      <c r="G177" s="69"/>
      <c r="H177" s="69"/>
      <c r="I177" s="69"/>
      <c r="J177" s="70"/>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row>
    <row r="178" ht="15.75" customHeight="1" spans="1:51">
      <c r="A178" s="69"/>
      <c r="B178" s="69"/>
      <c r="C178" s="70"/>
      <c r="D178" s="69"/>
      <c r="E178" s="69"/>
      <c r="F178" s="69"/>
      <c r="G178" s="69"/>
      <c r="H178" s="69"/>
      <c r="I178" s="69"/>
      <c r="J178" s="70"/>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row>
    <row r="179" ht="15.75" customHeight="1" spans="1:51">
      <c r="A179" s="69"/>
      <c r="B179" s="69"/>
      <c r="C179" s="70"/>
      <c r="D179" s="69"/>
      <c r="E179" s="69"/>
      <c r="F179" s="69"/>
      <c r="G179" s="69"/>
      <c r="H179" s="69"/>
      <c r="I179" s="69"/>
      <c r="J179" s="70"/>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row>
    <row r="180" ht="15.75" customHeight="1" spans="1:51">
      <c r="A180" s="69"/>
      <c r="B180" s="69"/>
      <c r="C180" s="70"/>
      <c r="D180" s="69"/>
      <c r="E180" s="69"/>
      <c r="F180" s="69"/>
      <c r="G180" s="69"/>
      <c r="H180" s="69"/>
      <c r="I180" s="69"/>
      <c r="J180" s="70"/>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row>
    <row r="181" ht="15.75" customHeight="1" spans="1:51">
      <c r="A181" s="69"/>
      <c r="B181" s="69"/>
      <c r="C181" s="70"/>
      <c r="D181" s="69"/>
      <c r="E181" s="69"/>
      <c r="F181" s="69"/>
      <c r="G181" s="69"/>
      <c r="H181" s="69"/>
      <c r="I181" s="69"/>
      <c r="J181" s="70"/>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row>
    <row r="182" ht="15.75" customHeight="1" spans="1:51">
      <c r="A182" s="69"/>
      <c r="B182" s="69"/>
      <c r="C182" s="70"/>
      <c r="D182" s="69"/>
      <c r="E182" s="69"/>
      <c r="F182" s="69"/>
      <c r="G182" s="69"/>
      <c r="H182" s="69"/>
      <c r="I182" s="69"/>
      <c r="J182" s="70"/>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row>
    <row r="183" ht="15.75" customHeight="1" spans="1:51">
      <c r="A183" s="69"/>
      <c r="B183" s="69"/>
      <c r="C183" s="70"/>
      <c r="D183" s="69"/>
      <c r="E183" s="69"/>
      <c r="F183" s="69"/>
      <c r="G183" s="69"/>
      <c r="H183" s="69"/>
      <c r="I183" s="69"/>
      <c r="J183" s="70"/>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row>
    <row r="184" ht="15.75" customHeight="1" spans="1:51">
      <c r="A184" s="69"/>
      <c r="B184" s="69"/>
      <c r="C184" s="70"/>
      <c r="D184" s="69"/>
      <c r="E184" s="69"/>
      <c r="F184" s="69"/>
      <c r="G184" s="69"/>
      <c r="H184" s="69"/>
      <c r="I184" s="69"/>
      <c r="J184" s="70"/>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row>
    <row r="185" ht="15.75" customHeight="1" spans="1:51">
      <c r="A185" s="69"/>
      <c r="B185" s="69"/>
      <c r="C185" s="70"/>
      <c r="D185" s="69"/>
      <c r="E185" s="69"/>
      <c r="F185" s="69"/>
      <c r="G185" s="69"/>
      <c r="H185" s="69"/>
      <c r="I185" s="69"/>
      <c r="J185" s="70"/>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row>
    <row r="186" ht="15.75" customHeight="1" spans="1:51">
      <c r="A186" s="69"/>
      <c r="B186" s="69"/>
      <c r="C186" s="70"/>
      <c r="D186" s="69"/>
      <c r="E186" s="69"/>
      <c r="F186" s="69"/>
      <c r="G186" s="69"/>
      <c r="H186" s="69"/>
      <c r="I186" s="69"/>
      <c r="J186" s="70"/>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row>
    <row r="187" ht="15.75" customHeight="1" spans="1:51">
      <c r="A187" s="69"/>
      <c r="B187" s="69"/>
      <c r="C187" s="70"/>
      <c r="D187" s="69"/>
      <c r="E187" s="69"/>
      <c r="F187" s="69"/>
      <c r="G187" s="69"/>
      <c r="H187" s="69"/>
      <c r="I187" s="69"/>
      <c r="J187" s="70"/>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row>
    <row r="188" ht="15.75" customHeight="1" spans="1:51">
      <c r="A188" s="69"/>
      <c r="B188" s="69"/>
      <c r="C188" s="70"/>
      <c r="D188" s="69"/>
      <c r="E188" s="69"/>
      <c r="F188" s="69"/>
      <c r="G188" s="69"/>
      <c r="H188" s="69"/>
      <c r="I188" s="69"/>
      <c r="J188" s="70"/>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row>
    <row r="189" ht="15.75" customHeight="1" spans="1:51">
      <c r="A189" s="69"/>
      <c r="B189" s="69"/>
      <c r="C189" s="70"/>
      <c r="D189" s="69"/>
      <c r="E189" s="69"/>
      <c r="F189" s="69"/>
      <c r="G189" s="69"/>
      <c r="H189" s="69"/>
      <c r="I189" s="69"/>
      <c r="J189" s="70"/>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row>
    <row r="190" ht="15.75" customHeight="1" spans="1:51">
      <c r="A190" s="69"/>
      <c r="B190" s="69"/>
      <c r="C190" s="70"/>
      <c r="D190" s="69"/>
      <c r="E190" s="69"/>
      <c r="F190" s="69"/>
      <c r="G190" s="69"/>
      <c r="H190" s="69"/>
      <c r="I190" s="69"/>
      <c r="J190" s="70"/>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row>
    <row r="191" ht="15.75" customHeight="1" spans="1:51">
      <c r="A191" s="69"/>
      <c r="B191" s="69"/>
      <c r="C191" s="70"/>
      <c r="D191" s="69"/>
      <c r="E191" s="69"/>
      <c r="F191" s="69"/>
      <c r="G191" s="69"/>
      <c r="H191" s="69"/>
      <c r="I191" s="69"/>
      <c r="J191" s="70"/>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row>
    <row r="192" ht="15.75" customHeight="1" spans="1:51">
      <c r="A192" s="69"/>
      <c r="B192" s="69"/>
      <c r="C192" s="70"/>
      <c r="D192" s="69"/>
      <c r="E192" s="69"/>
      <c r="F192" s="69"/>
      <c r="G192" s="69"/>
      <c r="H192" s="69"/>
      <c r="I192" s="69"/>
      <c r="J192" s="70"/>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row>
    <row r="193" ht="15.75" customHeight="1" spans="1:51">
      <c r="A193" s="69"/>
      <c r="B193" s="69"/>
      <c r="C193" s="70"/>
      <c r="D193" s="69"/>
      <c r="E193" s="69"/>
      <c r="F193" s="69"/>
      <c r="G193" s="69"/>
      <c r="H193" s="69"/>
      <c r="I193" s="69"/>
      <c r="J193" s="70"/>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row>
    <row r="194" ht="15.75" customHeight="1" spans="1:51">
      <c r="A194" s="69"/>
      <c r="B194" s="69"/>
      <c r="C194" s="70"/>
      <c r="D194" s="69"/>
      <c r="E194" s="69"/>
      <c r="F194" s="69"/>
      <c r="G194" s="69"/>
      <c r="H194" s="69"/>
      <c r="I194" s="69"/>
      <c r="J194" s="70"/>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row>
    <row r="195" ht="15.75" customHeight="1" spans="1:51">
      <c r="A195" s="69"/>
      <c r="B195" s="69"/>
      <c r="C195" s="70"/>
      <c r="D195" s="69"/>
      <c r="E195" s="69"/>
      <c r="F195" s="69"/>
      <c r="G195" s="69"/>
      <c r="H195" s="69"/>
      <c r="I195" s="69"/>
      <c r="J195" s="70"/>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row>
    <row r="196" ht="15.75" customHeight="1" spans="1:51">
      <c r="A196" s="69"/>
      <c r="B196" s="69"/>
      <c r="C196" s="70"/>
      <c r="D196" s="69"/>
      <c r="E196" s="69"/>
      <c r="F196" s="69"/>
      <c r="G196" s="69"/>
      <c r="H196" s="69"/>
      <c r="I196" s="69"/>
      <c r="J196" s="70"/>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row>
    <row r="197" ht="15.75" customHeight="1" spans="1:51">
      <c r="A197" s="69"/>
      <c r="B197" s="69"/>
      <c r="C197" s="70"/>
      <c r="D197" s="69"/>
      <c r="E197" s="69"/>
      <c r="F197" s="69"/>
      <c r="G197" s="69"/>
      <c r="H197" s="69"/>
      <c r="I197" s="69"/>
      <c r="J197" s="70"/>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row>
    <row r="198" ht="15.75" customHeight="1" spans="1:51">
      <c r="A198" s="69"/>
      <c r="B198" s="69"/>
      <c r="C198" s="70"/>
      <c r="D198" s="69"/>
      <c r="E198" s="69"/>
      <c r="F198" s="69"/>
      <c r="G198" s="69"/>
      <c r="H198" s="69"/>
      <c r="I198" s="69"/>
      <c r="J198" s="70"/>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row>
    <row r="199" ht="15.75" customHeight="1" spans="1:51">
      <c r="A199" s="69"/>
      <c r="B199" s="69"/>
      <c r="C199" s="70"/>
      <c r="D199" s="69"/>
      <c r="E199" s="69"/>
      <c r="F199" s="69"/>
      <c r="G199" s="69"/>
      <c r="H199" s="69"/>
      <c r="I199" s="69"/>
      <c r="J199" s="70"/>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row>
    <row r="200" ht="15.75" customHeight="1" spans="1:51">
      <c r="A200" s="69"/>
      <c r="B200" s="69"/>
      <c r="C200" s="70"/>
      <c r="D200" s="69"/>
      <c r="E200" s="69"/>
      <c r="F200" s="69"/>
      <c r="G200" s="69"/>
      <c r="H200" s="69"/>
      <c r="I200" s="69"/>
      <c r="J200" s="70"/>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row>
    <row r="201" ht="15.75" customHeight="1" spans="1:51">
      <c r="A201" s="69"/>
      <c r="B201" s="69"/>
      <c r="C201" s="70"/>
      <c r="D201" s="69"/>
      <c r="E201" s="69"/>
      <c r="F201" s="69"/>
      <c r="G201" s="69"/>
      <c r="H201" s="69"/>
      <c r="I201" s="69"/>
      <c r="J201" s="70"/>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row>
    <row r="202" ht="15.75" customHeight="1" spans="1:51">
      <c r="A202" s="69"/>
      <c r="B202" s="69"/>
      <c r="C202" s="70"/>
      <c r="D202" s="69"/>
      <c r="E202" s="69"/>
      <c r="F202" s="69"/>
      <c r="G202" s="69"/>
      <c r="H202" s="69"/>
      <c r="I202" s="69"/>
      <c r="J202" s="70"/>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row>
    <row r="203" ht="15.75" customHeight="1" spans="1:51">
      <c r="A203" s="69"/>
      <c r="B203" s="69"/>
      <c r="C203" s="70"/>
      <c r="D203" s="69"/>
      <c r="E203" s="69"/>
      <c r="F203" s="69"/>
      <c r="G203" s="69"/>
      <c r="H203" s="69"/>
      <c r="I203" s="69"/>
      <c r="J203" s="70"/>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row>
    <row r="204" ht="15.75" customHeight="1" spans="1:51">
      <c r="A204" s="69"/>
      <c r="B204" s="69"/>
      <c r="C204" s="70"/>
      <c r="D204" s="69"/>
      <c r="E204" s="69"/>
      <c r="F204" s="69"/>
      <c r="G204" s="69"/>
      <c r="H204" s="69"/>
      <c r="I204" s="69"/>
      <c r="J204" s="70"/>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row>
    <row r="205" ht="15.75" customHeight="1" spans="1:51">
      <c r="A205" s="69"/>
      <c r="B205" s="69"/>
      <c r="C205" s="70"/>
      <c r="D205" s="69"/>
      <c r="E205" s="69"/>
      <c r="F205" s="69"/>
      <c r="G205" s="69"/>
      <c r="H205" s="69"/>
      <c r="I205" s="69"/>
      <c r="J205" s="70"/>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row>
    <row r="206" ht="15.75" customHeight="1" spans="1:51">
      <c r="A206" s="69"/>
      <c r="B206" s="69"/>
      <c r="C206" s="70"/>
      <c r="D206" s="69"/>
      <c r="E206" s="69"/>
      <c r="F206" s="69"/>
      <c r="G206" s="69"/>
      <c r="H206" s="69"/>
      <c r="I206" s="69"/>
      <c r="J206" s="70"/>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row>
    <row r="207" ht="15.75" customHeight="1" spans="1:51">
      <c r="A207" s="69"/>
      <c r="B207" s="69"/>
      <c r="C207" s="70"/>
      <c r="D207" s="69"/>
      <c r="E207" s="69"/>
      <c r="F207" s="69"/>
      <c r="G207" s="69"/>
      <c r="H207" s="69"/>
      <c r="I207" s="69"/>
      <c r="J207" s="70"/>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row>
    <row r="208" ht="15.75" customHeight="1" spans="1:51">
      <c r="A208" s="69"/>
      <c r="B208" s="69"/>
      <c r="C208" s="70"/>
      <c r="D208" s="69"/>
      <c r="E208" s="69"/>
      <c r="F208" s="69"/>
      <c r="G208" s="69"/>
      <c r="H208" s="69"/>
      <c r="I208" s="69"/>
      <c r="J208" s="70"/>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row>
    <row r="209" ht="15.75" customHeight="1" spans="1:51">
      <c r="A209" s="69"/>
      <c r="B209" s="69"/>
      <c r="C209" s="70"/>
      <c r="D209" s="69"/>
      <c r="E209" s="69"/>
      <c r="F209" s="69"/>
      <c r="G209" s="69"/>
      <c r="H209" s="69"/>
      <c r="I209" s="69"/>
      <c r="J209" s="70"/>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row>
    <row r="210" ht="15.75" customHeight="1" spans="1:51">
      <c r="A210" s="69"/>
      <c r="B210" s="69"/>
      <c r="C210" s="70"/>
      <c r="D210" s="69"/>
      <c r="E210" s="69"/>
      <c r="F210" s="69"/>
      <c r="G210" s="69"/>
      <c r="H210" s="69"/>
      <c r="I210" s="69"/>
      <c r="J210" s="70"/>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row>
    <row r="211" ht="15.75" customHeight="1" spans="1:51">
      <c r="A211" s="69"/>
      <c r="B211" s="69"/>
      <c r="C211" s="70"/>
      <c r="D211" s="69"/>
      <c r="E211" s="69"/>
      <c r="F211" s="69"/>
      <c r="G211" s="69"/>
      <c r="H211" s="69"/>
      <c r="I211" s="69"/>
      <c r="J211" s="70"/>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row>
    <row r="212" ht="15.75" customHeight="1" spans="1:51">
      <c r="A212" s="69"/>
      <c r="B212" s="69"/>
      <c r="C212" s="70"/>
      <c r="D212" s="69"/>
      <c r="E212" s="69"/>
      <c r="F212" s="69"/>
      <c r="G212" s="69"/>
      <c r="H212" s="69"/>
      <c r="I212" s="69"/>
      <c r="J212" s="70"/>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row>
    <row r="213" ht="15.75" customHeight="1" spans="1:51">
      <c r="A213" s="69"/>
      <c r="B213" s="69"/>
      <c r="C213" s="70"/>
      <c r="D213" s="69"/>
      <c r="E213" s="69"/>
      <c r="F213" s="69"/>
      <c r="G213" s="69"/>
      <c r="H213" s="69"/>
      <c r="I213" s="69"/>
      <c r="J213" s="70"/>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row>
    <row r="214" ht="15.75" customHeight="1" spans="1:51">
      <c r="A214" s="69"/>
      <c r="B214" s="69"/>
      <c r="C214" s="70"/>
      <c r="D214" s="69"/>
      <c r="E214" s="69"/>
      <c r="F214" s="69"/>
      <c r="G214" s="69"/>
      <c r="H214" s="69"/>
      <c r="I214" s="69"/>
      <c r="J214" s="70"/>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row>
    <row r="215" ht="15.75" customHeight="1" spans="1:51">
      <c r="A215" s="69"/>
      <c r="B215" s="69"/>
      <c r="C215" s="70"/>
      <c r="D215" s="69"/>
      <c r="E215" s="69"/>
      <c r="F215" s="69"/>
      <c r="G215" s="69"/>
      <c r="H215" s="69"/>
      <c r="I215" s="69"/>
      <c r="J215" s="70"/>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row>
    <row r="216" ht="15.75" customHeight="1" spans="1:51">
      <c r="A216" s="69"/>
      <c r="B216" s="69"/>
      <c r="C216" s="70"/>
      <c r="D216" s="69"/>
      <c r="E216" s="69"/>
      <c r="F216" s="69"/>
      <c r="G216" s="69"/>
      <c r="H216" s="69"/>
      <c r="I216" s="69"/>
      <c r="J216" s="70"/>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row>
    <row r="217" ht="15.75" customHeight="1" spans="1:51">
      <c r="A217" s="69"/>
      <c r="B217" s="69"/>
      <c r="C217" s="70"/>
      <c r="D217" s="69"/>
      <c r="E217" s="69"/>
      <c r="F217" s="69"/>
      <c r="G217" s="69"/>
      <c r="H217" s="69"/>
      <c r="I217" s="69"/>
      <c r="J217" s="70"/>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row>
    <row r="218" ht="15.75" customHeight="1" spans="1:51">
      <c r="A218" s="69"/>
      <c r="B218" s="69"/>
      <c r="C218" s="70"/>
      <c r="D218" s="69"/>
      <c r="E218" s="69"/>
      <c r="F218" s="69"/>
      <c r="G218" s="69"/>
      <c r="H218" s="69"/>
      <c r="I218" s="69"/>
      <c r="J218" s="70"/>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row>
    <row r="219" ht="15.75" customHeight="1" spans="1:51">
      <c r="A219" s="69"/>
      <c r="B219" s="69"/>
      <c r="C219" s="70"/>
      <c r="D219" s="69"/>
      <c r="E219" s="69"/>
      <c r="F219" s="69"/>
      <c r="G219" s="69"/>
      <c r="H219" s="69"/>
      <c r="I219" s="69"/>
      <c r="J219" s="70"/>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row>
    <row r="220" ht="15.75" customHeight="1" spans="1:51">
      <c r="A220" s="69"/>
      <c r="B220" s="69"/>
      <c r="C220" s="70"/>
      <c r="D220" s="69"/>
      <c r="E220" s="69"/>
      <c r="F220" s="69"/>
      <c r="G220" s="69"/>
      <c r="H220" s="69"/>
      <c r="I220" s="69"/>
      <c r="J220" s="70"/>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row>
    <row r="221" ht="15.75" customHeight="1" spans="1:51">
      <c r="A221" s="69"/>
      <c r="B221" s="69"/>
      <c r="C221" s="70"/>
      <c r="D221" s="69"/>
      <c r="E221" s="69"/>
      <c r="F221" s="69"/>
      <c r="G221" s="69"/>
      <c r="H221" s="69"/>
      <c r="I221" s="69"/>
      <c r="J221" s="70"/>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row>
    <row r="222" ht="15.75" customHeight="1" spans="1:51">
      <c r="A222" s="69"/>
      <c r="B222" s="69"/>
      <c r="C222" s="70"/>
      <c r="D222" s="69"/>
      <c r="E222" s="69"/>
      <c r="F222" s="69"/>
      <c r="G222" s="69"/>
      <c r="H222" s="69"/>
      <c r="I222" s="69"/>
      <c r="J222" s="70"/>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row>
    <row r="223" ht="15.75" customHeight="1" spans="1:51">
      <c r="A223" s="69"/>
      <c r="B223" s="69"/>
      <c r="C223" s="70"/>
      <c r="D223" s="69"/>
      <c r="E223" s="69"/>
      <c r="F223" s="69"/>
      <c r="G223" s="69"/>
      <c r="H223" s="69"/>
      <c r="I223" s="69"/>
      <c r="J223" s="70"/>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row>
    <row r="224" ht="15.75" customHeight="1" spans="1:51">
      <c r="A224" s="69"/>
      <c r="B224" s="69"/>
      <c r="C224" s="70"/>
      <c r="D224" s="69"/>
      <c r="E224" s="69"/>
      <c r="F224" s="69"/>
      <c r="G224" s="69"/>
      <c r="H224" s="69"/>
      <c r="I224" s="69"/>
      <c r="J224" s="70"/>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row>
    <row r="225" ht="15.75" customHeight="1" spans="1:51">
      <c r="A225" s="69"/>
      <c r="B225" s="69"/>
      <c r="C225" s="70"/>
      <c r="D225" s="69"/>
      <c r="E225" s="69"/>
      <c r="F225" s="69"/>
      <c r="G225" s="69"/>
      <c r="H225" s="69"/>
      <c r="I225" s="69"/>
      <c r="J225" s="70"/>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row>
    <row r="226" ht="15.75" customHeight="1" spans="1:51">
      <c r="A226" s="69"/>
      <c r="B226" s="69"/>
      <c r="C226" s="70"/>
      <c r="D226" s="69"/>
      <c r="E226" s="69"/>
      <c r="F226" s="69"/>
      <c r="G226" s="69"/>
      <c r="H226" s="69"/>
      <c r="I226" s="69"/>
      <c r="J226" s="70"/>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row>
    <row r="227" ht="15.75" customHeight="1" spans="1:51">
      <c r="A227" s="69"/>
      <c r="B227" s="69"/>
      <c r="C227" s="70"/>
      <c r="D227" s="69"/>
      <c r="E227" s="69"/>
      <c r="F227" s="69"/>
      <c r="G227" s="69"/>
      <c r="H227" s="69"/>
      <c r="I227" s="69"/>
      <c r="J227" s="70"/>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row>
    <row r="228" ht="15.75" customHeight="1" spans="1:51">
      <c r="A228" s="69"/>
      <c r="B228" s="69"/>
      <c r="C228" s="70"/>
      <c r="D228" s="69"/>
      <c r="E228" s="69"/>
      <c r="F228" s="69"/>
      <c r="G228" s="69"/>
      <c r="H228" s="69"/>
      <c r="I228" s="69"/>
      <c r="J228" s="70"/>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row>
    <row r="229" ht="15.75" customHeight="1" spans="1:51">
      <c r="A229" s="69"/>
      <c r="B229" s="69"/>
      <c r="C229" s="70"/>
      <c r="D229" s="69"/>
      <c r="E229" s="69"/>
      <c r="F229" s="69"/>
      <c r="G229" s="69"/>
      <c r="H229" s="69"/>
      <c r="I229" s="69"/>
      <c r="J229" s="70"/>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row>
    <row r="230" ht="15.75" customHeight="1" spans="1:51">
      <c r="A230" s="69"/>
      <c r="B230" s="69"/>
      <c r="C230" s="70"/>
      <c r="D230" s="69"/>
      <c r="E230" s="69"/>
      <c r="F230" s="69"/>
      <c r="G230" s="69"/>
      <c r="H230" s="69"/>
      <c r="I230" s="69"/>
      <c r="J230" s="70"/>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row>
    <row r="231" ht="15.75" customHeight="1" spans="1:51">
      <c r="A231" s="69"/>
      <c r="B231" s="69"/>
      <c r="C231" s="70"/>
      <c r="D231" s="69"/>
      <c r="E231" s="69"/>
      <c r="F231" s="69"/>
      <c r="G231" s="69"/>
      <c r="H231" s="69"/>
      <c r="I231" s="69"/>
      <c r="J231" s="70"/>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row>
    <row r="232" ht="15.75" customHeight="1" spans="1:51">
      <c r="A232" s="69"/>
      <c r="B232" s="69"/>
      <c r="C232" s="70"/>
      <c r="D232" s="69"/>
      <c r="E232" s="69"/>
      <c r="F232" s="69"/>
      <c r="G232" s="69"/>
      <c r="H232" s="69"/>
      <c r="I232" s="69"/>
      <c r="J232" s="70"/>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row>
    <row r="233" ht="15.75" customHeight="1" spans="1:51">
      <c r="A233" s="69"/>
      <c r="B233" s="69"/>
      <c r="C233" s="70"/>
      <c r="D233" s="69"/>
      <c r="E233" s="69"/>
      <c r="F233" s="69"/>
      <c r="G233" s="69"/>
      <c r="H233" s="69"/>
      <c r="I233" s="69"/>
      <c r="J233" s="70"/>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row>
    <row r="234" ht="15.75" customHeight="1" spans="1:51">
      <c r="A234" s="69"/>
      <c r="B234" s="69"/>
      <c r="C234" s="70"/>
      <c r="D234" s="69"/>
      <c r="E234" s="69"/>
      <c r="F234" s="69"/>
      <c r="G234" s="69"/>
      <c r="H234" s="69"/>
      <c r="I234" s="69"/>
      <c r="J234" s="70"/>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row>
    <row r="235" ht="15.75" customHeight="1" spans="1:51">
      <c r="A235" s="69"/>
      <c r="B235" s="69"/>
      <c r="C235" s="70"/>
      <c r="D235" s="69"/>
      <c r="E235" s="69"/>
      <c r="F235" s="69"/>
      <c r="G235" s="69"/>
      <c r="H235" s="69"/>
      <c r="I235" s="69"/>
      <c r="J235" s="70"/>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row>
    <row r="236" ht="15.75" customHeight="1" spans="1:51">
      <c r="A236" s="69"/>
      <c r="B236" s="69"/>
      <c r="C236" s="70"/>
      <c r="D236" s="69"/>
      <c r="E236" s="69"/>
      <c r="F236" s="69"/>
      <c r="G236" s="69"/>
      <c r="H236" s="69"/>
      <c r="I236" s="69"/>
      <c r="J236" s="70"/>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row>
    <row r="237" ht="15.75" customHeight="1" spans="1:51">
      <c r="A237" s="69"/>
      <c r="B237" s="69"/>
      <c r="C237" s="70"/>
      <c r="D237" s="69"/>
      <c r="E237" s="69"/>
      <c r="F237" s="69"/>
      <c r="G237" s="69"/>
      <c r="H237" s="69"/>
      <c r="I237" s="69"/>
      <c r="J237" s="70"/>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row>
    <row r="238" ht="15.75" customHeight="1" spans="1:51">
      <c r="A238" s="69"/>
      <c r="B238" s="69"/>
      <c r="C238" s="70"/>
      <c r="D238" s="69"/>
      <c r="E238" s="69"/>
      <c r="F238" s="69"/>
      <c r="G238" s="69"/>
      <c r="H238" s="69"/>
      <c r="I238" s="69"/>
      <c r="J238" s="70"/>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row>
    <row r="239" ht="15.75" customHeight="1" spans="1:51">
      <c r="A239" s="69"/>
      <c r="B239" s="69"/>
      <c r="C239" s="70"/>
      <c r="D239" s="69"/>
      <c r="E239" s="69"/>
      <c r="F239" s="69"/>
      <c r="G239" s="69"/>
      <c r="H239" s="69"/>
      <c r="I239" s="69"/>
      <c r="J239" s="70"/>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c r="AX239" s="69"/>
      <c r="AY239" s="69"/>
    </row>
    <row r="240" ht="15.75" customHeight="1" spans="1:51">
      <c r="A240" s="69"/>
      <c r="B240" s="69"/>
      <c r="C240" s="70"/>
      <c r="D240" s="69"/>
      <c r="E240" s="69"/>
      <c r="F240" s="69"/>
      <c r="G240" s="69"/>
      <c r="H240" s="69"/>
      <c r="I240" s="69"/>
      <c r="J240" s="70"/>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row>
    <row r="241" ht="15.75" customHeight="1" spans="1:51">
      <c r="A241" s="69"/>
      <c r="B241" s="69"/>
      <c r="C241" s="70"/>
      <c r="D241" s="69"/>
      <c r="E241" s="69"/>
      <c r="F241" s="69"/>
      <c r="G241" s="69"/>
      <c r="H241" s="69"/>
      <c r="I241" s="69"/>
      <c r="J241" s="70"/>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c r="AX241" s="69"/>
      <c r="AY241" s="69"/>
    </row>
    <row r="242" ht="15.75" customHeight="1" spans="1:51">
      <c r="A242" s="69"/>
      <c r="B242" s="69"/>
      <c r="C242" s="70"/>
      <c r="D242" s="69"/>
      <c r="E242" s="69"/>
      <c r="F242" s="69"/>
      <c r="G242" s="69"/>
      <c r="H242" s="69"/>
      <c r="I242" s="69"/>
      <c r="J242" s="70"/>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row>
    <row r="243" ht="15.75" customHeight="1" spans="1:51">
      <c r="A243" s="69"/>
      <c r="B243" s="69"/>
      <c r="C243" s="70"/>
      <c r="D243" s="69"/>
      <c r="E243" s="69"/>
      <c r="F243" s="69"/>
      <c r="G243" s="69"/>
      <c r="H243" s="69"/>
      <c r="I243" s="69"/>
      <c r="J243" s="70"/>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row>
    <row r="244" ht="15.75" customHeight="1" spans="1:51">
      <c r="A244" s="69"/>
      <c r="B244" s="69"/>
      <c r="C244" s="70"/>
      <c r="D244" s="69"/>
      <c r="E244" s="69"/>
      <c r="F244" s="69"/>
      <c r="G244" s="69"/>
      <c r="H244" s="69"/>
      <c r="I244" s="69"/>
      <c r="J244" s="70"/>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row>
    <row r="245" ht="15.75" customHeight="1" spans="1:51">
      <c r="A245" s="69"/>
      <c r="B245" s="69"/>
      <c r="C245" s="70"/>
      <c r="D245" s="69"/>
      <c r="E245" s="69"/>
      <c r="F245" s="69"/>
      <c r="G245" s="69"/>
      <c r="H245" s="69"/>
      <c r="I245" s="69"/>
      <c r="J245" s="70"/>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row>
    <row r="246" ht="15.75" customHeight="1" spans="1:51">
      <c r="A246" s="69"/>
      <c r="B246" s="69"/>
      <c r="C246" s="70"/>
      <c r="D246" s="69"/>
      <c r="E246" s="69"/>
      <c r="F246" s="69"/>
      <c r="G246" s="69"/>
      <c r="H246" s="69"/>
      <c r="I246" s="69"/>
      <c r="J246" s="70"/>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row>
    <row r="247" ht="15.75" customHeight="1" spans="1:51">
      <c r="A247" s="69"/>
      <c r="B247" s="69"/>
      <c r="C247" s="70"/>
      <c r="D247" s="69"/>
      <c r="E247" s="69"/>
      <c r="F247" s="69"/>
      <c r="G247" s="69"/>
      <c r="H247" s="69"/>
      <c r="I247" s="69"/>
      <c r="J247" s="70"/>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row>
    <row r="248" ht="15.75" customHeight="1" spans="1:51">
      <c r="A248" s="69"/>
      <c r="B248" s="69"/>
      <c r="C248" s="70"/>
      <c r="D248" s="69"/>
      <c r="E248" s="69"/>
      <c r="F248" s="69"/>
      <c r="G248" s="69"/>
      <c r="H248" s="69"/>
      <c r="I248" s="69"/>
      <c r="J248" s="70"/>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row>
    <row r="249" ht="15.75" customHeight="1" spans="1:51">
      <c r="A249" s="69"/>
      <c r="B249" s="69"/>
      <c r="C249" s="70"/>
      <c r="D249" s="69"/>
      <c r="E249" s="69"/>
      <c r="F249" s="69"/>
      <c r="G249" s="69"/>
      <c r="H249" s="69"/>
      <c r="I249" s="69"/>
      <c r="J249" s="70"/>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c r="AX249" s="69"/>
      <c r="AY249" s="69"/>
    </row>
    <row r="250" ht="15.75" customHeight="1" spans="1:51">
      <c r="A250" s="69"/>
      <c r="B250" s="69"/>
      <c r="C250" s="70"/>
      <c r="D250" s="69"/>
      <c r="E250" s="69"/>
      <c r="F250" s="69"/>
      <c r="G250" s="69"/>
      <c r="H250" s="69"/>
      <c r="I250" s="69"/>
      <c r="J250" s="70"/>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T250" s="69"/>
      <c r="AU250" s="69"/>
      <c r="AV250" s="69"/>
      <c r="AW250" s="69"/>
      <c r="AX250" s="69"/>
      <c r="AY250" s="69"/>
    </row>
    <row r="251" ht="15.75" customHeight="1" spans="1: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row>
    <row r="252" ht="15.75" customHeight="1" spans="1:5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row>
    <row r="253" ht="15.75" customHeight="1" spans="1:5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row>
    <row r="254" ht="15.75" customHeight="1" spans="1:5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row>
    <row r="255" ht="15.75" customHeight="1" spans="1:5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row>
    <row r="256" ht="15.75" customHeight="1" spans="1:5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row>
    <row r="257" ht="15.75" customHeight="1" spans="1:5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row>
    <row r="258" ht="15.75" customHeight="1" spans="1:5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row>
    <row r="259" ht="15.75" customHeight="1" spans="1:5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row>
    <row r="260" ht="15.75" customHeight="1" spans="1:5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row>
    <row r="261" ht="15.75" customHeight="1" spans="1:5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row>
    <row r="262" ht="15.75" customHeight="1" spans="1:5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row>
    <row r="263" ht="15.75" customHeight="1" spans="1:5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row>
    <row r="264" ht="15.75" customHeight="1" spans="1:5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row>
    <row r="265" ht="15.75" customHeight="1" spans="1:5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row>
    <row r="266" ht="15.75" customHeight="1" spans="1:5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row>
    <row r="267" ht="15.75" customHeight="1" spans="1:5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row>
    <row r="268" ht="15.75" customHeight="1" spans="1:5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row>
    <row r="269" ht="15.75" customHeight="1" spans="1:5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row>
    <row r="270" ht="15.75" customHeight="1" spans="1:5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row>
    <row r="271" ht="15.75" customHeight="1" spans="1:5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row>
    <row r="272" ht="15.75" customHeight="1" spans="1:5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row>
    <row r="273" ht="15.75" customHeight="1" spans="1:5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row>
    <row r="274" ht="15.75" customHeight="1" spans="1:5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row>
    <row r="275" ht="15.75" customHeight="1" spans="1:5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row>
    <row r="276" ht="15.75" customHeight="1" spans="1:5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row>
    <row r="277" ht="15.75" customHeight="1" spans="1:5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row>
    <row r="278" ht="15.75" customHeight="1" spans="1:5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row>
    <row r="279" ht="15.75" customHeight="1" spans="1:5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row>
    <row r="280" ht="15.75" customHeight="1" spans="1:5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row>
    <row r="281" ht="15.75" customHeight="1" spans="1:5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row>
    <row r="282" ht="15.75" customHeight="1" spans="1:5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row>
    <row r="283" ht="15.75" customHeight="1" spans="1:5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row>
    <row r="284" ht="15.75" customHeight="1" spans="1:5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row>
    <row r="285" ht="15.75" customHeight="1" spans="1:5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row>
    <row r="286" ht="15.75" customHeight="1" spans="1:5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row>
    <row r="287" ht="15.75" customHeight="1" spans="1:5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row>
    <row r="288" ht="15.75" customHeight="1" spans="1:5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row>
    <row r="289" ht="15.75" customHeight="1" spans="1:5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row>
    <row r="290" ht="15.75" customHeight="1" spans="1:5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row>
    <row r="291" ht="15.75" customHeight="1" spans="1:5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row>
    <row r="292" ht="15.75" customHeight="1" spans="1:5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row>
    <row r="293" ht="15.75" customHeight="1" spans="1:5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row>
    <row r="294" ht="15.75" customHeight="1" spans="1:5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row>
    <row r="295" ht="15.75" customHeight="1" spans="1:5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row>
    <row r="296" ht="15.75" customHeight="1" spans="1:5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row>
    <row r="297" ht="15.75" customHeight="1" spans="1:5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row>
    <row r="298" ht="15.75" customHeight="1" spans="1:5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row>
    <row r="299" ht="15.75" customHeight="1" spans="1:5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row>
    <row r="300" ht="15.75" customHeight="1" spans="1:5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row>
    <row r="301" ht="15.75" customHeight="1" spans="1:5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row>
    <row r="302" ht="15.75" customHeight="1" spans="1:5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row>
    <row r="303" ht="15.75" customHeight="1" spans="1:5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row>
    <row r="304" ht="15.75" customHeight="1" spans="1:5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row>
    <row r="305" ht="15.75" customHeight="1" spans="1:5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row>
    <row r="306" ht="15.75" customHeight="1" spans="1:5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row>
    <row r="307" ht="15.75" customHeight="1" spans="1:5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row>
    <row r="308" ht="15.75" customHeight="1" spans="1:5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row>
    <row r="309" ht="15.75" customHeight="1" spans="1:5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row>
    <row r="310" ht="15.75" customHeight="1" spans="1:5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row>
    <row r="311" ht="15.75" customHeight="1" spans="1:5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row>
    <row r="312" ht="15.75" customHeight="1" spans="1:5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row>
    <row r="313" ht="15.75" customHeight="1" spans="1:5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row>
    <row r="314" ht="15.75" customHeight="1" spans="1:5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row>
    <row r="315" ht="15.75" customHeight="1" spans="1:5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row>
    <row r="316" ht="15.75" customHeight="1" spans="1:5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row>
    <row r="317" ht="15.75" customHeight="1" spans="1:5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row>
    <row r="318" ht="15.75" customHeight="1" spans="1:5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row>
    <row r="319" ht="15.75" customHeight="1" spans="1:5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row>
    <row r="320" ht="15.75" customHeight="1" spans="1:5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row>
    <row r="321" ht="15.75" customHeight="1" spans="1:5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row>
    <row r="322" ht="15.75" customHeight="1" spans="1:5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row>
    <row r="323" ht="15.75" customHeight="1" spans="1:5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row>
    <row r="324" ht="15.75" customHeight="1" spans="1:5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row>
    <row r="325" ht="15.75" customHeight="1" spans="1:5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row>
    <row r="326" ht="15.75" customHeight="1" spans="1:5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row>
    <row r="327" ht="15.75" customHeight="1" spans="1:5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row>
    <row r="328" ht="15.75" customHeight="1" spans="1:5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row>
    <row r="329" ht="15.75" customHeight="1" spans="1:5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row>
    <row r="330" ht="15.75" customHeight="1" spans="1:5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row>
    <row r="331" ht="15.75" customHeight="1" spans="1:5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row>
    <row r="332" ht="15.75" customHeight="1" spans="1:5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row>
    <row r="333" ht="15.75" customHeight="1" spans="1:5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row>
    <row r="334" ht="15.75" customHeight="1" spans="1:5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row>
    <row r="335" ht="15.75" customHeight="1" spans="1:5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row>
    <row r="336" ht="15.75" customHeight="1" spans="1:5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row>
    <row r="337" ht="15.75" customHeight="1" spans="1:5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row>
    <row r="338" ht="15.75" customHeight="1" spans="1:5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row>
    <row r="339" ht="15.75" customHeight="1" spans="1:5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row>
    <row r="340" ht="15.75" customHeight="1" spans="1:5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row>
    <row r="341" ht="15.75" customHeight="1" spans="1:5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row>
    <row r="342" ht="15.75" customHeight="1" spans="1:5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row>
    <row r="343" ht="15.75" customHeight="1" spans="1:5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row>
    <row r="344" ht="15.75" customHeight="1" spans="1:5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row>
    <row r="345" ht="15.75" customHeight="1" spans="1:5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row>
    <row r="346" ht="15.75" customHeight="1" spans="1:5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row>
    <row r="347" ht="15.75" customHeight="1" spans="1:5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row>
    <row r="348" ht="15.75" customHeight="1" spans="1:5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row>
    <row r="349" ht="15.75" customHeight="1" spans="1:5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row>
    <row r="350" ht="15.75" customHeight="1" spans="1:5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row>
    <row r="351" ht="15.75" customHeight="1" spans="1: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row>
    <row r="352" ht="15.75" customHeight="1" spans="1:5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row>
    <row r="353" ht="15.75" customHeight="1" spans="1:5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row>
    <row r="354" ht="15.75" customHeight="1" spans="1:5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row>
    <row r="355" ht="15.75" customHeight="1" spans="1:5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row>
    <row r="356" ht="15.75" customHeight="1" spans="1:5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row>
    <row r="357" ht="15.75" customHeight="1" spans="1:5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row>
    <row r="358" ht="15.75" customHeight="1" spans="1:5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row>
    <row r="359" ht="15.75" customHeight="1" spans="1:5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row>
    <row r="360" ht="15.75" customHeight="1" spans="1:5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row>
    <row r="361" ht="15.75" customHeight="1" spans="1:5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row>
    <row r="362" ht="15.75" customHeight="1" spans="1:5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row>
    <row r="363" ht="15.75" customHeight="1" spans="1:5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row>
    <row r="364" ht="15.75" customHeight="1" spans="1:5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row>
    <row r="365" ht="15.75" customHeight="1" spans="1:5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row>
    <row r="366" ht="15.75" customHeight="1" spans="1:5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row>
    <row r="367" ht="15.75" customHeight="1" spans="1:5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row>
    <row r="368" ht="15.75" customHeight="1" spans="1:5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row>
    <row r="369" ht="15.75" customHeight="1" spans="1:5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row>
    <row r="370" ht="15.75" customHeight="1" spans="1:5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row>
    <row r="371" ht="15.75" customHeight="1" spans="1:5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row>
    <row r="372" ht="15.75" customHeight="1" spans="1:5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row>
    <row r="373" ht="15.75" customHeight="1" spans="1:5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row>
    <row r="374" ht="15.75" customHeight="1" spans="1:5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row>
    <row r="375" ht="15.75" customHeight="1" spans="1:5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row>
    <row r="376" ht="15.75" customHeight="1" spans="1:5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row>
    <row r="377" ht="15.75" customHeight="1" spans="1:5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row>
    <row r="378" ht="15.75" customHeight="1" spans="1:5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row>
    <row r="379" ht="15.75" customHeight="1" spans="1:5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row>
    <row r="380" ht="15.75" customHeight="1" spans="1:5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row>
    <row r="381" ht="15.75" customHeight="1" spans="1:5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row>
    <row r="382" ht="15.75" customHeight="1" spans="1:5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row>
    <row r="383" ht="15.75" customHeight="1" spans="1:5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row>
    <row r="384" ht="15.75" customHeight="1" spans="1:5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row>
    <row r="385" ht="15.75" customHeight="1" spans="1:5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row>
    <row r="386" ht="15.75" customHeight="1" spans="1:5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row>
    <row r="387" ht="15.75" customHeight="1" spans="1:5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row>
    <row r="388" ht="15.75" customHeight="1" spans="1:5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row>
    <row r="389" ht="15.75" customHeight="1" spans="1:5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row>
    <row r="390" ht="15.75" customHeight="1" spans="1:5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row>
    <row r="391" ht="15.75" customHeight="1" spans="1:5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row>
    <row r="392" ht="15.75" customHeight="1" spans="1:5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row>
    <row r="393" ht="15.75" customHeight="1" spans="1:5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row>
    <row r="394" ht="15.75" customHeight="1" spans="1:5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row>
    <row r="395" ht="15.75" customHeight="1" spans="1:5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row>
    <row r="396" ht="15.75" customHeight="1" spans="1:5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row>
    <row r="397" ht="15.75" customHeight="1" spans="1:5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row>
    <row r="398" ht="15.75" customHeight="1" spans="1:5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row>
    <row r="399" ht="15.75" customHeight="1" spans="1:5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row>
    <row r="400" ht="15.75" customHeight="1" spans="1:5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row>
    <row r="401" ht="15.75" customHeight="1" spans="1:5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row>
    <row r="402" ht="15.75" customHeight="1" spans="1:5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row>
    <row r="403" ht="15.75" customHeight="1" spans="1:5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row>
    <row r="404" ht="15.75" customHeight="1" spans="1:5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row>
    <row r="405" ht="15.75" customHeight="1" spans="1:5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row>
    <row r="406" ht="15.75" customHeight="1" spans="1:5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row>
    <row r="407" ht="15.75" customHeight="1" spans="1:5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row>
    <row r="408" ht="15.75" customHeight="1" spans="1:5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row>
    <row r="409" ht="15.75" customHeight="1" spans="1:5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row>
    <row r="410" ht="15.75" customHeight="1" spans="1:5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row>
    <row r="411" ht="15.75" customHeight="1" spans="1:5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row>
    <row r="412" ht="15.75" customHeight="1" spans="1:5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row>
    <row r="413" ht="15.75" customHeight="1" spans="1:5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row>
    <row r="414" ht="15.75" customHeight="1" spans="1:5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row>
    <row r="415" ht="15.75" customHeight="1" spans="1:5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row>
    <row r="416" ht="15.75" customHeight="1" spans="1:5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row>
    <row r="417" ht="15.75" customHeight="1" spans="1:5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row>
    <row r="418" ht="15.75" customHeight="1" spans="1:5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row>
    <row r="419" ht="15.75" customHeight="1" spans="1:5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row>
    <row r="420" ht="15.75" customHeight="1" spans="1:5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row>
    <row r="421" ht="15.75" customHeight="1" spans="1:5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row>
    <row r="422" ht="15.75" customHeight="1" spans="1:5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row>
    <row r="423" ht="15.75" customHeight="1" spans="1:5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row>
    <row r="424" ht="15.75" customHeight="1" spans="1:5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row>
    <row r="425" ht="15.75" customHeight="1" spans="1:5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row>
    <row r="426" ht="15.75" customHeight="1" spans="1:5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row>
    <row r="427" ht="15.75" customHeight="1" spans="1:5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row>
    <row r="428" ht="15.75" customHeight="1" spans="1:5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row>
    <row r="429" ht="15.75" customHeight="1" spans="1:5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row>
    <row r="430" ht="15.75" customHeight="1" spans="1:5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row>
    <row r="431" ht="15.75" customHeight="1" spans="1:5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row>
    <row r="432" ht="15.75" customHeight="1" spans="1:5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row>
    <row r="433" ht="15.75" customHeight="1" spans="1:5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row>
    <row r="434" ht="15.75" customHeight="1" spans="1:5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row>
    <row r="435" ht="15.75" customHeight="1" spans="1:5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row>
    <row r="436" ht="15.75" customHeight="1" spans="1:5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row>
    <row r="437" ht="15.75" customHeight="1" spans="1:5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row>
    <row r="438" ht="15.75" customHeight="1" spans="1:5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row>
    <row r="439" ht="15.75" customHeight="1" spans="1:5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row>
    <row r="440" ht="15.75" customHeight="1" spans="1:5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row>
    <row r="441" ht="15.75" customHeight="1" spans="1:5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row>
    <row r="442" ht="15.75" customHeight="1" spans="1:5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row>
    <row r="443" ht="15.75" customHeight="1" spans="1:5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row>
    <row r="444" ht="15.75" customHeight="1" spans="1:5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row>
    <row r="445" ht="15.75" customHeight="1" spans="1:5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row>
    <row r="446" ht="15.75" customHeight="1" spans="1:5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row>
    <row r="447" ht="15.75" customHeight="1" spans="1:5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row>
    <row r="448" ht="15.75" customHeight="1" spans="1:5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row>
    <row r="449" ht="15.75" customHeight="1" spans="1:5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row>
    <row r="450" ht="15.75" customHeight="1" spans="1:5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row>
    <row r="451" ht="15.75" customHeight="1" spans="1: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row>
    <row r="452" ht="15.75" customHeight="1" spans="1:5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row>
    <row r="453" ht="15.75" customHeight="1" spans="1:5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row>
    <row r="454" ht="15.75" customHeight="1" spans="1:5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row>
    <row r="455" ht="15.75" customHeight="1" spans="1:5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row>
    <row r="456" ht="15.75" customHeight="1" spans="1:5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row>
    <row r="457" ht="15.75" customHeight="1" spans="1:5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row>
    <row r="458" ht="15.75" customHeight="1" spans="1:5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row>
    <row r="459" ht="15.75" customHeight="1" spans="1:5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row>
    <row r="460" ht="15.75" customHeight="1" spans="1:5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row>
    <row r="461" ht="15.75" customHeight="1" spans="1:5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row>
    <row r="462" ht="15.75" customHeight="1" spans="1:5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row>
    <row r="463" ht="15.75" customHeight="1" spans="1:5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row>
    <row r="464" ht="15.75" customHeight="1" spans="1:5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row>
    <row r="465" ht="15.75" customHeight="1" spans="1:5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row>
    <row r="466" ht="15.75" customHeight="1" spans="1:5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row>
    <row r="467" ht="15.75" customHeight="1" spans="1:5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row>
    <row r="468" ht="15.75" customHeight="1" spans="1:5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row>
    <row r="469" ht="15.75" customHeight="1" spans="1:5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row>
    <row r="470" ht="15.75" customHeight="1" spans="1:5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row>
    <row r="471" ht="15.75" customHeight="1" spans="1:5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row>
    <row r="472" ht="15.75" customHeight="1" spans="1:5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row>
    <row r="473" ht="15.75" customHeight="1" spans="1:5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row>
    <row r="474" ht="15.75" customHeight="1" spans="1:5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row>
    <row r="475" ht="15.75" customHeight="1" spans="1:5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row>
    <row r="476" ht="15.75" customHeight="1" spans="1:5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row>
    <row r="477" ht="15.75" customHeight="1" spans="1:5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row>
    <row r="478" ht="15.75" customHeight="1" spans="1:5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row>
    <row r="479" ht="15.75" customHeight="1" spans="1:5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row>
    <row r="480" ht="15.75" customHeight="1" spans="1:5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row>
    <row r="481" ht="15.75" customHeight="1" spans="1:5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row>
    <row r="482" ht="15.75" customHeight="1" spans="1:5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row>
    <row r="483" ht="15.75" customHeight="1" spans="1:5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row>
    <row r="484" ht="15.75" customHeight="1" spans="1:5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row>
    <row r="485" ht="15.75" customHeight="1" spans="1:5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row>
    <row r="486" ht="15.75" customHeight="1" spans="1:5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row>
    <row r="487" ht="15.75" customHeight="1" spans="1:5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row>
    <row r="488" ht="15.75" customHeight="1" spans="1:5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row>
    <row r="489" ht="15.75" customHeight="1" spans="1:5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row>
    <row r="490" ht="15.75" customHeight="1" spans="1:5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row>
    <row r="491" ht="15.75" customHeight="1" spans="1:5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row>
    <row r="492" ht="15.75" customHeight="1" spans="1:5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row>
    <row r="493" ht="15.75" customHeight="1" spans="1:5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row>
    <row r="494" ht="15.75" customHeight="1" spans="1:5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row>
    <row r="495" ht="15.75" customHeight="1" spans="1:5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row>
    <row r="496" ht="15.75" customHeight="1" spans="1:5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row>
    <row r="497" ht="15.75" customHeight="1" spans="1:5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row>
    <row r="498" ht="15.75" customHeight="1" spans="1:5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row>
    <row r="499" ht="15.75" customHeight="1" spans="1:5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row>
    <row r="500" ht="15.75" customHeight="1" spans="1:5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row>
    <row r="501" ht="15.75" customHeight="1" spans="1:5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row>
    <row r="502" ht="15.75" customHeight="1" spans="1:5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row>
    <row r="503" ht="15.75" customHeight="1" spans="1:5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row>
    <row r="504" ht="15.75" customHeight="1" spans="1:5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row>
    <row r="505" ht="15.75" customHeight="1" spans="1:5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row>
    <row r="506" ht="15.75" customHeight="1" spans="1:5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row>
    <row r="507" ht="15.75" customHeight="1" spans="1:5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row>
    <row r="508" ht="15.75" customHeight="1" spans="1:5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row>
    <row r="509" ht="15.75" customHeight="1" spans="1:5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row>
    <row r="510" ht="15.75" customHeight="1" spans="1:5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row>
    <row r="511" ht="15.75" customHeight="1" spans="1:5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row>
    <row r="512" ht="15.75" customHeight="1" spans="1:5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row>
    <row r="513" ht="15.75" customHeight="1" spans="1:5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row>
    <row r="514" ht="15.75" customHeight="1" spans="1:5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row>
    <row r="515" ht="15.75" customHeight="1" spans="1:5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row>
    <row r="516" ht="15.75" customHeight="1" spans="1:5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row>
    <row r="517" ht="15.75" customHeight="1" spans="1:5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row>
    <row r="518" ht="15.75" customHeight="1" spans="1:5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row>
    <row r="519" ht="15.75" customHeight="1" spans="1:5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row>
    <row r="520" ht="15.75" customHeight="1" spans="1:5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row>
    <row r="521" ht="15.75" customHeight="1" spans="1:5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row>
    <row r="522" ht="15.75" customHeight="1" spans="1:5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row>
    <row r="523" ht="15.75" customHeight="1" spans="1:5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row>
    <row r="524" ht="15.75" customHeight="1" spans="1:5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row>
    <row r="525" ht="15.75" customHeight="1" spans="1:5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row>
    <row r="526" ht="15.75" customHeight="1" spans="1:5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row>
    <row r="527" ht="15.75" customHeight="1" spans="1:5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row>
    <row r="528" ht="15.75" customHeight="1" spans="1:5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row>
    <row r="529" ht="15.75" customHeight="1" spans="1:5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row>
    <row r="530" ht="15.75" customHeight="1" spans="1:5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row>
    <row r="531" ht="15.75" customHeight="1" spans="1:5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row>
    <row r="532" ht="15.75" customHeight="1" spans="1:5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row>
    <row r="533" ht="15.75" customHeight="1" spans="1:5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row>
    <row r="534" ht="15.75" customHeight="1" spans="1:5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row>
    <row r="535" ht="15.75" customHeight="1" spans="1:5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row>
    <row r="536" ht="15.75" customHeight="1" spans="1:5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row>
    <row r="537" ht="15.75" customHeight="1" spans="1:5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row>
    <row r="538" ht="15.75" customHeight="1" spans="1:5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row>
    <row r="539" ht="15.75" customHeight="1" spans="1:5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row>
    <row r="540" ht="15.75" customHeight="1" spans="1:5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row>
    <row r="541" ht="15.75" customHeight="1" spans="1:5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row>
    <row r="542" ht="15.75" customHeight="1" spans="1:5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row>
    <row r="543" ht="15.75" customHeight="1" spans="1:5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row>
    <row r="544" ht="15.75" customHeight="1" spans="1:5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row>
    <row r="545" ht="15.75" customHeight="1" spans="1:5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row>
    <row r="546" ht="15.75" customHeight="1" spans="1:5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row>
    <row r="547" ht="15.75" customHeight="1" spans="1:5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row>
    <row r="548" ht="15.75" customHeight="1" spans="1:5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row>
    <row r="549" ht="15.75" customHeight="1" spans="1:5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row>
    <row r="550" ht="15.75" customHeight="1" spans="1:5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row>
    <row r="551" ht="15.75" customHeight="1" spans="1: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row>
    <row r="552" ht="15.75" customHeight="1" spans="1:5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row>
    <row r="553" ht="15.75" customHeight="1" spans="1:5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row>
    <row r="554" ht="15.75" customHeight="1" spans="1:5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row>
    <row r="555" ht="15.75" customHeight="1" spans="1:5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row>
    <row r="556" ht="15.75" customHeight="1" spans="1:5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row>
    <row r="557" ht="15.75" customHeight="1" spans="1:5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row>
    <row r="558" ht="15.75" customHeight="1" spans="1:5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row>
    <row r="559" ht="15.75" customHeight="1" spans="1:5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row>
    <row r="560" ht="15.75" customHeight="1" spans="1:5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row>
    <row r="561" ht="15.75" customHeight="1" spans="1:5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row>
    <row r="562" ht="15.75" customHeight="1" spans="1:5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row>
    <row r="563" ht="15.75" customHeight="1" spans="1:5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row>
    <row r="564" ht="15.75" customHeight="1" spans="1:5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row>
    <row r="565" ht="15.75" customHeight="1" spans="1:5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row>
    <row r="566" ht="15.75" customHeight="1" spans="1:5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row>
    <row r="567" ht="15.75" customHeight="1" spans="1:5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row>
    <row r="568" ht="15.75" customHeight="1" spans="1:5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row>
    <row r="569" ht="15.75" customHeight="1" spans="1:5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row>
    <row r="570" ht="15.75" customHeight="1" spans="1:5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row>
    <row r="571" ht="15.75" customHeight="1" spans="1:5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row>
    <row r="572" ht="15.75" customHeight="1" spans="1:5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row>
    <row r="573" ht="15.75" customHeight="1" spans="1:5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row>
    <row r="574" ht="15.75" customHeight="1" spans="1:5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row>
    <row r="575" ht="15.75" customHeight="1" spans="1:5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row>
    <row r="576" ht="15.75" customHeight="1" spans="1:5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row>
    <row r="577" ht="15.75" customHeight="1" spans="1:5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row>
    <row r="578" ht="15.75" customHeight="1" spans="1:5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row>
    <row r="579" ht="15.75" customHeight="1" spans="1:5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row>
    <row r="580" ht="15.75" customHeight="1" spans="1:5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row>
    <row r="581" ht="15.75" customHeight="1" spans="1:5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row>
    <row r="582" ht="15.75" customHeight="1" spans="1:5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row>
    <row r="583" ht="15.75" customHeight="1" spans="1:5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row>
    <row r="584" ht="15.75" customHeight="1" spans="1:5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row>
    <row r="585" ht="15.75" customHeight="1" spans="1:5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row>
    <row r="586" ht="15.75" customHeight="1" spans="1:5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row>
    <row r="587" ht="15.75" customHeight="1" spans="1:5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row>
    <row r="588" ht="15.75" customHeight="1" spans="1:5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row>
    <row r="589" ht="15.75" customHeight="1" spans="1:5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row>
    <row r="590" ht="15.75" customHeight="1" spans="1:5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row>
    <row r="591" ht="15.75" customHeight="1" spans="1:5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row>
    <row r="592" ht="15.75" customHeight="1" spans="1:5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row>
    <row r="593" ht="15.75" customHeight="1" spans="1:5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row>
    <row r="594" ht="15.75" customHeight="1" spans="1:5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row>
    <row r="595" ht="15.75" customHeight="1" spans="1:5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row>
    <row r="596" ht="15.75" customHeight="1" spans="1:5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row>
    <row r="597" ht="15.75" customHeight="1" spans="1:5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row>
    <row r="598" ht="15.75" customHeight="1" spans="1:5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row>
    <row r="599" ht="15.75" customHeight="1" spans="1:5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row>
    <row r="600" ht="15.75" customHeight="1" spans="1:5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row>
    <row r="601" ht="15.75" customHeight="1" spans="1:5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row>
    <row r="602" ht="15.75" customHeight="1" spans="1:5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row>
    <row r="603" ht="15.75" customHeight="1" spans="1:5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row>
    <row r="604" ht="15.75" customHeight="1" spans="1:5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row>
    <row r="605" ht="15.75" customHeight="1" spans="1:5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row>
    <row r="606" ht="15.75" customHeight="1" spans="1:5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row>
    <row r="607" ht="15.75" customHeight="1" spans="1:5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row>
    <row r="608" ht="15.75" customHeight="1" spans="1:5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row>
    <row r="609" ht="15.75" customHeight="1" spans="1:5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row>
    <row r="610" ht="15.75" customHeight="1" spans="1:5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row>
    <row r="611" ht="15.75" customHeight="1" spans="1:5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row>
    <row r="612" ht="15.75" customHeight="1" spans="1:5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row>
    <row r="613" ht="15.75" customHeight="1" spans="1:5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row>
    <row r="614" ht="15.75" customHeight="1" spans="1:5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row>
    <row r="615" ht="15.75" customHeight="1" spans="1:5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row>
    <row r="616" ht="15.75" customHeight="1" spans="1:5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row>
    <row r="617" ht="15.75" customHeight="1" spans="1:5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row>
    <row r="618" ht="15.75" customHeight="1" spans="1:5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row>
    <row r="619" ht="15.75" customHeight="1" spans="1:5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row>
    <row r="620" ht="15.75" customHeight="1" spans="1:5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row>
    <row r="621" ht="15.75" customHeight="1" spans="1:5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row>
    <row r="622" ht="15.75" customHeight="1" spans="1:5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row>
    <row r="623" ht="15.75" customHeight="1" spans="1:5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row>
    <row r="624" ht="15.75" customHeight="1" spans="1:5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row>
    <row r="625" ht="15.75" customHeight="1" spans="1:5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row>
    <row r="626" ht="15.75" customHeight="1" spans="1:5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row>
    <row r="627" ht="15.75" customHeight="1" spans="1:5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row>
    <row r="628" ht="15.75" customHeight="1" spans="1:5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row>
    <row r="629" ht="15.75" customHeight="1" spans="1:5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row>
    <row r="630" ht="15.75" customHeight="1" spans="1:5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row>
    <row r="631" ht="15.75" customHeight="1" spans="1:5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row>
    <row r="632" ht="15.75" customHeight="1" spans="1:5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row>
    <row r="633" ht="15.75" customHeight="1" spans="1:5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row>
    <row r="634" ht="15.75" customHeight="1" spans="1:5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row>
    <row r="635" ht="15.75" customHeight="1" spans="1:5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row>
    <row r="636" ht="15.75" customHeight="1" spans="1:5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row>
    <row r="637" ht="15.75" customHeight="1" spans="1:5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row>
    <row r="638" ht="15.75" customHeight="1" spans="1:5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row>
    <row r="639" ht="15.75" customHeight="1" spans="1:5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row>
    <row r="640" ht="15.75" customHeight="1" spans="1:5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row>
    <row r="641" ht="15.75" customHeight="1" spans="1:5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row>
    <row r="642" ht="15.75" customHeight="1" spans="1:5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row>
    <row r="643" ht="15.75" customHeight="1" spans="1:5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row>
    <row r="644" ht="15.75" customHeight="1" spans="1:5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row>
    <row r="645" ht="15.75" customHeight="1" spans="1:5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row>
    <row r="646" ht="15.75" customHeight="1" spans="1:5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row>
    <row r="647" ht="15.75" customHeight="1" spans="1:5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row>
    <row r="648" ht="15.75" customHeight="1" spans="1:5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row>
    <row r="649" ht="15.75" customHeight="1" spans="1:5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row>
    <row r="650" ht="15.75" customHeight="1" spans="1:5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row>
    <row r="651" ht="15.75" customHeight="1" spans="1: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row>
    <row r="652" ht="15.75" customHeight="1" spans="1:5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row>
    <row r="653" ht="15.75" customHeight="1" spans="1:5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row>
    <row r="654" ht="15.75" customHeight="1" spans="1:5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row>
    <row r="655" ht="15.75" customHeight="1" spans="1:5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row>
    <row r="656" ht="15.75" customHeight="1" spans="1:5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row>
    <row r="657" ht="15.75" customHeight="1" spans="1:5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row>
    <row r="658" ht="15.75" customHeight="1" spans="1:5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row>
    <row r="659" ht="15.75" customHeight="1" spans="1:5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row>
    <row r="660" ht="15.75" customHeight="1" spans="1:5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row>
    <row r="661" ht="15.75" customHeight="1" spans="1:5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row>
    <row r="662" ht="15.75" customHeight="1" spans="1:5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row>
    <row r="663" ht="15.75" customHeight="1" spans="1:5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row>
    <row r="664" ht="15.75" customHeight="1" spans="1:5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row>
    <row r="665" ht="15.75" customHeight="1" spans="1:5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row>
    <row r="666" ht="15.75" customHeight="1" spans="1:5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row>
    <row r="667" ht="15.75" customHeight="1" spans="1:5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row>
    <row r="668" ht="15.75" customHeight="1" spans="1:5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row>
    <row r="669" ht="15.75" customHeight="1" spans="1:5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row>
    <row r="670" ht="15.75" customHeight="1" spans="1:5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row>
    <row r="671" ht="15.75" customHeight="1" spans="1:5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row>
    <row r="672" ht="15.75" customHeight="1" spans="1:5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row>
    <row r="673" ht="15.75" customHeight="1" spans="1:5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row>
    <row r="674" ht="15.75" customHeight="1" spans="1:5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row>
    <row r="675" ht="15.75" customHeight="1" spans="1:5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row>
    <row r="676" ht="15.75" customHeight="1" spans="1:5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row>
    <row r="677" ht="15.75" customHeight="1" spans="1:5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row>
    <row r="678" ht="15.75" customHeight="1" spans="1:5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row>
    <row r="679" ht="15.75" customHeight="1" spans="1:5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row>
    <row r="680" ht="15.75" customHeight="1" spans="1:5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row>
    <row r="681" ht="15.75" customHeight="1" spans="1:5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row>
    <row r="682" ht="15.75" customHeight="1" spans="1:5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row>
    <row r="683" ht="15.75" customHeight="1" spans="1:5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row>
    <row r="684" ht="15.75" customHeight="1" spans="1:5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row>
    <row r="685" ht="15.75" customHeight="1" spans="1:5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row>
    <row r="686" ht="15.75" customHeight="1" spans="1:5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row>
    <row r="687" ht="15.75" customHeight="1" spans="1:5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row>
    <row r="688" ht="15.75" customHeight="1" spans="1:5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row>
    <row r="689" ht="15.75" customHeight="1" spans="1:5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row>
    <row r="690" ht="15.75" customHeight="1" spans="1:5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row>
    <row r="691" ht="15.75" customHeight="1" spans="1:5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row>
    <row r="692" ht="15.75" customHeight="1" spans="1:5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row>
    <row r="693" ht="15.75" customHeight="1" spans="1:5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row>
    <row r="694" ht="15.75" customHeight="1" spans="1:5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row>
    <row r="695" ht="15.75" customHeight="1" spans="1:5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row>
    <row r="696" ht="15.75" customHeight="1" spans="1:5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row>
    <row r="697" ht="15.75" customHeight="1" spans="1:5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row>
    <row r="698" ht="15.75" customHeight="1" spans="1:5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row>
    <row r="699" ht="15.75" customHeight="1" spans="1:5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row>
    <row r="700" ht="15.75" customHeight="1" spans="1:5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row>
    <row r="701" ht="15.75" customHeight="1" spans="1:5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row>
    <row r="702" ht="15.75" customHeight="1" spans="1:5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row>
    <row r="703" ht="15.75" customHeight="1" spans="1:5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row>
    <row r="704" ht="15.75" customHeight="1" spans="1:5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row>
    <row r="705" ht="15.75" customHeight="1" spans="1:5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row>
    <row r="706" ht="15.75" customHeight="1" spans="1:5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row>
    <row r="707" ht="15.75" customHeight="1" spans="1:5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row>
    <row r="708" ht="15.75" customHeight="1" spans="1:5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row>
    <row r="709" ht="15.75" customHeight="1" spans="1:5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row>
    <row r="710" ht="15.75" customHeight="1" spans="1:5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row>
    <row r="711" ht="15.75" customHeight="1" spans="1:5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row>
    <row r="712" ht="15.75" customHeight="1" spans="1:5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row>
    <row r="713" ht="15.75" customHeight="1" spans="1:5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row>
    <row r="714" ht="15.75" customHeight="1" spans="1:5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row>
    <row r="715" ht="15.75" customHeight="1" spans="1:5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row>
    <row r="716" ht="15.75" customHeight="1" spans="1:5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row>
    <row r="717" ht="15.75" customHeight="1" spans="1:5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row>
    <row r="718" ht="15.75" customHeight="1" spans="1:5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row>
    <row r="719" ht="15.75" customHeight="1" spans="1:5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row>
    <row r="720" ht="15.75" customHeight="1" spans="1:5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row>
    <row r="721" ht="15.75" customHeight="1" spans="1:5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row>
    <row r="722" ht="15.75" customHeight="1" spans="1:5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row>
    <row r="723" ht="15.75" customHeight="1" spans="1:5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row>
    <row r="724" ht="15.75" customHeight="1" spans="1:5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row>
    <row r="725" ht="15.75" customHeight="1" spans="1:5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row>
    <row r="726" ht="15.75" customHeight="1" spans="1:5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row>
    <row r="727" ht="15.75" customHeight="1" spans="1:5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row>
    <row r="728" ht="15.75" customHeight="1" spans="1:5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row>
    <row r="729" ht="15.75" customHeight="1" spans="1:5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row>
    <row r="730" ht="15.75" customHeight="1" spans="1:5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row>
    <row r="731" ht="15.75" customHeight="1" spans="1:5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row>
    <row r="732" ht="15.75" customHeight="1" spans="1:5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row>
    <row r="733" ht="15.75" customHeight="1" spans="1:5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row>
    <row r="734" ht="15.75" customHeight="1" spans="1:5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row>
    <row r="735" ht="15.75" customHeight="1" spans="1:5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row>
    <row r="736" ht="15.75" customHeight="1" spans="1:5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row>
    <row r="737" ht="15.75" customHeight="1" spans="1:5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row>
    <row r="738" ht="15.75" customHeight="1" spans="1:5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row>
    <row r="739" ht="15.75" customHeight="1" spans="1:5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row>
    <row r="740" ht="15.75" customHeight="1" spans="1:5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row>
    <row r="741" ht="15.75" customHeight="1" spans="1:5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row>
    <row r="742" ht="15.75" customHeight="1" spans="1:5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row>
    <row r="743" ht="15.75" customHeight="1" spans="1:5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row>
    <row r="744" ht="15.75" customHeight="1" spans="1:5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row>
    <row r="745" ht="15.75" customHeight="1" spans="1:5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row>
    <row r="746" ht="15.75" customHeight="1" spans="1:5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row>
    <row r="747" ht="15.75" customHeight="1" spans="1:5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row>
    <row r="748" ht="15.75" customHeight="1" spans="1:5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row>
    <row r="749" ht="15.75" customHeight="1" spans="1:5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row>
    <row r="750" ht="15.75" customHeight="1" spans="1:5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row>
    <row r="751" ht="15.75" customHeight="1" spans="1: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row>
    <row r="752" ht="15.75" customHeight="1" spans="1:5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row>
    <row r="753" ht="15.75" customHeight="1" spans="1:5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row>
    <row r="754" ht="15.75" customHeight="1" spans="1:5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row>
    <row r="755" ht="15.75" customHeight="1" spans="1:5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row>
    <row r="756" ht="15.75" customHeight="1" spans="1:5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row>
    <row r="757" ht="15.75" customHeight="1" spans="1:5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row>
    <row r="758" ht="15.75" customHeight="1" spans="1:5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row>
    <row r="759" ht="15.75" customHeight="1" spans="1:5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row>
    <row r="760" ht="15.75" customHeight="1" spans="1:5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row>
    <row r="761" ht="15.75" customHeight="1" spans="1:5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row>
    <row r="762" ht="15.75" customHeight="1" spans="1:5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row>
    <row r="763" ht="15.75" customHeight="1" spans="1:5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row>
    <row r="764" ht="15.75" customHeight="1" spans="1:5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row>
    <row r="765" ht="15.75" customHeight="1" spans="1:5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row>
    <row r="766" ht="15.75" customHeight="1" spans="1:5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row>
    <row r="767" ht="15.75" customHeight="1" spans="1:5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row>
    <row r="768" ht="15.75" customHeight="1" spans="1:5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row>
    <row r="769" ht="15.75" customHeight="1" spans="1:5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row>
    <row r="770" ht="15.75" customHeight="1" spans="1:5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row>
    <row r="771" ht="15.75" customHeight="1" spans="1:5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row>
    <row r="772" ht="15.75" customHeight="1" spans="1:5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row>
    <row r="773" ht="15.75" customHeight="1" spans="1:5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row>
    <row r="774" ht="15.75" customHeight="1" spans="1:5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row>
    <row r="775" ht="15.75" customHeight="1" spans="1:5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row>
    <row r="776" ht="15.75" customHeight="1" spans="1:5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row>
    <row r="777" ht="15.75" customHeight="1" spans="1:5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row>
    <row r="778" ht="15.75" customHeight="1" spans="1:5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row>
    <row r="779" ht="15.75" customHeight="1" spans="1:5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row>
    <row r="780" ht="15.75" customHeight="1" spans="1:5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row>
    <row r="781" ht="15.75" customHeight="1" spans="1:5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row>
    <row r="782" ht="15.75" customHeight="1" spans="1:5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row>
    <row r="783" ht="15.75" customHeight="1" spans="1:5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row>
    <row r="784" ht="15.75" customHeight="1" spans="1:5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row>
    <row r="785" ht="15.75" customHeight="1" spans="1:5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row>
    <row r="786" ht="15.75" customHeight="1" spans="1:5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row>
    <row r="787" ht="15.75" customHeight="1" spans="1:5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row>
    <row r="788" ht="15.75" customHeight="1" spans="1:5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row>
    <row r="789" ht="15.75" customHeight="1" spans="1:5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row>
    <row r="790" ht="15.75" customHeight="1" spans="1:5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row>
    <row r="791" ht="15.75" customHeight="1" spans="1:5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row>
    <row r="792" ht="15.75" customHeight="1" spans="1:5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row>
    <row r="793" ht="15.75" customHeight="1" spans="1:5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row>
    <row r="794" ht="15.75" customHeight="1" spans="1:5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row>
    <row r="795" ht="15.75" customHeight="1" spans="1:5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row>
    <row r="796" ht="15.75" customHeight="1" spans="1:5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row>
    <row r="797" ht="15.75" customHeight="1" spans="1:5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row>
    <row r="798" ht="15.75" customHeight="1" spans="1:5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row>
    <row r="799" ht="15.75" customHeight="1" spans="1:5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row>
    <row r="800" ht="15.75" customHeight="1" spans="1:5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row>
    <row r="801" ht="15.75" customHeight="1" spans="1:5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row>
    <row r="802" ht="15.75" customHeight="1" spans="1:5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row>
    <row r="803" ht="15.75" customHeight="1" spans="1:5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row>
    <row r="804" ht="15.75" customHeight="1" spans="1:5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row>
    <row r="805" ht="15.75" customHeight="1" spans="1:5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row>
    <row r="806" ht="15.75" customHeight="1" spans="1:5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row>
    <row r="807" ht="15.75" customHeight="1" spans="1:5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row>
    <row r="808" ht="15.75" customHeight="1" spans="1:5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row>
    <row r="809" ht="15.75" customHeight="1" spans="1:5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row>
    <row r="810" ht="15.75" customHeight="1" spans="1:5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row>
    <row r="811" ht="15.75" customHeight="1" spans="1:5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row>
    <row r="812" ht="15.75" customHeight="1" spans="1:5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row>
    <row r="813" ht="15.75" customHeight="1" spans="1:5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row>
    <row r="814" ht="15.75" customHeight="1" spans="1:5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row>
    <row r="815" ht="15.75" customHeight="1" spans="1:5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row>
    <row r="816" ht="15.75" customHeight="1" spans="1:5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row>
    <row r="817" ht="15.75" customHeight="1" spans="1:5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row>
    <row r="818" ht="15.75" customHeight="1" spans="1:5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row>
    <row r="819" ht="15.75" customHeight="1" spans="1:5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row>
    <row r="820" ht="15.75" customHeight="1" spans="1:5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row>
    <row r="821" ht="15.75" customHeight="1" spans="1:5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row>
    <row r="822" ht="15.75" customHeight="1" spans="1:5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row>
    <row r="823" ht="15.75" customHeight="1" spans="1:5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row>
    <row r="824" ht="15.75" customHeight="1" spans="1:5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row>
    <row r="825" ht="15.75" customHeight="1" spans="1:5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row>
    <row r="826" ht="15.75" customHeight="1" spans="1:5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row>
    <row r="827" ht="15.75" customHeight="1" spans="1:5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row>
    <row r="828" ht="15.75" customHeight="1" spans="1:5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row>
    <row r="829" ht="15.75" customHeight="1" spans="1:5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row>
    <row r="830" ht="15.75" customHeight="1" spans="1:5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row>
    <row r="831" ht="15.75" customHeight="1" spans="1:5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row>
    <row r="832" ht="15.75" customHeight="1" spans="1:5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row>
    <row r="833" ht="15.75" customHeight="1" spans="1:5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row>
    <row r="834" ht="15.75" customHeight="1" spans="1:5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row>
    <row r="835" ht="15.75" customHeight="1" spans="1:5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row>
    <row r="836" ht="15.75" customHeight="1" spans="1:5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row>
    <row r="837" ht="15.75" customHeight="1" spans="1:5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row>
    <row r="838" ht="15.75" customHeight="1" spans="1:5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row>
    <row r="839" ht="15.75" customHeight="1" spans="1:5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row>
    <row r="840" ht="15.75" customHeight="1" spans="1:5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row>
    <row r="841" ht="15.75" customHeight="1" spans="1:5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row>
    <row r="842" ht="15.75" customHeight="1" spans="1:5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row>
    <row r="843" ht="15.75" customHeight="1" spans="1:5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row>
    <row r="844" ht="15.75" customHeight="1" spans="1:5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row>
    <row r="845" ht="15.75" customHeight="1" spans="1:5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row>
    <row r="846" ht="15.75" customHeight="1" spans="1:5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row>
    <row r="847" ht="15.75" customHeight="1" spans="1:5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row>
    <row r="848" ht="15.75" customHeight="1" spans="1:5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row>
    <row r="849" ht="15.75" customHeight="1" spans="1:5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row>
    <row r="850" ht="15.75" customHeight="1" spans="1:5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row>
    <row r="851" ht="15.75" customHeight="1" spans="1: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row>
    <row r="852" ht="15.75" customHeight="1" spans="1:5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row>
    <row r="853" ht="15.75" customHeight="1" spans="1:5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row>
    <row r="854" ht="15.75" customHeight="1" spans="1:5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row>
    <row r="855" ht="15.75" customHeight="1" spans="1:5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row>
    <row r="856" ht="15.75" customHeight="1" spans="1:5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row>
    <row r="857" ht="15.75" customHeight="1" spans="1:5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row>
    <row r="858" ht="15.75" customHeight="1" spans="1:5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row>
    <row r="859" ht="15.75" customHeight="1" spans="1:5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row>
    <row r="860" ht="15.75" customHeight="1" spans="1:5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row>
    <row r="861" ht="15.75" customHeight="1" spans="1:5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row>
    <row r="862" ht="15.75" customHeight="1" spans="1:5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row>
    <row r="863" ht="15.75" customHeight="1" spans="1:5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row>
    <row r="864" ht="15.75" customHeight="1" spans="1:5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row>
    <row r="865" ht="15.75" customHeight="1" spans="1:5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row>
    <row r="866" ht="15.75" customHeight="1" spans="1:5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row>
    <row r="867" ht="15.75" customHeight="1" spans="1:5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row>
    <row r="868" ht="15.75" customHeight="1" spans="1:5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row>
    <row r="869" ht="15.75" customHeight="1" spans="1:5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row>
    <row r="870" ht="15.75" customHeight="1" spans="1:5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row>
    <row r="871" ht="15.75" customHeight="1" spans="1:5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row>
    <row r="872" ht="15.75" customHeight="1" spans="1:5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row>
    <row r="873" ht="15.75" customHeight="1" spans="1:5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row>
    <row r="874" ht="15.75" customHeight="1" spans="1:5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row>
    <row r="875" ht="15.75" customHeight="1" spans="1:5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row>
    <row r="876" ht="15.75" customHeight="1" spans="1:5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row>
    <row r="877" ht="15.75" customHeight="1" spans="1:5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row>
    <row r="878" ht="15.75" customHeight="1" spans="1:5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row>
    <row r="879" ht="15.75" customHeight="1" spans="1:5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row>
    <row r="880" ht="15.75" customHeight="1" spans="1:5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row>
    <row r="881" ht="15.75" customHeight="1" spans="1:5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row>
    <row r="882" ht="15.75" customHeight="1" spans="1:5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row>
    <row r="883" ht="15.75" customHeight="1" spans="1:5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row>
    <row r="884" ht="15.75" customHeight="1" spans="1:5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row>
    <row r="885" ht="15.75" customHeight="1" spans="1:5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row>
    <row r="886" ht="15.75" customHeight="1" spans="1:5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row>
    <row r="887" ht="15.75" customHeight="1" spans="1:5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row>
    <row r="888" ht="15.75" customHeight="1" spans="1:5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row>
    <row r="889" ht="15.75" customHeight="1" spans="1:5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row>
    <row r="890" ht="15.75" customHeight="1" spans="1:5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row>
    <row r="891" ht="15.75" customHeight="1" spans="1:5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row>
    <row r="892" ht="15.75" customHeight="1" spans="1:5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row>
    <row r="893" ht="15.75" customHeight="1" spans="1:5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row>
    <row r="894" ht="15.75" customHeight="1" spans="1:5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row>
    <row r="895" ht="15.75" customHeight="1" spans="1:5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row>
    <row r="896" ht="15.75" customHeight="1" spans="1:5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row>
    <row r="897" ht="15.75" customHeight="1" spans="1:5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row>
    <row r="898" ht="15.75" customHeight="1" spans="1:5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row>
    <row r="899" ht="15.75" customHeight="1" spans="1:5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row>
    <row r="900" ht="15.75" customHeight="1" spans="1:5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row>
    <row r="901" ht="15.75" customHeight="1" spans="1:5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row>
    <row r="902" ht="15.75" customHeight="1" spans="1:5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row>
    <row r="903" ht="15.75" customHeight="1" spans="1:5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row>
    <row r="904" ht="15.75" customHeight="1" spans="1:5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row>
    <row r="905" ht="15.75" customHeight="1" spans="1:5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row>
    <row r="906" ht="15.75" customHeight="1" spans="1:5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row>
    <row r="907" ht="15.75" customHeight="1" spans="1:5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row>
    <row r="908" ht="15.75" customHeight="1" spans="1:5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row>
    <row r="909" ht="15.75" customHeight="1" spans="1:5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row>
    <row r="910" ht="15.75" customHeight="1" spans="1:5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row>
    <row r="911" ht="15.75" customHeight="1" spans="1:5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row>
    <row r="912" ht="15.75" customHeight="1" spans="1:5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row>
    <row r="913" ht="15.75" customHeight="1" spans="1:5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row>
    <row r="914" ht="15.75" customHeight="1" spans="1:5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row>
    <row r="915" ht="15.75" customHeight="1" spans="1:5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row>
    <row r="916" ht="15.75" customHeight="1" spans="1:5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row>
    <row r="917" ht="15.75" customHeight="1" spans="1:5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row>
    <row r="918" ht="15.75" customHeight="1" spans="1:5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row>
    <row r="919" ht="15.75" customHeight="1" spans="1:5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row>
    <row r="920" ht="15.75" customHeight="1" spans="1:5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row>
    <row r="921" ht="15.75" customHeight="1" spans="1:5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row>
    <row r="922" ht="15.75" customHeight="1" spans="1:5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row>
    <row r="923" ht="15.75" customHeight="1" spans="1:5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row>
    <row r="924" ht="15.75" customHeight="1" spans="1:5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row>
    <row r="925" ht="15.75" customHeight="1" spans="1:5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row>
    <row r="926" ht="15.75" customHeight="1" spans="1:5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row>
    <row r="927" ht="15.75" customHeight="1" spans="1:5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row>
    <row r="928" ht="15.75" customHeight="1" spans="1:5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row>
    <row r="929" ht="15.75" customHeight="1" spans="1:5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row>
    <row r="930" ht="15.75" customHeight="1" spans="1:5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row>
    <row r="931" ht="15.75" customHeight="1" spans="1:5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row>
    <row r="932" ht="15.75" customHeight="1" spans="1:5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row>
    <row r="933" ht="15.75" customHeight="1" spans="1:5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row>
    <row r="934" ht="15.75" customHeight="1" spans="1:5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row>
    <row r="935" ht="15.75" customHeight="1" spans="1:5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row>
    <row r="936" ht="15.75" customHeight="1" spans="1:5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row>
    <row r="937" ht="15.75" customHeight="1" spans="1:5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row>
    <row r="938" ht="15.75" customHeight="1" spans="1:5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row>
    <row r="939" ht="15.75" customHeight="1" spans="1:5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row>
    <row r="940" ht="15.75" customHeight="1" spans="1:5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row>
    <row r="941" ht="15.75" customHeight="1" spans="1:5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row>
    <row r="942" ht="15.75" customHeight="1" spans="1:5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row>
    <row r="943" ht="15.75" customHeight="1" spans="1:5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row>
    <row r="944" ht="15.75" customHeight="1" spans="1:5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row>
    <row r="945" ht="15.75" customHeight="1" spans="1:5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row>
    <row r="946" ht="15.75" customHeight="1" spans="1:5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row>
    <row r="947" ht="15.75" customHeight="1" spans="1:5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row>
    <row r="948" ht="15.75" customHeight="1" spans="1:5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row>
    <row r="949" ht="15.75" customHeight="1" spans="1:5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row>
    <row r="950" ht="15.75" customHeight="1" spans="1:5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row>
    <row r="951" ht="15.75" customHeight="1" spans="1: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row>
    <row r="952" ht="15.75" customHeight="1" spans="1:5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row>
    <row r="953" ht="15.75" customHeight="1" spans="1:5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row>
    <row r="954" ht="15.75" customHeight="1" spans="1:5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row>
    <row r="955" ht="15.75" customHeight="1" spans="1:5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row>
    <row r="956" ht="15.75" customHeight="1" spans="1:5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row>
    <row r="957" ht="15.75" customHeight="1" spans="1:5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row>
    <row r="958" ht="15.75" customHeight="1" spans="1:5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row>
    <row r="959" ht="15.75" customHeight="1" spans="1:5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row>
    <row r="960" ht="15.75" customHeight="1" spans="1:5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row>
    <row r="961" ht="15.75" customHeight="1" spans="1:5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row>
    <row r="962" ht="15.75" customHeight="1" spans="1:5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row>
    <row r="963" ht="15.75" customHeight="1" spans="1:5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row>
    <row r="964" ht="15.75" customHeight="1" spans="1:5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row>
    <row r="965" ht="15.75" customHeight="1" spans="1:5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row>
    <row r="966" ht="15.75" customHeight="1" spans="1:5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row>
    <row r="967" ht="15.75" customHeight="1" spans="1:5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row>
    <row r="968" ht="15.75" customHeight="1" spans="1:5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row>
    <row r="969" ht="15.75" customHeight="1" spans="1:5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row>
    <row r="970" ht="15.75" customHeight="1" spans="1:5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row>
    <row r="971" ht="15.75" customHeight="1" spans="1:5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row>
    <row r="972" ht="15.75" customHeight="1" spans="1:5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row>
    <row r="973" ht="15.75" customHeight="1" spans="1:5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row>
    <row r="974" ht="15.75" customHeight="1" spans="1:5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row>
    <row r="975" ht="15.75" customHeight="1" spans="1:5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row>
    <row r="976" ht="15.75" customHeight="1" spans="1:5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row>
    <row r="977" ht="15.75" customHeight="1" spans="1:5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row>
    <row r="978" ht="15.75" customHeight="1" spans="1:5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row>
    <row r="979" ht="15.75" customHeight="1" spans="1:5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row>
    <row r="980" ht="15.75" customHeight="1" spans="1:5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row>
    <row r="981" ht="15.75" customHeight="1" spans="1:5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row>
    <row r="982" ht="15.75" customHeight="1" spans="1:5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row>
    <row r="983" ht="15.75" customHeight="1" spans="1:5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row>
    <row r="984" ht="15.75" customHeight="1" spans="1:5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row>
    <row r="985" ht="15.75" customHeight="1" spans="1:5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row>
    <row r="986" ht="15.75" customHeight="1" spans="1:5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row>
    <row r="987" ht="15.75" customHeight="1" spans="1:5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row>
    <row r="988" ht="15.75" customHeight="1" spans="1:5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row>
    <row r="989" ht="15.75" customHeight="1" spans="1:5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row>
    <row r="990" ht="15.75" customHeight="1" spans="1:5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row>
    <row r="991" ht="15.75" customHeight="1" spans="1:5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row>
    <row r="992" ht="15.75" customHeight="1" spans="1:5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row>
    <row r="993" ht="15.75" customHeight="1" spans="1:5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row>
    <row r="994" ht="15.75" customHeight="1" spans="1:5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row>
    <row r="995" ht="15.75" customHeight="1" spans="1:5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row>
    <row r="996" ht="15.75" customHeight="1" spans="1:5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row>
    <row r="997" ht="15.75" customHeight="1" spans="1:5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row>
    <row r="998" ht="15.75" customHeight="1" spans="1:5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row>
    <row r="999" ht="15.75" customHeight="1" spans="1:5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row>
    <row r="1000" ht="15.75" customHeight="1" spans="1:5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row>
  </sheetData>
  <mergeCells count="1">
    <mergeCell ref="P1:AO1"/>
  </mergeCells>
  <pageMargins left="0.7" right="0.7" top="0.75" bottom="0.75" header="0" footer="0"/>
  <pageSetup paperSize="1" orientation="portrait"/>
  <headerFooter>
    <oddFooter>&amp;C000000000000&amp;P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Analyse Globale</vt:lpstr>
      <vt:lpstr>Analyse Catégorielle</vt:lpstr>
      <vt:lpstr>Analyse CA Initial</vt:lpstr>
      <vt:lpstr>Détail Dépenses</vt:lpstr>
      <vt:lpstr>AVRIL 23</vt:lpstr>
      <vt:lpstr>MAI 23</vt:lpstr>
      <vt:lpstr>JUIN 23</vt:lpstr>
      <vt:lpstr>JUILLET 23</vt:lpstr>
      <vt:lpstr>AOUT 23</vt:lpstr>
      <vt:lpstr>RHv</vt:lpstr>
      <vt:lpstr>RH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Designer</dc:creator>
  <cp:lastModifiedBy>Ulrich_ANAYO</cp:lastModifiedBy>
  <dcterms:created xsi:type="dcterms:W3CDTF">2019-09-10T18:31:00Z</dcterms:created>
  <dcterms:modified xsi:type="dcterms:W3CDTF">2023-08-22T23:12:17Z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0DBF31396B4F4BC3B18CA30FD70CF9DA_12</vt:lpwstr>
  </property>
  <property fmtid="{D5CDD505-2E9C-101B-9397-08002B2CF9AE}" pid="3" name="KSOProductBuildVer">
    <vt:lpwstr>1036-12.2.0.13181</vt:lpwstr>
  </property>
</Properties>
</file>