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eur\Desktop\depenses\"/>
    </mc:Choice>
  </mc:AlternateContent>
  <bookViews>
    <workbookView xWindow="0" yWindow="0" windowWidth="20490" windowHeight="7650" firstSheet="3" activeTab="10"/>
  </bookViews>
  <sheets>
    <sheet name="Analyse Globale" sheetId="1" r:id="rId1"/>
    <sheet name="Analyse Catégorielle" sheetId="2" r:id="rId2"/>
    <sheet name="Analyse CA Initial" sheetId="3" r:id="rId3"/>
    <sheet name="Détail Dépenses" sheetId="4" r:id="rId4"/>
    <sheet name="AVRIL 23" sheetId="5" r:id="rId5"/>
    <sheet name="MAI 23" sheetId="6" r:id="rId6"/>
    <sheet name="JUIN 23" sheetId="7" r:id="rId7"/>
    <sheet name="JUILLET 23" sheetId="8" r:id="rId8"/>
    <sheet name="AOUT 23" sheetId="9" r:id="rId9"/>
    <sheet name="RHv" sheetId="10" r:id="rId10"/>
    <sheet name="RH" sheetId="11" r:id="rId11"/>
  </sheets>
  <definedNames>
    <definedName name="CIQWBGuid">"2cd8126d-26c3-430c-b7fa-a069e3a1fc62"</definedName>
    <definedName name="IQ_DNTM">700000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LATESTK">1000</definedName>
    <definedName name="IQ_LATESTQ">500</definedName>
    <definedName name="IQ_LTMMONTH">120000</definedName>
    <definedName name="IQ_MTD">800000</definedName>
    <definedName name="IQ_NAMES_REVISION_DATE_">43412.7003240741</definedName>
    <definedName name="IQ_QTD">750000</definedName>
    <definedName name="IQ_TODAY">0</definedName>
    <definedName name="IQ_YTDMONTH">130000</definedName>
  </definedNames>
  <calcPr calcId="162913"/>
  <extLst>
    <ext uri="GoogleSheetsCustomDataVersion2">
      <go:sheetsCustomData xmlns:go="http://customooxmlschemas.google.com/" r:id="rId14" roundtripDataChecksum="qWrD+NPLfgbRvI2DluHf9nLMzYXEzeDe8P5o1XAuHPo="/>
    </ext>
  </extLst>
</workbook>
</file>

<file path=xl/calcChain.xml><?xml version="1.0" encoding="utf-8"?>
<calcChain xmlns="http://schemas.openxmlformats.org/spreadsheetml/2006/main">
  <c r="A20" i="11" l="1"/>
  <c r="A18" i="11"/>
  <c r="A16" i="11"/>
  <c r="A14" i="11"/>
  <c r="A12" i="11"/>
  <c r="A10" i="11"/>
  <c r="A8" i="11"/>
  <c r="A6" i="11"/>
  <c r="A4" i="11"/>
  <c r="A2" i="11"/>
  <c r="BM20" i="11"/>
  <c r="BF20" i="11"/>
  <c r="BM19" i="11"/>
  <c r="BM18" i="11"/>
  <c r="BF18" i="11"/>
  <c r="BM17" i="11"/>
  <c r="BM16" i="11"/>
  <c r="BF16" i="11"/>
  <c r="BM15" i="11"/>
  <c r="BM14" i="11"/>
  <c r="BF14" i="11"/>
  <c r="BM13" i="11"/>
  <c r="BM12" i="11"/>
  <c r="BF12" i="11"/>
  <c r="BM11" i="11"/>
  <c r="BM10" i="11"/>
  <c r="BF10" i="11"/>
  <c r="BC8" i="11"/>
  <c r="AZ8" i="11"/>
  <c r="AV8" i="11"/>
  <c r="AU8" i="11"/>
  <c r="AS8" i="11"/>
  <c r="AR8" i="11"/>
  <c r="AQ8" i="11" s="1"/>
  <c r="AJ8" i="11"/>
  <c r="AD8" i="11"/>
  <c r="AC8" i="11"/>
  <c r="AA8" i="11" s="1"/>
  <c r="Q8" i="11"/>
  <c r="P8" i="11"/>
  <c r="M8" i="11" s="1"/>
  <c r="J8" i="11"/>
  <c r="H8" i="11"/>
  <c r="D8" i="11"/>
  <c r="BB6" i="11"/>
  <c r="AZ6" i="11"/>
  <c r="AU6" i="11"/>
  <c r="AR6" i="11"/>
  <c r="AQ6" i="11" s="1"/>
  <c r="AN6" i="11"/>
  <c r="AN8" i="11" s="1"/>
  <c r="AL8" i="11" s="1"/>
  <c r="AM6" i="11"/>
  <c r="AL6" i="11" s="1"/>
  <c r="AJ6" i="11"/>
  <c r="AI6" i="11"/>
  <c r="AI8" i="11" s="1"/>
  <c r="AH8" i="11" s="1"/>
  <c r="AH6" i="11"/>
  <c r="AE6" i="11"/>
  <c r="AD6" i="11"/>
  <c r="AC6" i="11"/>
  <c r="AB6" i="11"/>
  <c r="AA6" i="11" s="1"/>
  <c r="Y6" i="11"/>
  <c r="Y8" i="11" s="1"/>
  <c r="X6" i="11"/>
  <c r="X8" i="11" s="1"/>
  <c r="W8" i="11" s="1"/>
  <c r="W6" i="11"/>
  <c r="U6" i="11"/>
  <c r="U8" i="11" s="1"/>
  <c r="T6" i="11"/>
  <c r="T8" i="11" s="1"/>
  <c r="S6" i="11"/>
  <c r="P6" i="11"/>
  <c r="M6" i="11" s="1"/>
  <c r="O6" i="11"/>
  <c r="N6" i="11"/>
  <c r="K6" i="11"/>
  <c r="K8" i="11" s="1"/>
  <c r="J6" i="11"/>
  <c r="G6" i="11"/>
  <c r="F6" i="11"/>
  <c r="D6" i="11"/>
  <c r="C6" i="11" s="1"/>
  <c r="BD4" i="11"/>
  <c r="AZ4" i="11"/>
  <c r="AU4" i="11"/>
  <c r="AR4" i="11"/>
  <c r="AQ4" i="11"/>
  <c r="AL4" i="11"/>
  <c r="AH4" i="11"/>
  <c r="AA4" i="11"/>
  <c r="W4" i="11"/>
  <c r="U4" i="11"/>
  <c r="S4" i="11" s="1"/>
  <c r="M4" i="11"/>
  <c r="C4" i="11"/>
  <c r="AZ2" i="11"/>
  <c r="AQ2" i="11"/>
  <c r="AL2" i="11"/>
  <c r="AH2" i="11"/>
  <c r="AA2" i="11"/>
  <c r="W2" i="11"/>
  <c r="S2" i="11"/>
  <c r="M2" i="11"/>
  <c r="K2" i="11"/>
  <c r="J2" i="11"/>
  <c r="F2" i="11"/>
  <c r="E2" i="11"/>
  <c r="D2" i="11"/>
  <c r="C2" i="11" s="1"/>
  <c r="AH7" i="11" l="1"/>
  <c r="M9" i="11"/>
  <c r="BF2" i="11"/>
  <c r="AZ3" i="11"/>
  <c r="AQ9" i="11"/>
  <c r="M3" i="11"/>
  <c r="BF6" i="11"/>
  <c r="AA7" i="11" s="1"/>
  <c r="C7" i="11"/>
  <c r="S7" i="11"/>
  <c r="AU7" i="11"/>
  <c r="AA9" i="11"/>
  <c r="AL9" i="11"/>
  <c r="M7" i="11"/>
  <c r="W7" i="11"/>
  <c r="AQ7" i="11"/>
  <c r="AZ9" i="11"/>
  <c r="AH3" i="11"/>
  <c r="AL3" i="11"/>
  <c r="S8" i="11"/>
  <c r="S9" i="11" s="1"/>
  <c r="AL7" i="11"/>
  <c r="AZ7" i="11"/>
  <c r="C8" i="11"/>
  <c r="AU9" i="11"/>
  <c r="BF4" i="11"/>
  <c r="S5" i="11" s="1"/>
  <c r="T65" i="10"/>
  <c r="S65" i="10"/>
  <c r="R65" i="10"/>
  <c r="Q65" i="10"/>
  <c r="P65" i="10"/>
  <c r="O65" i="10"/>
  <c r="N65" i="10"/>
  <c r="M65" i="10"/>
  <c r="L65" i="10"/>
  <c r="K65" i="10"/>
  <c r="J65" i="10"/>
  <c r="T58" i="10"/>
  <c r="R58" i="10"/>
  <c r="P58" i="10"/>
  <c r="N58" i="10"/>
  <c r="L58" i="10"/>
  <c r="J58" i="10"/>
  <c r="B46" i="9" s="1"/>
  <c r="D56" i="10"/>
  <c r="D52" i="10" s="1"/>
  <c r="H55" i="10"/>
  <c r="F54" i="10"/>
  <c r="H52" i="10"/>
  <c r="F52" i="10"/>
  <c r="B52" i="10"/>
  <c r="H48" i="10"/>
  <c r="H47" i="10" s="1"/>
  <c r="F47" i="10"/>
  <c r="D47" i="10"/>
  <c r="H45" i="10"/>
  <c r="F44" i="10"/>
  <c r="D44" i="10"/>
  <c r="D43" i="10" s="1"/>
  <c r="B43" i="10"/>
  <c r="F40" i="10"/>
  <c r="H40" i="10" s="1"/>
  <c r="H38" i="10" s="1"/>
  <c r="F39" i="10"/>
  <c r="D38" i="10"/>
  <c r="B38" i="10"/>
  <c r="F36" i="10"/>
  <c r="H36" i="10" s="1"/>
  <c r="F35" i="10"/>
  <c r="H35" i="10" s="1"/>
  <c r="D34" i="10"/>
  <c r="B34" i="10"/>
  <c r="F31" i="10"/>
  <c r="F30" i="10"/>
  <c r="H30" i="10" s="1"/>
  <c r="F29" i="10"/>
  <c r="F28" i="10"/>
  <c r="D27" i="10"/>
  <c r="B27" i="10"/>
  <c r="F25" i="10"/>
  <c r="F24" i="10"/>
  <c r="H24" i="10" s="1"/>
  <c r="D23" i="10"/>
  <c r="B23" i="10"/>
  <c r="F21" i="10"/>
  <c r="H21" i="10" s="1"/>
  <c r="D21" i="10"/>
  <c r="F20" i="10"/>
  <c r="H20" i="10" s="1"/>
  <c r="H19" i="10" s="1"/>
  <c r="F19" i="10"/>
  <c r="D19" i="10"/>
  <c r="B19" i="10"/>
  <c r="H17" i="10"/>
  <c r="H16" i="10"/>
  <c r="H13" i="10" s="1"/>
  <c r="F16" i="10"/>
  <c r="F15" i="10"/>
  <c r="F14" i="10"/>
  <c r="D13" i="10"/>
  <c r="B13" i="10"/>
  <c r="F11" i="10"/>
  <c r="H11" i="10" s="1"/>
  <c r="B11" i="10"/>
  <c r="F10" i="10"/>
  <c r="H10" i="10" s="1"/>
  <c r="B10" i="10"/>
  <c r="H8" i="10"/>
  <c r="F7" i="10"/>
  <c r="F6" i="10"/>
  <c r="B6" i="10"/>
  <c r="B5" i="10"/>
  <c r="H4" i="10"/>
  <c r="F4" i="10"/>
  <c r="B4" i="10"/>
  <c r="B3" i="10" s="1"/>
  <c r="D3" i="10"/>
  <c r="Q41" i="9"/>
  <c r="P41" i="9"/>
  <c r="AN36" i="9"/>
  <c r="AJ36" i="9"/>
  <c r="AF36" i="9"/>
  <c r="AB36" i="9"/>
  <c r="X36" i="9"/>
  <c r="T36" i="9"/>
  <c r="P36" i="9"/>
  <c r="G36" i="9"/>
  <c r="F36" i="9"/>
  <c r="C36" i="9"/>
  <c r="AG35" i="9"/>
  <c r="Y35" i="9"/>
  <c r="Q35" i="9"/>
  <c r="F35" i="9"/>
  <c r="AN34" i="9"/>
  <c r="AM34" i="9"/>
  <c r="AM36" i="9" s="1"/>
  <c r="AK34" i="9"/>
  <c r="AK36" i="9" s="1"/>
  <c r="AJ34" i="9"/>
  <c r="AI34" i="9"/>
  <c r="AH34" i="9"/>
  <c r="AG34" i="9"/>
  <c r="AG36" i="9" s="1"/>
  <c r="AF34" i="9"/>
  <c r="AE34" i="9"/>
  <c r="AD34" i="9"/>
  <c r="AC34" i="9"/>
  <c r="AC36" i="9" s="1"/>
  <c r="AB34" i="9"/>
  <c r="AA34" i="9"/>
  <c r="Z34" i="9"/>
  <c r="Y34" i="9"/>
  <c r="Y36" i="9" s="1"/>
  <c r="X34" i="9"/>
  <c r="V34" i="9"/>
  <c r="U34" i="9"/>
  <c r="U36" i="9" s="1"/>
  <c r="T34" i="9"/>
  <c r="S34" i="9"/>
  <c r="R34" i="9"/>
  <c r="Q34" i="9"/>
  <c r="Q36" i="9" s="1"/>
  <c r="P34" i="9"/>
  <c r="G34" i="9"/>
  <c r="F34" i="9"/>
  <c r="E34" i="9"/>
  <c r="E36" i="9" s="1"/>
  <c r="AO33" i="9"/>
  <c r="D33" i="9"/>
  <c r="AO32" i="9"/>
  <c r="D32" i="9"/>
  <c r="K32" i="9" s="1"/>
  <c r="M32" i="9" s="1"/>
  <c r="AO31" i="9"/>
  <c r="D31" i="9"/>
  <c r="AO30" i="9"/>
  <c r="D30" i="9"/>
  <c r="AO29" i="9"/>
  <c r="D29" i="9"/>
  <c r="AO28" i="9"/>
  <c r="D28" i="9"/>
  <c r="AO27" i="9"/>
  <c r="D27" i="9"/>
  <c r="AO26" i="9"/>
  <c r="D26" i="9"/>
  <c r="AO25" i="9"/>
  <c r="D25" i="9"/>
  <c r="AO24" i="9"/>
  <c r="D24" i="9"/>
  <c r="AO23" i="9"/>
  <c r="D23" i="9"/>
  <c r="AO22" i="9"/>
  <c r="D22" i="9"/>
  <c r="AO21" i="9"/>
  <c r="D21" i="9"/>
  <c r="AO20" i="9"/>
  <c r="D20" i="9"/>
  <c r="AO19" i="9"/>
  <c r="D19" i="9"/>
  <c r="AO18" i="9"/>
  <c r="D18" i="9"/>
  <c r="AO17" i="9"/>
  <c r="D17" i="9"/>
  <c r="AO16" i="9"/>
  <c r="D16" i="9"/>
  <c r="AO15" i="9"/>
  <c r="D15" i="9"/>
  <c r="AO14" i="9"/>
  <c r="D14" i="9"/>
  <c r="AO13" i="9"/>
  <c r="D13" i="9"/>
  <c r="AO12" i="9"/>
  <c r="D12" i="9"/>
  <c r="AO11" i="9"/>
  <c r="D11" i="9"/>
  <c r="AO10" i="9"/>
  <c r="D10" i="9"/>
  <c r="AO9" i="9"/>
  <c r="D9" i="9"/>
  <c r="AO8" i="9"/>
  <c r="D8" i="9"/>
  <c r="AO7" i="9"/>
  <c r="V7" i="9"/>
  <c r="D7" i="9"/>
  <c r="AO6" i="9"/>
  <c r="L6" i="9"/>
  <c r="D6" i="9"/>
  <c r="AO5" i="9"/>
  <c r="W5" i="9"/>
  <c r="W34" i="9" s="1"/>
  <c r="D5" i="9"/>
  <c r="AO4" i="9"/>
  <c r="R4" i="9"/>
  <c r="L4" i="9"/>
  <c r="H4" i="9"/>
  <c r="C4" i="9"/>
  <c r="AL3" i="9"/>
  <c r="AL34" i="9" s="1"/>
  <c r="R3" i="9"/>
  <c r="AO3" i="9" s="1"/>
  <c r="L3" i="9"/>
  <c r="D3" i="9"/>
  <c r="C3" i="9"/>
  <c r="C34" i="9" s="1"/>
  <c r="AK35" i="9" s="1"/>
  <c r="AJ36" i="8"/>
  <c r="W35" i="8"/>
  <c r="AN34" i="8"/>
  <c r="AM34" i="8"/>
  <c r="AK34" i="8"/>
  <c r="AJ34" i="8"/>
  <c r="AH34" i="8"/>
  <c r="AG34" i="8"/>
  <c r="AF34" i="8"/>
  <c r="AE34" i="8"/>
  <c r="AD34" i="8"/>
  <c r="AC34" i="8"/>
  <c r="AB34" i="8"/>
  <c r="AA34" i="8"/>
  <c r="X34" i="8"/>
  <c r="W34" i="8"/>
  <c r="U34" i="8"/>
  <c r="T34" i="8"/>
  <c r="S34" i="8"/>
  <c r="H34" i="8"/>
  <c r="G34" i="8"/>
  <c r="F34" i="8"/>
  <c r="E34" i="8"/>
  <c r="AO33" i="8"/>
  <c r="L33" i="8"/>
  <c r="D33" i="8"/>
  <c r="AO32" i="8"/>
  <c r="V32" i="8"/>
  <c r="P32" i="8"/>
  <c r="L32" i="8"/>
  <c r="D32" i="8"/>
  <c r="V31" i="8"/>
  <c r="AO31" i="8" s="1"/>
  <c r="D31" i="8"/>
  <c r="V30" i="8"/>
  <c r="P30" i="8"/>
  <c r="L30" i="8"/>
  <c r="D30" i="8"/>
  <c r="AO29" i="8"/>
  <c r="D29" i="8"/>
  <c r="AO28" i="8"/>
  <c r="V28" i="8"/>
  <c r="G28" i="8"/>
  <c r="D28" i="8"/>
  <c r="AL27" i="8"/>
  <c r="AL34" i="8" s="1"/>
  <c r="AI27" i="8"/>
  <c r="AI34" i="8" s="1"/>
  <c r="V27" i="8"/>
  <c r="L27" i="8"/>
  <c r="D27" i="8"/>
  <c r="R26" i="8"/>
  <c r="R34" i="8" s="1"/>
  <c r="P26" i="8"/>
  <c r="D26" i="8"/>
  <c r="AO25" i="8"/>
  <c r="L25" i="8"/>
  <c r="D25" i="8"/>
  <c r="AO24" i="8"/>
  <c r="L24" i="8"/>
  <c r="D24" i="8"/>
  <c r="AO23" i="8"/>
  <c r="L23" i="8"/>
  <c r="D23" i="8"/>
  <c r="AO22" i="8"/>
  <c r="D22" i="8"/>
  <c r="AO21" i="8"/>
  <c r="L21" i="8"/>
  <c r="D21" i="8"/>
  <c r="AO20" i="8"/>
  <c r="V20" i="8"/>
  <c r="V34" i="8" s="1"/>
  <c r="D20" i="8"/>
  <c r="AO19" i="8"/>
  <c r="L19" i="8"/>
  <c r="D19" i="8"/>
  <c r="AO18" i="8"/>
  <c r="L18" i="8"/>
  <c r="C18" i="8"/>
  <c r="D18" i="8" s="1"/>
  <c r="AO17" i="8"/>
  <c r="D17" i="8"/>
  <c r="AO16" i="8"/>
  <c r="L16" i="8"/>
  <c r="D16" i="8"/>
  <c r="AO15" i="8"/>
  <c r="L15" i="8"/>
  <c r="D15" i="8"/>
  <c r="AO14" i="8"/>
  <c r="Y14" i="8"/>
  <c r="Y34" i="8" s="1"/>
  <c r="L14" i="8"/>
  <c r="D14" i="8"/>
  <c r="Z13" i="8"/>
  <c r="D13" i="8"/>
  <c r="AO12" i="8"/>
  <c r="L12" i="8"/>
  <c r="D12" i="8"/>
  <c r="AO11" i="8"/>
  <c r="L11" i="8"/>
  <c r="D11" i="8"/>
  <c r="AO10" i="8"/>
  <c r="L10" i="8"/>
  <c r="D10" i="8"/>
  <c r="AO9" i="8"/>
  <c r="D9" i="8"/>
  <c r="AO8" i="8"/>
  <c r="Q8" i="8"/>
  <c r="Q34" i="8" s="1"/>
  <c r="D8" i="8"/>
  <c r="AO7" i="8"/>
  <c r="L7" i="8"/>
  <c r="D7" i="8"/>
  <c r="AO6" i="8"/>
  <c r="L6" i="8"/>
  <c r="D6" i="8"/>
  <c r="AO5" i="8"/>
  <c r="L5" i="8"/>
  <c r="D5" i="8"/>
  <c r="AO4" i="8"/>
  <c r="L4" i="8"/>
  <c r="D4" i="8"/>
  <c r="C4" i="8"/>
  <c r="C34" i="8" s="1"/>
  <c r="AN35" i="8" s="1"/>
  <c r="AO3" i="8"/>
  <c r="N3" i="8"/>
  <c r="N4" i="8" s="1"/>
  <c r="N5" i="8" s="1"/>
  <c r="N6" i="8" s="1"/>
  <c r="N7" i="8" s="1"/>
  <c r="N8" i="8" s="1"/>
  <c r="N9" i="8" s="1"/>
  <c r="N10" i="8" s="1"/>
  <c r="N11" i="8" s="1"/>
  <c r="N12" i="8" s="1"/>
  <c r="N13" i="8" s="1"/>
  <c r="N14" i="8" s="1"/>
  <c r="N15" i="8" s="1"/>
  <c r="N16" i="8" s="1"/>
  <c r="N17" i="8" s="1"/>
  <c r="N18" i="8" s="1"/>
  <c r="N19" i="8" s="1"/>
  <c r="N20" i="8" s="1"/>
  <c r="N21" i="8" s="1"/>
  <c r="N22" i="8" s="1"/>
  <c r="N23" i="8" s="1"/>
  <c r="N24" i="8" s="1"/>
  <c r="N25" i="8" s="1"/>
  <c r="N26" i="8" s="1"/>
  <c r="N27" i="8" s="1"/>
  <c r="N28" i="8" s="1"/>
  <c r="N29" i="8" s="1"/>
  <c r="N30" i="8" s="1"/>
  <c r="N31" i="8" s="1"/>
  <c r="N32" i="8" s="1"/>
  <c r="N33" i="8" s="1"/>
  <c r="N34" i="8" s="1"/>
  <c r="L3" i="8"/>
  <c r="L34" i="8" s="1"/>
  <c r="D3" i="8"/>
  <c r="F46" i="7"/>
  <c r="E46" i="7"/>
  <c r="D46" i="7"/>
  <c r="AM33" i="7"/>
  <c r="AL33" i="7"/>
  <c r="AK33" i="7"/>
  <c r="AJ33" i="7"/>
  <c r="AI33" i="7"/>
  <c r="AH33" i="7"/>
  <c r="AG33" i="7"/>
  <c r="AF36" i="8" s="1"/>
  <c r="AF33" i="7"/>
  <c r="AE36" i="8" s="1"/>
  <c r="AE33" i="7"/>
  <c r="AD33" i="7"/>
  <c r="AC33" i="7"/>
  <c r="AB36" i="8" s="1"/>
  <c r="AB33" i="7"/>
  <c r="AA36" i="8" s="1"/>
  <c r="AA33" i="7"/>
  <c r="X33" i="7"/>
  <c r="W33" i="7"/>
  <c r="U33" i="7"/>
  <c r="S33" i="7"/>
  <c r="H33" i="7"/>
  <c r="F33" i="7"/>
  <c r="F35" i="7" s="1"/>
  <c r="E33" i="7"/>
  <c r="AO32" i="7"/>
  <c r="Z32" i="7"/>
  <c r="Z33" i="7" s="1"/>
  <c r="Q32" i="7"/>
  <c r="L32" i="7"/>
  <c r="C32" i="7"/>
  <c r="AO31" i="7"/>
  <c r="L31" i="7"/>
  <c r="D31" i="7"/>
  <c r="C31" i="7" s="1"/>
  <c r="AO30" i="7"/>
  <c r="L30" i="7"/>
  <c r="D30" i="7"/>
  <c r="AA29" i="7"/>
  <c r="AO29" i="7" s="1"/>
  <c r="V29" i="7"/>
  <c r="D29" i="7"/>
  <c r="AO28" i="7"/>
  <c r="L28" i="7"/>
  <c r="D28" i="7"/>
  <c r="C28" i="7"/>
  <c r="AO27" i="7"/>
  <c r="L27" i="7"/>
  <c r="D27" i="7"/>
  <c r="AO26" i="7"/>
  <c r="AO25" i="7"/>
  <c r="L25" i="7"/>
  <c r="G25" i="7"/>
  <c r="D25" i="7"/>
  <c r="C25" i="7" s="1"/>
  <c r="AO24" i="7"/>
  <c r="G24" i="7"/>
  <c r="G33" i="7" s="1"/>
  <c r="D24" i="7"/>
  <c r="AO23" i="7"/>
  <c r="D23" i="7"/>
  <c r="AO22" i="7"/>
  <c r="L22" i="7"/>
  <c r="D22" i="7"/>
  <c r="C22" i="7"/>
  <c r="AO21" i="7"/>
  <c r="P21" i="7"/>
  <c r="C21" i="7"/>
  <c r="AO20" i="7"/>
  <c r="V20" i="7"/>
  <c r="L20" i="7"/>
  <c r="C20" i="7"/>
  <c r="AO19" i="7"/>
  <c r="L19" i="7"/>
  <c r="C19" i="7"/>
  <c r="AO18" i="7"/>
  <c r="V18" i="7"/>
  <c r="R18" i="7"/>
  <c r="P18" i="7"/>
  <c r="D18" i="7"/>
  <c r="C18" i="7"/>
  <c r="AO17" i="7"/>
  <c r="S17" i="7"/>
  <c r="L17" i="7"/>
  <c r="C17" i="7"/>
  <c r="AO16" i="7"/>
  <c r="L16" i="7"/>
  <c r="D16" i="7"/>
  <c r="AN15" i="7"/>
  <c r="AO15" i="7" s="1"/>
  <c r="V15" i="7"/>
  <c r="C15" i="7"/>
  <c r="AN14" i="7"/>
  <c r="AA14" i="7"/>
  <c r="AO14" i="7" s="1"/>
  <c r="Q14" i="7"/>
  <c r="P14" i="7"/>
  <c r="C14" i="7"/>
  <c r="AO13" i="7"/>
  <c r="V13" i="7"/>
  <c r="S13" i="7"/>
  <c r="L13" i="7"/>
  <c r="D13" i="7"/>
  <c r="C13" i="7"/>
  <c r="AO12" i="7"/>
  <c r="AN12" i="7"/>
  <c r="L12" i="7"/>
  <c r="C12" i="7"/>
  <c r="AN11" i="7"/>
  <c r="AA11" i="7"/>
  <c r="AO11" i="7" s="1"/>
  <c r="Y11" i="7"/>
  <c r="Y33" i="7" s="1"/>
  <c r="V11" i="7"/>
  <c r="Q11" i="7"/>
  <c r="C11" i="7"/>
  <c r="AO10" i="7"/>
  <c r="V10" i="7"/>
  <c r="S10" i="7"/>
  <c r="P10" i="7"/>
  <c r="C10" i="7"/>
  <c r="AO9" i="7"/>
  <c r="V9" i="7"/>
  <c r="L9" i="7"/>
  <c r="C9" i="7"/>
  <c r="AO8" i="7"/>
  <c r="C8" i="7"/>
  <c r="AO7" i="7"/>
  <c r="T7" i="7"/>
  <c r="T33" i="7" s="1"/>
  <c r="T35" i="7" s="1"/>
  <c r="C7" i="7"/>
  <c r="AO6" i="7"/>
  <c r="L6" i="7"/>
  <c r="C6" i="7"/>
  <c r="AO5" i="7"/>
  <c r="V5" i="7"/>
  <c r="R5" i="7"/>
  <c r="Q5" i="7"/>
  <c r="N5" i="7"/>
  <c r="N6" i="7" s="1"/>
  <c r="N7" i="7" s="1"/>
  <c r="N8" i="7" s="1"/>
  <c r="N9" i="7" s="1"/>
  <c r="N10" i="7" s="1"/>
  <c r="N11" i="7" s="1"/>
  <c r="N12" i="7" s="1"/>
  <c r="N13" i="7" s="1"/>
  <c r="N14" i="7" s="1"/>
  <c r="N15" i="7" s="1"/>
  <c r="N16" i="7" s="1"/>
  <c r="N17" i="7" s="1"/>
  <c r="N18" i="7" s="1"/>
  <c r="N19" i="7" s="1"/>
  <c r="N20" i="7" s="1"/>
  <c r="N21" i="7" s="1"/>
  <c r="N22" i="7" s="1"/>
  <c r="N23" i="7" s="1"/>
  <c r="N24" i="7" s="1"/>
  <c r="N25" i="7" s="1"/>
  <c r="N26" i="7" s="1"/>
  <c r="N27" i="7" s="1"/>
  <c r="N28" i="7" s="1"/>
  <c r="N29" i="7" s="1"/>
  <c r="N30" i="7" s="1"/>
  <c r="N31" i="7" s="1"/>
  <c r="N32" i="7" s="1"/>
  <c r="N33" i="7" s="1"/>
  <c r="C5" i="7"/>
  <c r="AO4" i="7"/>
  <c r="V4" i="7"/>
  <c r="Q4" i="7"/>
  <c r="Q33" i="7" s="1"/>
  <c r="P4" i="7"/>
  <c r="C4" i="7"/>
  <c r="AO3" i="7"/>
  <c r="S3" i="7"/>
  <c r="R3" i="7"/>
  <c r="R33" i="7" s="1"/>
  <c r="P3" i="7"/>
  <c r="N3" i="7"/>
  <c r="N4" i="7" s="1"/>
  <c r="C3" i="7"/>
  <c r="P37" i="6"/>
  <c r="AA34" i="6"/>
  <c r="X34" i="6"/>
  <c r="W34" i="6"/>
  <c r="V34" i="6"/>
  <c r="U34" i="6"/>
  <c r="T34" i="6"/>
  <c r="S34" i="6"/>
  <c r="R34" i="6"/>
  <c r="Q34" i="6"/>
  <c r="P34" i="6"/>
  <c r="F34" i="6"/>
  <c r="E34" i="6"/>
  <c r="D34" i="6"/>
  <c r="C34" i="6"/>
  <c r="AB33" i="6"/>
  <c r="Y33" i="6"/>
  <c r="K33" i="6"/>
  <c r="G33" i="6"/>
  <c r="AB32" i="6"/>
  <c r="Y32" i="6"/>
  <c r="U32" i="6"/>
  <c r="G32" i="6"/>
  <c r="AB31" i="6"/>
  <c r="Y31" i="6"/>
  <c r="B31" i="6"/>
  <c r="G31" i="6" s="1"/>
  <c r="AB30" i="6"/>
  <c r="Y30" i="6"/>
  <c r="Q30" i="6"/>
  <c r="K30" i="6"/>
  <c r="G30" i="6"/>
  <c r="AB29" i="6"/>
  <c r="Y29" i="6"/>
  <c r="G29" i="6"/>
  <c r="B29" i="6"/>
  <c r="Z28" i="6"/>
  <c r="AB28" i="6" s="1"/>
  <c r="Y28" i="6"/>
  <c r="P28" i="6"/>
  <c r="G28" i="6"/>
  <c r="AB27" i="6"/>
  <c r="Y27" i="6"/>
  <c r="B27" i="6"/>
  <c r="AB26" i="6"/>
  <c r="X26" i="6"/>
  <c r="U26" i="6"/>
  <c r="O26" i="6"/>
  <c r="O34" i="6" s="1"/>
  <c r="K26" i="6"/>
  <c r="G26" i="6"/>
  <c r="AB25" i="6"/>
  <c r="Y25" i="6"/>
  <c r="K25" i="6"/>
  <c r="G25" i="6"/>
  <c r="AB24" i="6"/>
  <c r="Y24" i="6"/>
  <c r="K24" i="6"/>
  <c r="G24" i="6"/>
  <c r="AB23" i="6"/>
  <c r="Y23" i="6"/>
  <c r="K23" i="6"/>
  <c r="G23" i="6"/>
  <c r="AB22" i="6"/>
  <c r="Y22" i="6"/>
  <c r="G22" i="6" s="1"/>
  <c r="AB21" i="6"/>
  <c r="Y21" i="6"/>
  <c r="G21" i="6" s="1"/>
  <c r="AB20" i="6"/>
  <c r="Y20" i="6"/>
  <c r="G20" i="6" s="1"/>
  <c r="AB19" i="6"/>
  <c r="Y19" i="6"/>
  <c r="G19" i="6" s="1"/>
  <c r="AB18" i="6"/>
  <c r="Y18" i="6"/>
  <c r="G18" i="6" s="1"/>
  <c r="AB17" i="6"/>
  <c r="Y17" i="6"/>
  <c r="K17" i="6"/>
  <c r="G17" i="6"/>
  <c r="AB16" i="6"/>
  <c r="Y16" i="6"/>
  <c r="G16" i="6" s="1"/>
  <c r="AB15" i="6"/>
  <c r="Y15" i="6"/>
  <c r="G15" i="6" s="1"/>
  <c r="AB14" i="6"/>
  <c r="Y14" i="6"/>
  <c r="G14" i="6"/>
  <c r="AB13" i="6"/>
  <c r="Y13" i="6"/>
  <c r="G13" i="6"/>
  <c r="AB12" i="6"/>
  <c r="Y12" i="6"/>
  <c r="G12" i="6" s="1"/>
  <c r="AB11" i="6"/>
  <c r="Y11" i="6"/>
  <c r="G11" i="6" s="1"/>
  <c r="K11" i="6"/>
  <c r="AB10" i="6"/>
  <c r="Y10" i="6"/>
  <c r="G10" i="6" s="1"/>
  <c r="J10" i="6" s="1"/>
  <c r="L10" i="6" s="1"/>
  <c r="AB9" i="6"/>
  <c r="Y9" i="6"/>
  <c r="K9" i="6"/>
  <c r="G9" i="6"/>
  <c r="AB8" i="6"/>
  <c r="Y8" i="6"/>
  <c r="G8" i="6"/>
  <c r="AB7" i="6"/>
  <c r="Y7" i="6"/>
  <c r="G7" i="6"/>
  <c r="AB6" i="6"/>
  <c r="Y6" i="6"/>
  <c r="G6" i="6"/>
  <c r="AB5" i="6"/>
  <c r="Y5" i="6"/>
  <c r="G5" i="6"/>
  <c r="AB4" i="6"/>
  <c r="Y4" i="6"/>
  <c r="G4" i="6"/>
  <c r="AB3" i="6"/>
  <c r="Z3" i="6"/>
  <c r="Z34" i="6" s="1"/>
  <c r="Y3" i="6"/>
  <c r="M3" i="6"/>
  <c r="K3" i="6"/>
  <c r="K34" i="6" s="1"/>
  <c r="G3" i="6"/>
  <c r="P15" i="5"/>
  <c r="Q36" i="6" s="1"/>
  <c r="Z13" i="5"/>
  <c r="U13" i="5"/>
  <c r="T13" i="5"/>
  <c r="S13" i="5"/>
  <c r="R13" i="5"/>
  <c r="Q13" i="5"/>
  <c r="P13" i="5"/>
  <c r="N13" i="5"/>
  <c r="J13" i="5"/>
  <c r="F13" i="5"/>
  <c r="E13" i="5"/>
  <c r="D13" i="5"/>
  <c r="C13" i="5"/>
  <c r="B13" i="5"/>
  <c r="AA12" i="5"/>
  <c r="X12" i="5"/>
  <c r="G12" i="5"/>
  <c r="AA11" i="5"/>
  <c r="X11" i="5"/>
  <c r="G11" i="5"/>
  <c r="AA10" i="5"/>
  <c r="X10" i="5"/>
  <c r="G10" i="5"/>
  <c r="AA9" i="5"/>
  <c r="X9" i="5"/>
  <c r="G9" i="5"/>
  <c r="AA8" i="5"/>
  <c r="Y8" i="5"/>
  <c r="Y13" i="5" s="1"/>
  <c r="X8" i="5"/>
  <c r="G8" i="5"/>
  <c r="AA7" i="5"/>
  <c r="X7" i="5"/>
  <c r="G7" i="5" s="1"/>
  <c r="AA6" i="5"/>
  <c r="X6" i="5"/>
  <c r="G6" i="5" s="1"/>
  <c r="N6" i="5"/>
  <c r="AA5" i="5"/>
  <c r="X5" i="5"/>
  <c r="G5" i="5" s="1"/>
  <c r="R5" i="5"/>
  <c r="O5" i="5"/>
  <c r="AA4" i="5"/>
  <c r="X4" i="5"/>
  <c r="G4" i="5" s="1"/>
  <c r="O4" i="5"/>
  <c r="O13" i="5" s="1"/>
  <c r="L4" i="5"/>
  <c r="L5" i="5" s="1"/>
  <c r="L6" i="5" s="1"/>
  <c r="L7" i="5" s="1"/>
  <c r="L8" i="5" s="1"/>
  <c r="L9" i="5" s="1"/>
  <c r="L10" i="5" s="1"/>
  <c r="L11" i="5" s="1"/>
  <c r="L12" i="5" s="1"/>
  <c r="L13" i="5" s="1"/>
  <c r="AA3" i="5"/>
  <c r="X3" i="5"/>
  <c r="G49" i="1"/>
  <c r="G50" i="1" s="1"/>
  <c r="I32" i="9"/>
  <c r="J32" i="9" s="1"/>
  <c r="I31" i="9"/>
  <c r="I30" i="9"/>
  <c r="J30" i="9" s="1"/>
  <c r="I29" i="9"/>
  <c r="J29" i="9" s="1"/>
  <c r="I28" i="9"/>
  <c r="I27" i="9"/>
  <c r="I26" i="9"/>
  <c r="J26" i="9" s="1"/>
  <c r="I25" i="9"/>
  <c r="J25" i="9" s="1"/>
  <c r="I24" i="9"/>
  <c r="J24" i="9" s="1"/>
  <c r="I23" i="9"/>
  <c r="I22" i="9"/>
  <c r="J22" i="9" s="1"/>
  <c r="I21" i="9"/>
  <c r="J21" i="9" s="1"/>
  <c r="I20" i="9"/>
  <c r="I19" i="9"/>
  <c r="I18" i="9"/>
  <c r="J18" i="9" s="1"/>
  <c r="I17" i="9"/>
  <c r="J17" i="9" s="1"/>
  <c r="I16" i="9"/>
  <c r="J16" i="9" s="1"/>
  <c r="I15" i="9"/>
  <c r="I14" i="9"/>
  <c r="J14" i="9" s="1"/>
  <c r="I13" i="9"/>
  <c r="J13" i="9" s="1"/>
  <c r="I12" i="9"/>
  <c r="I11" i="9"/>
  <c r="I10" i="9"/>
  <c r="J10" i="9" s="1"/>
  <c r="I9" i="9"/>
  <c r="J9" i="9" s="1"/>
  <c r="I8" i="9"/>
  <c r="I7" i="9"/>
  <c r="I6" i="9"/>
  <c r="V116" i="4"/>
  <c r="Q116" i="4"/>
  <c r="P116" i="4"/>
  <c r="O116" i="4"/>
  <c r="K116" i="4"/>
  <c r="J116" i="4"/>
  <c r="I116" i="4"/>
  <c r="H116" i="4"/>
  <c r="F116" i="4"/>
  <c r="D116" i="4"/>
  <c r="G65" i="2" s="1"/>
  <c r="C116" i="4"/>
  <c r="F56" i="1" s="1"/>
  <c r="F58" i="1" s="1"/>
  <c r="S115" i="4"/>
  <c r="G115" i="4"/>
  <c r="E115" i="4"/>
  <c r="M114" i="4"/>
  <c r="Y114" i="4" s="1"/>
  <c r="I32" i="8" s="1"/>
  <c r="J32" i="8" s="1"/>
  <c r="G114" i="4"/>
  <c r="E114" i="4"/>
  <c r="S113" i="4"/>
  <c r="G113" i="4"/>
  <c r="E113" i="4"/>
  <c r="G112" i="4"/>
  <c r="E112" i="4"/>
  <c r="S111" i="4"/>
  <c r="E111" i="4"/>
  <c r="S110" i="4"/>
  <c r="L110" i="4"/>
  <c r="G110" i="4"/>
  <c r="E110" i="4"/>
  <c r="N109" i="4"/>
  <c r="N116" i="4" s="1"/>
  <c r="G109" i="4"/>
  <c r="E109" i="4"/>
  <c r="Y109" i="4" s="1"/>
  <c r="I27" i="8" s="1"/>
  <c r="J27" i="8" s="1"/>
  <c r="G108" i="4"/>
  <c r="E108" i="4"/>
  <c r="G107" i="4"/>
  <c r="E107" i="4"/>
  <c r="Y107" i="4" s="1"/>
  <c r="I25" i="8" s="1"/>
  <c r="J25" i="8" s="1"/>
  <c r="G106" i="4"/>
  <c r="E106" i="4"/>
  <c r="Y106" i="4" s="1"/>
  <c r="I24" i="8" s="1"/>
  <c r="J24" i="8" s="1"/>
  <c r="G105" i="4"/>
  <c r="Y105" i="4" s="1"/>
  <c r="I23" i="8" s="1"/>
  <c r="J23" i="8" s="1"/>
  <c r="E105" i="4"/>
  <c r="E104" i="4"/>
  <c r="Y104" i="4" s="1"/>
  <c r="I22" i="8" s="1"/>
  <c r="L103" i="4"/>
  <c r="Y103" i="4" s="1"/>
  <c r="I21" i="8" s="1"/>
  <c r="G103" i="4"/>
  <c r="E103" i="4"/>
  <c r="X102" i="4"/>
  <c r="Y102" i="4" s="1"/>
  <c r="I20" i="8" s="1"/>
  <c r="G102" i="4"/>
  <c r="E102" i="4"/>
  <c r="U101" i="4"/>
  <c r="U116" i="4" s="1"/>
  <c r="G101" i="4"/>
  <c r="E101" i="4"/>
  <c r="S100" i="4"/>
  <c r="Y100" i="4" s="1"/>
  <c r="I18" i="8" s="1"/>
  <c r="J18" i="8" s="1"/>
  <c r="G100" i="4"/>
  <c r="E100" i="4"/>
  <c r="S99" i="4"/>
  <c r="Y99" i="4" s="1"/>
  <c r="I17" i="8" s="1"/>
  <c r="J17" i="8" s="1"/>
  <c r="G99" i="4"/>
  <c r="E99" i="4"/>
  <c r="G98" i="4"/>
  <c r="Y98" i="4" s="1"/>
  <c r="I16" i="8" s="1"/>
  <c r="J16" i="8" s="1"/>
  <c r="E98" i="4"/>
  <c r="W97" i="4"/>
  <c r="T97" i="4"/>
  <c r="S97" i="4"/>
  <c r="E97" i="4"/>
  <c r="R96" i="4"/>
  <c r="R116" i="4" s="1"/>
  <c r="L96" i="4"/>
  <c r="E96" i="4"/>
  <c r="Y96" i="4" s="1"/>
  <c r="I14" i="8" s="1"/>
  <c r="J14" i="8" s="1"/>
  <c r="G95" i="4"/>
  <c r="E95" i="4"/>
  <c r="Y95" i="4" s="1"/>
  <c r="I13" i="8" s="1"/>
  <c r="J13" i="8" s="1"/>
  <c r="S94" i="4"/>
  <c r="G94" i="4"/>
  <c r="E94" i="4"/>
  <c r="G93" i="4"/>
  <c r="Y93" i="4" s="1"/>
  <c r="I11" i="8" s="1"/>
  <c r="J11" i="8" s="1"/>
  <c r="E93" i="4"/>
  <c r="W92" i="4"/>
  <c r="W116" i="4" s="1"/>
  <c r="T92" i="4"/>
  <c r="S92" i="4"/>
  <c r="S116" i="4" s="1"/>
  <c r="G92" i="4"/>
  <c r="E92" i="4"/>
  <c r="G91" i="4"/>
  <c r="Y91" i="4" s="1"/>
  <c r="I9" i="8" s="1"/>
  <c r="E91" i="4"/>
  <c r="G90" i="4"/>
  <c r="E90" i="4"/>
  <c r="L89" i="4"/>
  <c r="L116" i="4" s="1"/>
  <c r="F15" i="1" s="1"/>
  <c r="G16" i="1" s="1"/>
  <c r="G89" i="4"/>
  <c r="E89" i="4"/>
  <c r="X88" i="4"/>
  <c r="G88" i="4"/>
  <c r="Y88" i="4" s="1"/>
  <c r="I6" i="8" s="1"/>
  <c r="J6" i="8" s="1"/>
  <c r="E88" i="4"/>
  <c r="T87" i="4"/>
  <c r="G87" i="4"/>
  <c r="E87" i="4"/>
  <c r="G86" i="4"/>
  <c r="E86" i="4"/>
  <c r="X85" i="4"/>
  <c r="G85" i="4"/>
  <c r="G116" i="4" s="1"/>
  <c r="E85" i="4"/>
  <c r="V81" i="4"/>
  <c r="Q81" i="4"/>
  <c r="O81" i="4"/>
  <c r="M81" i="4"/>
  <c r="K81" i="4"/>
  <c r="I81" i="4"/>
  <c r="F81" i="4"/>
  <c r="C81" i="4"/>
  <c r="E56" i="1" s="1"/>
  <c r="S80" i="4"/>
  <c r="G80" i="4"/>
  <c r="E80" i="4"/>
  <c r="X79" i="4"/>
  <c r="T79" i="4"/>
  <c r="G79" i="4"/>
  <c r="E79" i="4"/>
  <c r="U78" i="4"/>
  <c r="L78" i="4"/>
  <c r="L81" i="4" s="1"/>
  <c r="E15" i="1" s="1"/>
  <c r="G78" i="4"/>
  <c r="E78" i="4"/>
  <c r="E77" i="4"/>
  <c r="Y77" i="4" s="1"/>
  <c r="I29" i="7" s="1"/>
  <c r="U76" i="4"/>
  <c r="T76" i="4"/>
  <c r="S76" i="4"/>
  <c r="G76" i="4"/>
  <c r="E76" i="4"/>
  <c r="H75" i="4"/>
  <c r="G75" i="4"/>
  <c r="E75" i="4"/>
  <c r="D75" i="4"/>
  <c r="S74" i="4"/>
  <c r="G74" i="4"/>
  <c r="E74" i="4"/>
  <c r="X73" i="4"/>
  <c r="S73" i="4"/>
  <c r="R73" i="4"/>
  <c r="G73" i="4"/>
  <c r="E73" i="4"/>
  <c r="S72" i="4"/>
  <c r="G72" i="4"/>
  <c r="E72" i="4"/>
  <c r="Y72" i="4" s="1"/>
  <c r="I24" i="7" s="1"/>
  <c r="U71" i="4"/>
  <c r="S71" i="4"/>
  <c r="G71" i="4"/>
  <c r="E71" i="4"/>
  <c r="T70" i="4"/>
  <c r="P70" i="4"/>
  <c r="E70" i="4"/>
  <c r="Y70" i="4" s="1"/>
  <c r="I22" i="7" s="1"/>
  <c r="G69" i="4"/>
  <c r="E69" i="4"/>
  <c r="Y69" i="4" s="1"/>
  <c r="I21" i="7" s="1"/>
  <c r="X68" i="4"/>
  <c r="W68" i="4"/>
  <c r="U68" i="4"/>
  <c r="T68" i="4"/>
  <c r="H68" i="4"/>
  <c r="G68" i="4"/>
  <c r="E68" i="4"/>
  <c r="U67" i="4"/>
  <c r="S67" i="4"/>
  <c r="N67" i="4"/>
  <c r="N81" i="4" s="1"/>
  <c r="H67" i="4"/>
  <c r="G67" i="4"/>
  <c r="E67" i="4"/>
  <c r="U66" i="4"/>
  <c r="S66" i="4"/>
  <c r="G66" i="4"/>
  <c r="E66" i="4"/>
  <c r="D66" i="4"/>
  <c r="U65" i="4"/>
  <c r="J65" i="4"/>
  <c r="G65" i="4"/>
  <c r="E65" i="4"/>
  <c r="U64" i="4"/>
  <c r="T64" i="4"/>
  <c r="S64" i="4"/>
  <c r="G64" i="4"/>
  <c r="E64" i="4"/>
  <c r="D64" i="4"/>
  <c r="U63" i="4"/>
  <c r="S63" i="4"/>
  <c r="R63" i="4"/>
  <c r="G63" i="4"/>
  <c r="E63" i="4"/>
  <c r="U62" i="4"/>
  <c r="T62" i="4"/>
  <c r="S62" i="4"/>
  <c r="G62" i="4"/>
  <c r="E62" i="4"/>
  <c r="X61" i="4"/>
  <c r="W61" i="4"/>
  <c r="U61" i="4"/>
  <c r="H61" i="4"/>
  <c r="G61" i="4"/>
  <c r="E61" i="4"/>
  <c r="Y60" i="4"/>
  <c r="I12" i="7" s="1"/>
  <c r="U60" i="4"/>
  <c r="G60" i="4"/>
  <c r="E60" i="4"/>
  <c r="S59" i="4"/>
  <c r="G59" i="4"/>
  <c r="E59" i="4"/>
  <c r="D59" i="4"/>
  <c r="X58" i="4"/>
  <c r="X81" i="4" s="1"/>
  <c r="U58" i="4"/>
  <c r="T58" i="4"/>
  <c r="S58" i="4"/>
  <c r="P58" i="4"/>
  <c r="P81" i="4" s="1"/>
  <c r="G58" i="4"/>
  <c r="E58" i="4"/>
  <c r="S57" i="4"/>
  <c r="J57" i="4"/>
  <c r="G57" i="4"/>
  <c r="E57" i="4"/>
  <c r="U56" i="4"/>
  <c r="S56" i="4"/>
  <c r="G56" i="4"/>
  <c r="E56" i="4"/>
  <c r="D56" i="4"/>
  <c r="S55" i="4"/>
  <c r="G55" i="4"/>
  <c r="E55" i="4"/>
  <c r="W54" i="4"/>
  <c r="W81" i="4" s="1"/>
  <c r="E49" i="1" s="1"/>
  <c r="E50" i="1" s="1"/>
  <c r="J54" i="4"/>
  <c r="H54" i="4"/>
  <c r="G54" i="4"/>
  <c r="E54" i="4"/>
  <c r="T53" i="4"/>
  <c r="S53" i="4"/>
  <c r="G53" i="4"/>
  <c r="E53" i="4"/>
  <c r="U52" i="4"/>
  <c r="S52" i="4"/>
  <c r="G52" i="4"/>
  <c r="E52" i="4"/>
  <c r="U51" i="4"/>
  <c r="S51" i="4"/>
  <c r="J51" i="4"/>
  <c r="G51" i="4"/>
  <c r="E51" i="4"/>
  <c r="D51" i="4"/>
  <c r="I49" i="4"/>
  <c r="V47" i="4"/>
  <c r="R47" i="4"/>
  <c r="Q47" i="4"/>
  <c r="Q83" i="4" s="1"/>
  <c r="P47" i="4"/>
  <c r="P83" i="4" s="1"/>
  <c r="O47" i="4"/>
  <c r="O83" i="4" s="1"/>
  <c r="L47" i="4"/>
  <c r="K47" i="4"/>
  <c r="K83" i="4" s="1"/>
  <c r="J47" i="4"/>
  <c r="I47" i="4"/>
  <c r="I83" i="4" s="1"/>
  <c r="H47" i="4"/>
  <c r="H83" i="4" s="1"/>
  <c r="F47" i="4"/>
  <c r="F83" i="4" s="1"/>
  <c r="C47" i="4"/>
  <c r="X46" i="4"/>
  <c r="W46" i="4"/>
  <c r="M46" i="4"/>
  <c r="M47" i="4" s="1"/>
  <c r="M49" i="4" s="1"/>
  <c r="G46" i="4"/>
  <c r="E46" i="4"/>
  <c r="W45" i="4"/>
  <c r="G45" i="4"/>
  <c r="E45" i="4"/>
  <c r="S44" i="4"/>
  <c r="G44" i="4"/>
  <c r="E44" i="4"/>
  <c r="X43" i="4"/>
  <c r="W43" i="4"/>
  <c r="N43" i="4"/>
  <c r="N47" i="4" s="1"/>
  <c r="G43" i="4"/>
  <c r="Y43" i="4" s="1"/>
  <c r="H30" i="6" s="1"/>
  <c r="I30" i="6" s="1"/>
  <c r="E43" i="4"/>
  <c r="D43" i="4"/>
  <c r="X42" i="4"/>
  <c r="S42" i="4"/>
  <c r="G42" i="4"/>
  <c r="E42" i="4"/>
  <c r="G41" i="4"/>
  <c r="E41" i="4"/>
  <c r="Y41" i="4" s="1"/>
  <c r="H28" i="6" s="1"/>
  <c r="I28" i="6" s="1"/>
  <c r="G40" i="4"/>
  <c r="E40" i="4"/>
  <c r="Y40" i="4" s="1"/>
  <c r="H27" i="6" s="1"/>
  <c r="X39" i="4"/>
  <c r="T39" i="4"/>
  <c r="T47" i="4" s="1"/>
  <c r="S39" i="4"/>
  <c r="G39" i="4"/>
  <c r="E39" i="4"/>
  <c r="D39" i="4"/>
  <c r="D47" i="4" s="1"/>
  <c r="G38" i="4"/>
  <c r="E38" i="4"/>
  <c r="Y37" i="4"/>
  <c r="H24" i="6" s="1"/>
  <c r="I24" i="6" s="1"/>
  <c r="E37" i="4"/>
  <c r="V36" i="4"/>
  <c r="U36" i="4"/>
  <c r="S36" i="4"/>
  <c r="G36" i="4"/>
  <c r="E36" i="4"/>
  <c r="W35" i="4"/>
  <c r="S35" i="4"/>
  <c r="G35" i="4"/>
  <c r="E35" i="4"/>
  <c r="X34" i="4"/>
  <c r="G34" i="4"/>
  <c r="E34" i="4"/>
  <c r="G33" i="4"/>
  <c r="E33" i="4"/>
  <c r="S32" i="4"/>
  <c r="G32" i="4"/>
  <c r="E32" i="4"/>
  <c r="S31" i="4"/>
  <c r="G31" i="4"/>
  <c r="E31" i="4"/>
  <c r="G30" i="4"/>
  <c r="E30" i="4"/>
  <c r="Y30" i="4" s="1"/>
  <c r="H17" i="6" s="1"/>
  <c r="I17" i="6" s="1"/>
  <c r="X29" i="4"/>
  <c r="W29" i="4"/>
  <c r="G29" i="4"/>
  <c r="E29" i="4"/>
  <c r="U28" i="4"/>
  <c r="U47" i="4" s="1"/>
  <c r="G28" i="4"/>
  <c r="E28" i="4"/>
  <c r="G27" i="4"/>
  <c r="E27" i="4"/>
  <c r="Y27" i="4" s="1"/>
  <c r="H14" i="6" s="1"/>
  <c r="I14" i="6" s="1"/>
  <c r="W26" i="4"/>
  <c r="G26" i="4"/>
  <c r="E26" i="4"/>
  <c r="Y26" i="4" s="1"/>
  <c r="H13" i="6" s="1"/>
  <c r="I13" i="6" s="1"/>
  <c r="Y25" i="4"/>
  <c r="H12" i="6" s="1"/>
  <c r="I12" i="6" s="1"/>
  <c r="G25" i="4"/>
  <c r="E25" i="4"/>
  <c r="W24" i="4"/>
  <c r="W47" i="4" s="1"/>
  <c r="Y23" i="4"/>
  <c r="H10" i="6" s="1"/>
  <c r="I10" i="6" s="1"/>
  <c r="X23" i="4"/>
  <c r="Y22" i="4"/>
  <c r="H9" i="6" s="1"/>
  <c r="I9" i="6" s="1"/>
  <c r="Y21" i="4"/>
  <c r="H8" i="6" s="1"/>
  <c r="I8" i="6" s="1"/>
  <c r="Y20" i="4"/>
  <c r="H7" i="6" s="1"/>
  <c r="I7" i="6" s="1"/>
  <c r="Y19" i="4"/>
  <c r="H6" i="6" s="1"/>
  <c r="I6" i="6" s="1"/>
  <c r="Y18" i="4"/>
  <c r="H5" i="6" s="1"/>
  <c r="I5" i="6" s="1"/>
  <c r="Y17" i="4"/>
  <c r="H4" i="6" s="1"/>
  <c r="I4" i="6" s="1"/>
  <c r="S17" i="4"/>
  <c r="W13" i="4"/>
  <c r="B20" i="5" s="1"/>
  <c r="V13" i="4"/>
  <c r="V49" i="4" s="1"/>
  <c r="Q13" i="4"/>
  <c r="Q49" i="4" s="1"/>
  <c r="P13" i="4"/>
  <c r="O13" i="4"/>
  <c r="O49" i="4" s="1"/>
  <c r="N13" i="4"/>
  <c r="N49" i="4" s="1"/>
  <c r="L13" i="4"/>
  <c r="K13" i="4"/>
  <c r="K49" i="4" s="1"/>
  <c r="I13" i="4"/>
  <c r="H13" i="4"/>
  <c r="F13" i="4"/>
  <c r="F49" i="4" s="1"/>
  <c r="C13" i="4"/>
  <c r="C49" i="4" s="1"/>
  <c r="W12" i="4"/>
  <c r="U12" i="4"/>
  <c r="U13" i="4" s="1"/>
  <c r="S12" i="4"/>
  <c r="G12" i="4"/>
  <c r="E12" i="4"/>
  <c r="X11" i="4"/>
  <c r="G11" i="4"/>
  <c r="E11" i="4"/>
  <c r="D11" i="4"/>
  <c r="S10" i="4"/>
  <c r="G10" i="4"/>
  <c r="E10" i="4"/>
  <c r="D10" i="4"/>
  <c r="G9" i="4"/>
  <c r="E9" i="4"/>
  <c r="D9" i="4"/>
  <c r="Y9" i="4" s="1"/>
  <c r="H9" i="5" s="1"/>
  <c r="I9" i="5" s="1"/>
  <c r="K9" i="5" s="1"/>
  <c r="R8" i="4"/>
  <c r="R13" i="4" s="1"/>
  <c r="G8" i="4"/>
  <c r="E8" i="4"/>
  <c r="G7" i="4"/>
  <c r="E7" i="4"/>
  <c r="X6" i="4"/>
  <c r="X13" i="4" s="1"/>
  <c r="C49" i="1" s="1"/>
  <c r="C50" i="1" s="1"/>
  <c r="C51" i="1" s="1"/>
  <c r="E6" i="4"/>
  <c r="Y6" i="4" s="1"/>
  <c r="H6" i="5" s="1"/>
  <c r="J5" i="4"/>
  <c r="J13" i="4" s="1"/>
  <c r="G5" i="4"/>
  <c r="E5" i="4"/>
  <c r="Y5" i="4" s="1"/>
  <c r="H5" i="5" s="1"/>
  <c r="T4" i="4"/>
  <c r="T13" i="4" s="1"/>
  <c r="S4" i="4"/>
  <c r="G4" i="4"/>
  <c r="E4" i="4"/>
  <c r="E13" i="4" s="1"/>
  <c r="M3" i="4"/>
  <c r="M13" i="4" s="1"/>
  <c r="L45" i="3"/>
  <c r="L40" i="3"/>
  <c r="I40" i="3"/>
  <c r="I39" i="3"/>
  <c r="F39" i="3"/>
  <c r="C39" i="3"/>
  <c r="I38" i="3"/>
  <c r="F38" i="3"/>
  <c r="C38" i="3"/>
  <c r="I37" i="3"/>
  <c r="F37" i="3"/>
  <c r="F40" i="3" s="1"/>
  <c r="C37" i="3"/>
  <c r="C40" i="3" s="1"/>
  <c r="J98" i="2"/>
  <c r="K97" i="2"/>
  <c r="N104" i="2" s="1"/>
  <c r="J97" i="2"/>
  <c r="H97" i="2"/>
  <c r="F97" i="2"/>
  <c r="D97" i="2"/>
  <c r="J96" i="2"/>
  <c r="K96" i="2" s="1"/>
  <c r="N103" i="2" s="1"/>
  <c r="H96" i="2"/>
  <c r="F96" i="2"/>
  <c r="D96" i="2"/>
  <c r="J95" i="2"/>
  <c r="K95" i="2" s="1"/>
  <c r="N102" i="2" s="1"/>
  <c r="H95" i="2"/>
  <c r="F95" i="2"/>
  <c r="D95" i="2"/>
  <c r="H65" i="2"/>
  <c r="E65" i="2"/>
  <c r="H36" i="2"/>
  <c r="H8" i="2"/>
  <c r="B64" i="1"/>
  <c r="B63" i="1"/>
  <c r="G56" i="1"/>
  <c r="D56" i="1"/>
  <c r="D58" i="1" s="1"/>
  <c r="C56" i="1"/>
  <c r="C57" i="1" s="1"/>
  <c r="G36" i="1"/>
  <c r="F36" i="1"/>
  <c r="E36" i="1"/>
  <c r="D36" i="1"/>
  <c r="C36" i="1"/>
  <c r="G31" i="1"/>
  <c r="F31" i="1"/>
  <c r="E31" i="1"/>
  <c r="D31" i="1"/>
  <c r="C31" i="1"/>
  <c r="G21" i="1"/>
  <c r="G19" i="1"/>
  <c r="D19" i="1"/>
  <c r="G17" i="1"/>
  <c r="F17" i="1"/>
  <c r="E17" i="1"/>
  <c r="C17" i="1"/>
  <c r="G15" i="1"/>
  <c r="D15" i="1"/>
  <c r="G10" i="1"/>
  <c r="F8" i="1"/>
  <c r="AZ5" i="11" l="1"/>
  <c r="C9" i="11"/>
  <c r="BM9" i="11" s="1"/>
  <c r="BF8" i="11"/>
  <c r="W5" i="11"/>
  <c r="BI2" i="11"/>
  <c r="AQ3" i="11"/>
  <c r="BH2" i="11"/>
  <c r="W3" i="11"/>
  <c r="BG4" i="11"/>
  <c r="BI4" i="11"/>
  <c r="M5" i="11"/>
  <c r="AH5" i="11"/>
  <c r="BH4" i="11"/>
  <c r="AA5" i="11"/>
  <c r="C5" i="11"/>
  <c r="AQ5" i="11"/>
  <c r="S3" i="11"/>
  <c r="AA3" i="11"/>
  <c r="BG6" i="11"/>
  <c r="BI6" i="11"/>
  <c r="BH6" i="11"/>
  <c r="AH9" i="11"/>
  <c r="C3" i="11"/>
  <c r="AL5" i="11"/>
  <c r="F3" i="10"/>
  <c r="F38" i="10"/>
  <c r="H3" i="10"/>
  <c r="F27" i="10"/>
  <c r="H34" i="10"/>
  <c r="H29" i="10"/>
  <c r="H27" i="10" s="1"/>
  <c r="F13" i="10"/>
  <c r="F34" i="10"/>
  <c r="J21" i="7"/>
  <c r="K21" i="7"/>
  <c r="M21" i="7" s="1"/>
  <c r="R49" i="4"/>
  <c r="C19" i="1"/>
  <c r="C20" i="1" s="1"/>
  <c r="G57" i="1"/>
  <c r="D17" i="1"/>
  <c r="D18" i="1" s="1"/>
  <c r="N83" i="4"/>
  <c r="H66" i="2"/>
  <c r="E49" i="4"/>
  <c r="Y4" i="4"/>
  <c r="Y39" i="4"/>
  <c r="H26" i="6" s="1"/>
  <c r="Y53" i="4"/>
  <c r="I5" i="7" s="1"/>
  <c r="Y59" i="4"/>
  <c r="I11" i="7" s="1"/>
  <c r="K11" i="7" s="1"/>
  <c r="M11" i="7" s="1"/>
  <c r="Y63" i="4"/>
  <c r="I15" i="7" s="1"/>
  <c r="Y68" i="4"/>
  <c r="I20" i="7" s="1"/>
  <c r="X116" i="4"/>
  <c r="F49" i="1" s="1"/>
  <c r="F50" i="1" s="1"/>
  <c r="F51" i="1" s="1"/>
  <c r="Y101" i="4"/>
  <c r="I19" i="8" s="1"/>
  <c r="J19" i="8" s="1"/>
  <c r="D57" i="1"/>
  <c r="G58" i="1"/>
  <c r="G59" i="1" s="1"/>
  <c r="S13" i="4"/>
  <c r="C23" i="1"/>
  <c r="C24" i="1" s="1"/>
  <c r="X47" i="4"/>
  <c r="D49" i="1" s="1"/>
  <c r="D50" i="1" s="1"/>
  <c r="E47" i="4"/>
  <c r="E36" i="2" s="1"/>
  <c r="Y35" i="4"/>
  <c r="H22" i="6" s="1"/>
  <c r="I22" i="6" s="1"/>
  <c r="Y42" i="4"/>
  <c r="H29" i="6" s="1"/>
  <c r="I29" i="6" s="1"/>
  <c r="J81" i="4"/>
  <c r="Y54" i="4"/>
  <c r="I6" i="7" s="1"/>
  <c r="K6" i="7" s="1"/>
  <c r="M6" i="7" s="1"/>
  <c r="Y55" i="4"/>
  <c r="I7" i="7" s="1"/>
  <c r="J7" i="7" s="1"/>
  <c r="Y57" i="4"/>
  <c r="I9" i="7" s="1"/>
  <c r="Y58" i="4"/>
  <c r="I10" i="7" s="1"/>
  <c r="R81" i="4"/>
  <c r="E19" i="1" s="1"/>
  <c r="E20" i="1" s="1"/>
  <c r="Y67" i="4"/>
  <c r="I19" i="7" s="1"/>
  <c r="K19" i="7" s="1"/>
  <c r="M19" i="7" s="1"/>
  <c r="Y78" i="4"/>
  <c r="Y80" i="4"/>
  <c r="I32" i="7" s="1"/>
  <c r="Y86" i="4"/>
  <c r="I4" i="8" s="1"/>
  <c r="J4" i="8" s="1"/>
  <c r="Y90" i="4"/>
  <c r="I8" i="8" s="1"/>
  <c r="J8" i="8" s="1"/>
  <c r="Y108" i="4"/>
  <c r="I26" i="8" s="1"/>
  <c r="J26" i="8" s="1"/>
  <c r="Y112" i="4"/>
  <c r="I30" i="8" s="1"/>
  <c r="J30" i="8" s="1"/>
  <c r="J12" i="6"/>
  <c r="C58" i="1"/>
  <c r="C59" i="1" s="1"/>
  <c r="S81" i="4"/>
  <c r="G81" i="4"/>
  <c r="K30" i="9"/>
  <c r="M30" i="9" s="1"/>
  <c r="W49" i="4"/>
  <c r="Y24" i="4"/>
  <c r="H11" i="6" s="1"/>
  <c r="L83" i="4"/>
  <c r="Y52" i="4"/>
  <c r="I4" i="7" s="1"/>
  <c r="K4" i="7" s="1"/>
  <c r="M4" i="7" s="1"/>
  <c r="Y56" i="4"/>
  <c r="I8" i="7" s="1"/>
  <c r="Y64" i="4"/>
  <c r="I16" i="7" s="1"/>
  <c r="Y87" i="4"/>
  <c r="I5" i="8" s="1"/>
  <c r="J5" i="8" s="1"/>
  <c r="Y113" i="4"/>
  <c r="I31" i="8" s="1"/>
  <c r="J31" i="8" s="1"/>
  <c r="Y7" i="4"/>
  <c r="H7" i="5" s="1"/>
  <c r="Y10" i="4"/>
  <c r="H10" i="5" s="1"/>
  <c r="D13" i="4"/>
  <c r="D49" i="4" s="1"/>
  <c r="S47" i="4"/>
  <c r="B40" i="6" s="1"/>
  <c r="Y31" i="4"/>
  <c r="H18" i="6" s="1"/>
  <c r="I18" i="6" s="1"/>
  <c r="Y34" i="4"/>
  <c r="H21" i="6" s="1"/>
  <c r="I21" i="6" s="1"/>
  <c r="Y36" i="4"/>
  <c r="H23" i="6" s="1"/>
  <c r="I23" i="6" s="1"/>
  <c r="Y46" i="4"/>
  <c r="H33" i="6" s="1"/>
  <c r="I33" i="6" s="1"/>
  <c r="C83" i="4"/>
  <c r="V83" i="4"/>
  <c r="D81" i="4"/>
  <c r="F65" i="2" s="1"/>
  <c r="F66" i="2" s="1"/>
  <c r="H81" i="4"/>
  <c r="F8" i="2" s="1"/>
  <c r="Y62" i="4"/>
  <c r="I14" i="7" s="1"/>
  <c r="Y66" i="4"/>
  <c r="I18" i="7" s="1"/>
  <c r="Y71" i="4"/>
  <c r="I23" i="7" s="1"/>
  <c r="Y76" i="4"/>
  <c r="I28" i="7" s="1"/>
  <c r="J28" i="7" s="1"/>
  <c r="Y85" i="4"/>
  <c r="I3" i="8" s="1"/>
  <c r="Y89" i="4"/>
  <c r="I7" i="8" s="1"/>
  <c r="J7" i="8" s="1"/>
  <c r="Y94" i="4"/>
  <c r="I12" i="8" s="1"/>
  <c r="J12" i="8" s="1"/>
  <c r="Y97" i="4"/>
  <c r="I15" i="8" s="1"/>
  <c r="J15" i="8" s="1"/>
  <c r="Y111" i="4"/>
  <c r="I29" i="8" s="1"/>
  <c r="J29" i="8" s="1"/>
  <c r="Y115" i="4"/>
  <c r="I33" i="8" s="1"/>
  <c r="G51" i="1"/>
  <c r="I6" i="5"/>
  <c r="K6" i="5" s="1"/>
  <c r="F18" i="1"/>
  <c r="F16" i="1"/>
  <c r="J6" i="9"/>
  <c r="K6" i="9"/>
  <c r="I26" i="6"/>
  <c r="J26" i="6"/>
  <c r="J4" i="7"/>
  <c r="K20" i="7"/>
  <c r="M20" i="7" s="1"/>
  <c r="J20" i="7"/>
  <c r="E58" i="1"/>
  <c r="E57" i="1"/>
  <c r="G96" i="2"/>
  <c r="L103" i="2" s="1"/>
  <c r="I30" i="7"/>
  <c r="Z78" i="4"/>
  <c r="K22" i="8"/>
  <c r="M22" i="8" s="1"/>
  <c r="J22" i="8"/>
  <c r="G23" i="1"/>
  <c r="G105" i="2"/>
  <c r="F63" i="1"/>
  <c r="D20" i="1"/>
  <c r="F57" i="1"/>
  <c r="D65" i="2"/>
  <c r="K14" i="7"/>
  <c r="M14" i="7" s="1"/>
  <c r="J14" i="7"/>
  <c r="N36" i="8"/>
  <c r="Y11" i="4"/>
  <c r="H11" i="5" s="1"/>
  <c r="S83" i="4"/>
  <c r="D36" i="2"/>
  <c r="H98" i="2"/>
  <c r="H49" i="4"/>
  <c r="X49" i="4"/>
  <c r="B41" i="6"/>
  <c r="W83" i="4"/>
  <c r="E81" i="4"/>
  <c r="U81" i="4"/>
  <c r="U83" i="4" s="1"/>
  <c r="K9" i="7"/>
  <c r="J9" i="7"/>
  <c r="J10" i="7"/>
  <c r="K10" i="7"/>
  <c r="M10" i="7" s="1"/>
  <c r="K15" i="7"/>
  <c r="M15" i="7" s="1"/>
  <c r="J15" i="7"/>
  <c r="J16" i="7"/>
  <c r="K9" i="8"/>
  <c r="M9" i="8" s="1"/>
  <c r="J9" i="8"/>
  <c r="K20" i="8"/>
  <c r="M20" i="8" s="1"/>
  <c r="J20" i="8"/>
  <c r="K21" i="8"/>
  <c r="M21" i="8" s="1"/>
  <c r="J21" i="8"/>
  <c r="I4" i="9"/>
  <c r="J4" i="9" s="1"/>
  <c r="J22" i="6"/>
  <c r="L22" i="6" s="1"/>
  <c r="AL35" i="8"/>
  <c r="AL36" i="8"/>
  <c r="F98" i="2"/>
  <c r="G97" i="2" s="1"/>
  <c r="L104" i="2" s="1"/>
  <c r="L49" i="4"/>
  <c r="J6" i="7"/>
  <c r="K12" i="7"/>
  <c r="M12" i="7" s="1"/>
  <c r="J12" i="7"/>
  <c r="M116" i="4"/>
  <c r="B41" i="8" s="1"/>
  <c r="J18" i="6"/>
  <c r="C27" i="7"/>
  <c r="S36" i="8"/>
  <c r="S35" i="7"/>
  <c r="AA35" i="7"/>
  <c r="E16" i="1"/>
  <c r="C18" i="1"/>
  <c r="G18" i="1"/>
  <c r="G13" i="4"/>
  <c r="Y8" i="4"/>
  <c r="H8" i="5" s="1"/>
  <c r="I8" i="5" s="1"/>
  <c r="K8" i="5" s="1"/>
  <c r="Y12" i="4"/>
  <c r="H12" i="5" s="1"/>
  <c r="I12" i="5" s="1"/>
  <c r="K12" i="5" s="1"/>
  <c r="T49" i="4"/>
  <c r="Y29" i="4"/>
  <c r="H16" i="6" s="1"/>
  <c r="I16" i="6" s="1"/>
  <c r="Y33" i="4"/>
  <c r="H20" i="6" s="1"/>
  <c r="I20" i="6" s="1"/>
  <c r="Y45" i="4"/>
  <c r="H32" i="6" s="1"/>
  <c r="U49" i="4"/>
  <c r="Y51" i="4"/>
  <c r="T81" i="4"/>
  <c r="K22" i="7"/>
  <c r="M22" i="7" s="1"/>
  <c r="J22" i="7"/>
  <c r="Y73" i="4"/>
  <c r="I25" i="7" s="1"/>
  <c r="Y75" i="4"/>
  <c r="I27" i="7" s="1"/>
  <c r="J27" i="7" s="1"/>
  <c r="Y79" i="4"/>
  <c r="J32" i="7"/>
  <c r="K32" i="7"/>
  <c r="T116" i="4"/>
  <c r="K8" i="8"/>
  <c r="M8" i="8" s="1"/>
  <c r="Y92" i="4"/>
  <c r="I10" i="8" s="1"/>
  <c r="J10" i="8" s="1"/>
  <c r="B43" i="8"/>
  <c r="E116" i="4"/>
  <c r="I5" i="9"/>
  <c r="L14" i="5"/>
  <c r="I7" i="5"/>
  <c r="K7" i="5" s="1"/>
  <c r="N15" i="5"/>
  <c r="X13" i="5"/>
  <c r="F35" i="6"/>
  <c r="C30" i="7"/>
  <c r="K30" i="7"/>
  <c r="M30" i="7" s="1"/>
  <c r="K32" i="8"/>
  <c r="M32" i="8" s="1"/>
  <c r="J8" i="7"/>
  <c r="K8" i="7"/>
  <c r="M8" i="7" s="1"/>
  <c r="I3" i="9"/>
  <c r="B43" i="9"/>
  <c r="Q37" i="6"/>
  <c r="C15" i="1"/>
  <c r="D16" i="1" s="1"/>
  <c r="G8" i="2"/>
  <c r="D98" i="2"/>
  <c r="J49" i="4"/>
  <c r="P49" i="4"/>
  <c r="X83" i="4"/>
  <c r="Y28" i="4"/>
  <c r="H15" i="6" s="1"/>
  <c r="I15" i="6" s="1"/>
  <c r="Y32" i="4"/>
  <c r="H19" i="6" s="1"/>
  <c r="I19" i="6" s="1"/>
  <c r="Y38" i="4"/>
  <c r="H25" i="6" s="1"/>
  <c r="I25" i="6" s="1"/>
  <c r="Y44" i="4"/>
  <c r="H31" i="6" s="1"/>
  <c r="M83" i="4"/>
  <c r="K5" i="7"/>
  <c r="M5" i="7" s="1"/>
  <c r="J5" i="7"/>
  <c r="Y61" i="4"/>
  <c r="I13" i="7" s="1"/>
  <c r="Y65" i="4"/>
  <c r="I17" i="7" s="1"/>
  <c r="K18" i="7"/>
  <c r="M18" i="7" s="1"/>
  <c r="J18" i="7"/>
  <c r="Y74" i="4"/>
  <c r="I26" i="7" s="1"/>
  <c r="B42" i="7"/>
  <c r="J83" i="4"/>
  <c r="J3" i="8"/>
  <c r="Y110" i="4"/>
  <c r="I28" i="8" s="1"/>
  <c r="J28" i="8" s="1"/>
  <c r="J33" i="8"/>
  <c r="J36" i="9" s="1"/>
  <c r="K33" i="8"/>
  <c r="B41" i="9"/>
  <c r="J7" i="9"/>
  <c r="K7" i="9"/>
  <c r="M7" i="9" s="1"/>
  <c r="J15" i="6"/>
  <c r="J24" i="6"/>
  <c r="L24" i="6" s="1"/>
  <c r="K11" i="9"/>
  <c r="M11" i="9" s="1"/>
  <c r="J11" i="9"/>
  <c r="K15" i="9"/>
  <c r="M15" i="9" s="1"/>
  <c r="J15" i="9"/>
  <c r="K19" i="9"/>
  <c r="M19" i="9" s="1"/>
  <c r="J19" i="9"/>
  <c r="K23" i="9"/>
  <c r="M23" i="9" s="1"/>
  <c r="J23" i="9"/>
  <c r="K27" i="9"/>
  <c r="M27" i="9" s="1"/>
  <c r="J27" i="9"/>
  <c r="K31" i="9"/>
  <c r="M31" i="9" s="1"/>
  <c r="J31" i="9"/>
  <c r="B38" i="9"/>
  <c r="B48" i="9" s="1"/>
  <c r="O15" i="5"/>
  <c r="I10" i="5"/>
  <c r="K10" i="5" s="1"/>
  <c r="I11" i="5"/>
  <c r="K11" i="5" s="1"/>
  <c r="J4" i="6"/>
  <c r="L4" i="6" s="1"/>
  <c r="J5" i="6"/>
  <c r="L5" i="6" s="1"/>
  <c r="J6" i="6"/>
  <c r="L6" i="6" s="1"/>
  <c r="J7" i="6"/>
  <c r="L7" i="6" s="1"/>
  <c r="J8" i="6"/>
  <c r="L8" i="6" s="1"/>
  <c r="J9" i="6"/>
  <c r="J17" i="6"/>
  <c r="L17" i="6" s="1"/>
  <c r="J21" i="6"/>
  <c r="L21" i="6" s="1"/>
  <c r="O37" i="6"/>
  <c r="B34" i="6"/>
  <c r="G27" i="6"/>
  <c r="J27" i="6" s="1"/>
  <c r="J28" i="6"/>
  <c r="L28" i="6" s="1"/>
  <c r="G34" i="6"/>
  <c r="K35" i="6" s="1"/>
  <c r="Q38" i="8"/>
  <c r="Q38" i="9"/>
  <c r="Q37" i="7"/>
  <c r="M9" i="7"/>
  <c r="K23" i="7"/>
  <c r="M23" i="7" s="1"/>
  <c r="K24" i="7"/>
  <c r="M24" i="7" s="1"/>
  <c r="E35" i="7"/>
  <c r="K13" i="8"/>
  <c r="M13" i="8" s="1"/>
  <c r="B19" i="5"/>
  <c r="J8" i="9"/>
  <c r="K8" i="9"/>
  <c r="M8" i="9" s="1"/>
  <c r="J12" i="9"/>
  <c r="K12" i="9"/>
  <c r="M12" i="9" s="1"/>
  <c r="J20" i="9"/>
  <c r="K20" i="9"/>
  <c r="M20" i="9" s="1"/>
  <c r="J28" i="9"/>
  <c r="K28" i="9"/>
  <c r="M28" i="9" s="1"/>
  <c r="G13" i="5"/>
  <c r="Q38" i="6"/>
  <c r="L9" i="6"/>
  <c r="J20" i="6"/>
  <c r="L20" i="6" s="1"/>
  <c r="D35" i="6"/>
  <c r="K16" i="7"/>
  <c r="M16" i="7" s="1"/>
  <c r="C16" i="7"/>
  <c r="G35" i="7"/>
  <c r="K19" i="8"/>
  <c r="M19" i="8" s="1"/>
  <c r="K24" i="8"/>
  <c r="AO26" i="8"/>
  <c r="P34" i="8"/>
  <c r="U35" i="8"/>
  <c r="U36" i="8"/>
  <c r="I27" i="6"/>
  <c r="J29" i="7"/>
  <c r="B40" i="7"/>
  <c r="I33" i="9"/>
  <c r="J33" i="9" s="1"/>
  <c r="I5" i="5"/>
  <c r="K5" i="5" s="1"/>
  <c r="J14" i="5"/>
  <c r="J13" i="6"/>
  <c r="L13" i="6" s="1"/>
  <c r="J14" i="6"/>
  <c r="J30" i="6"/>
  <c r="L30" i="6" s="1"/>
  <c r="E35" i="6"/>
  <c r="Q38" i="7"/>
  <c r="Q35" i="7"/>
  <c r="K4" i="8"/>
  <c r="M4" i="8" s="1"/>
  <c r="M4" i="6"/>
  <c r="M5" i="6" s="1"/>
  <c r="M6" i="6" s="1"/>
  <c r="M7" i="6" s="1"/>
  <c r="M8" i="6" s="1"/>
  <c r="M9" i="6" s="1"/>
  <c r="M10" i="6" s="1"/>
  <c r="M11" i="6" s="1"/>
  <c r="M12" i="6" s="1"/>
  <c r="M13" i="6" s="1"/>
  <c r="M14" i="6" s="1"/>
  <c r="M15" i="6" s="1"/>
  <c r="M16" i="6" s="1"/>
  <c r="M17" i="6" s="1"/>
  <c r="M18" i="6" s="1"/>
  <c r="M19" i="6" s="1"/>
  <c r="M20" i="6" s="1"/>
  <c r="M21" i="6" s="1"/>
  <c r="M22" i="6" s="1"/>
  <c r="M23" i="6" s="1"/>
  <c r="M24" i="6" s="1"/>
  <c r="M25" i="6" s="1"/>
  <c r="M26" i="6" s="1"/>
  <c r="M27" i="6" s="1"/>
  <c r="M28" i="6" s="1"/>
  <c r="M29" i="6" s="1"/>
  <c r="M30" i="6" s="1"/>
  <c r="M31" i="6" s="1"/>
  <c r="M32" i="6" s="1"/>
  <c r="M33" i="6" s="1"/>
  <c r="M34" i="6" s="1"/>
  <c r="M35" i="6" s="1"/>
  <c r="P33" i="7"/>
  <c r="V33" i="7"/>
  <c r="L33" i="7"/>
  <c r="AN33" i="7"/>
  <c r="D33" i="7"/>
  <c r="D35" i="7" s="1"/>
  <c r="K29" i="7"/>
  <c r="C29" i="7"/>
  <c r="Z35" i="7"/>
  <c r="H35" i="7"/>
  <c r="U35" i="7"/>
  <c r="K5" i="8"/>
  <c r="M5" i="8" s="1"/>
  <c r="K25" i="8"/>
  <c r="M25" i="8" s="1"/>
  <c r="K28" i="8"/>
  <c r="M28" i="8" s="1"/>
  <c r="Y26" i="6"/>
  <c r="Y34" i="6" s="1"/>
  <c r="R35" i="7"/>
  <c r="C23" i="7"/>
  <c r="J23" i="7" s="1"/>
  <c r="C24" i="7"/>
  <c r="J24" i="7" s="1"/>
  <c r="W36" i="8"/>
  <c r="W35" i="7"/>
  <c r="R38" i="7"/>
  <c r="K3" i="8"/>
  <c r="K6" i="8"/>
  <c r="M6" i="8" s="1"/>
  <c r="K11" i="8"/>
  <c r="M11" i="8" s="1"/>
  <c r="Z34" i="8"/>
  <c r="AO13" i="8"/>
  <c r="K16" i="8"/>
  <c r="M16" i="8" s="1"/>
  <c r="M24" i="8"/>
  <c r="K26" i="8"/>
  <c r="M26" i="8" s="1"/>
  <c r="K27" i="8"/>
  <c r="M27" i="8" s="1"/>
  <c r="AO27" i="8"/>
  <c r="X36" i="8"/>
  <c r="T36" i="8"/>
  <c r="AL36" i="9"/>
  <c r="AL35" i="9"/>
  <c r="R37" i="9"/>
  <c r="R36" i="7"/>
  <c r="R37" i="8"/>
  <c r="M32" i="7"/>
  <c r="E36" i="8"/>
  <c r="AH35" i="8"/>
  <c r="AD35" i="8"/>
  <c r="B37" i="8"/>
  <c r="S35" i="8"/>
  <c r="AE35" i="8"/>
  <c r="AA35" i="8"/>
  <c r="H35" i="8"/>
  <c r="K7" i="8"/>
  <c r="M7" i="8" s="1"/>
  <c r="Q40" i="8"/>
  <c r="Q40" i="9" s="1"/>
  <c r="Q35" i="8"/>
  <c r="Q36" i="8"/>
  <c r="K12" i="8"/>
  <c r="M12" i="8" s="1"/>
  <c r="K14" i="8"/>
  <c r="M14" i="8" s="1"/>
  <c r="Y35" i="8"/>
  <c r="Y36" i="8"/>
  <c r="K17" i="8"/>
  <c r="M17" i="8" s="1"/>
  <c r="K18" i="8"/>
  <c r="M18" i="8" s="1"/>
  <c r="K23" i="8"/>
  <c r="M23" i="8" s="1"/>
  <c r="K29" i="8"/>
  <c r="M29" i="8" s="1"/>
  <c r="K30" i="8"/>
  <c r="M30" i="8" s="1"/>
  <c r="G35" i="8"/>
  <c r="G36" i="8"/>
  <c r="AJ35" i="8"/>
  <c r="V35" i="8"/>
  <c r="V36" i="8"/>
  <c r="R35" i="8"/>
  <c r="R36" i="8"/>
  <c r="AO30" i="8"/>
  <c r="H36" i="8"/>
  <c r="AB35" i="8"/>
  <c r="AF35" i="8"/>
  <c r="AK35" i="8"/>
  <c r="AK36" i="8"/>
  <c r="R40" i="8"/>
  <c r="R40" i="9" s="1"/>
  <c r="W35" i="9"/>
  <c r="W36" i="9"/>
  <c r="M6" i="9"/>
  <c r="K10" i="9"/>
  <c r="M10" i="9" s="1"/>
  <c r="B58" i="10"/>
  <c r="C38" i="10" s="1"/>
  <c r="F23" i="10"/>
  <c r="H25" i="10"/>
  <c r="D34" i="8"/>
  <c r="D36" i="8" s="1"/>
  <c r="E35" i="8"/>
  <c r="X35" i="8"/>
  <c r="AC35" i="8"/>
  <c r="AC36" i="8"/>
  <c r="AG35" i="8"/>
  <c r="AG36" i="8"/>
  <c r="K3" i="9"/>
  <c r="K9" i="9"/>
  <c r="M9" i="9" s="1"/>
  <c r="K14" i="9"/>
  <c r="M14" i="9" s="1"/>
  <c r="K16" i="9"/>
  <c r="M16" i="9" s="1"/>
  <c r="Z36" i="9"/>
  <c r="Z35" i="9"/>
  <c r="AD36" i="9"/>
  <c r="AD35" i="9"/>
  <c r="AH36" i="9"/>
  <c r="AH35" i="9"/>
  <c r="AI36" i="8"/>
  <c r="L35" i="8"/>
  <c r="L36" i="8"/>
  <c r="M33" i="8"/>
  <c r="F35" i="8"/>
  <c r="T35" i="8"/>
  <c r="AD36" i="8"/>
  <c r="AH36" i="8"/>
  <c r="AI35" i="8"/>
  <c r="L34" i="9"/>
  <c r="L36" i="9" s="1"/>
  <c r="N3" i="9"/>
  <c r="N4" i="9" s="1"/>
  <c r="N5" i="9" s="1"/>
  <c r="N6" i="9" s="1"/>
  <c r="N7" i="9" s="1"/>
  <c r="N8" i="9" s="1"/>
  <c r="N9" i="9" s="1"/>
  <c r="N10" i="9" s="1"/>
  <c r="N11" i="9" s="1"/>
  <c r="N12" i="9" s="1"/>
  <c r="N13" i="9" s="1"/>
  <c r="N14" i="9" s="1"/>
  <c r="N15" i="9" s="1"/>
  <c r="N16" i="9" s="1"/>
  <c r="N17" i="9" s="1"/>
  <c r="N18" i="9" s="1"/>
  <c r="N19" i="9" s="1"/>
  <c r="N20" i="9" s="1"/>
  <c r="N21" i="9" s="1"/>
  <c r="N22" i="9" s="1"/>
  <c r="N23" i="9" s="1"/>
  <c r="N24" i="9" s="1"/>
  <c r="N25" i="9" s="1"/>
  <c r="N26" i="9" s="1"/>
  <c r="N27" i="9" s="1"/>
  <c r="N28" i="9" s="1"/>
  <c r="N29" i="9" s="1"/>
  <c r="N30" i="9" s="1"/>
  <c r="N31" i="9" s="1"/>
  <c r="N32" i="9" s="1"/>
  <c r="N33" i="9" s="1"/>
  <c r="N34" i="9" s="1"/>
  <c r="D4" i="9"/>
  <c r="K4" i="9" s="1"/>
  <c r="M4" i="9" s="1"/>
  <c r="H34" i="9"/>
  <c r="K22" i="9"/>
  <c r="M22" i="9" s="1"/>
  <c r="K24" i="9"/>
  <c r="M24" i="9" s="1"/>
  <c r="R36" i="9"/>
  <c r="R41" i="9"/>
  <c r="R35" i="9"/>
  <c r="V36" i="9"/>
  <c r="V35" i="9"/>
  <c r="K17" i="9"/>
  <c r="M17" i="9" s="1"/>
  <c r="K25" i="9"/>
  <c r="M25" i="9" s="1"/>
  <c r="K33" i="9"/>
  <c r="M33" i="9" s="1"/>
  <c r="G35" i="9"/>
  <c r="S35" i="9"/>
  <c r="AA35" i="9"/>
  <c r="AE35" i="9"/>
  <c r="AI35" i="9"/>
  <c r="T35" i="9"/>
  <c r="AB35" i="9"/>
  <c r="AJ35" i="9"/>
  <c r="AE36" i="9"/>
  <c r="F43" i="10"/>
  <c r="H44" i="10"/>
  <c r="H43" i="10" s="1"/>
  <c r="K18" i="9"/>
  <c r="M18" i="9" s="1"/>
  <c r="K26" i="9"/>
  <c r="M26" i="9" s="1"/>
  <c r="AO34" i="9"/>
  <c r="AN35" i="9"/>
  <c r="U35" i="9"/>
  <c r="AC35" i="9"/>
  <c r="C34" i="10"/>
  <c r="C52" i="10"/>
  <c r="B37" i="9"/>
  <c r="O45" i="3" s="1"/>
  <c r="G8" i="1" s="1"/>
  <c r="L35" i="9"/>
  <c r="K13" i="9"/>
  <c r="M13" i="9" s="1"/>
  <c r="K21" i="9"/>
  <c r="M21" i="9" s="1"/>
  <c r="K29" i="9"/>
  <c r="M29" i="9" s="1"/>
  <c r="E35" i="9"/>
  <c r="P35" i="9"/>
  <c r="X35" i="9"/>
  <c r="AF35" i="9"/>
  <c r="S36" i="9"/>
  <c r="AA36" i="9"/>
  <c r="AI36" i="9"/>
  <c r="H23" i="10"/>
  <c r="D58" i="10"/>
  <c r="E43" i="10" s="1"/>
  <c r="BJ6" i="11" l="1"/>
  <c r="BK6" i="11"/>
  <c r="BO6" i="11" s="1"/>
  <c r="BO7" i="11" s="1"/>
  <c r="BG8" i="11"/>
  <c r="BI8" i="11"/>
  <c r="BH8" i="11"/>
  <c r="BK4" i="11"/>
  <c r="BO4" i="11" s="1"/>
  <c r="BO5" i="11" s="1"/>
  <c r="BJ4" i="11"/>
  <c r="BK2" i="11"/>
  <c r="BO2" i="11" s="1"/>
  <c r="BO3" i="11" s="1"/>
  <c r="BJ2" i="11"/>
  <c r="H58" i="10"/>
  <c r="H60" i="10" s="1"/>
  <c r="E19" i="10"/>
  <c r="E27" i="10"/>
  <c r="E3" i="10"/>
  <c r="D51" i="1"/>
  <c r="E51" i="1"/>
  <c r="J25" i="6"/>
  <c r="L25" i="6" s="1"/>
  <c r="K28" i="7"/>
  <c r="M28" i="7" s="1"/>
  <c r="S49" i="4"/>
  <c r="D23" i="1"/>
  <c r="D24" i="1" s="1"/>
  <c r="J29" i="6"/>
  <c r="J19" i="7"/>
  <c r="J11" i="7"/>
  <c r="E18" i="1"/>
  <c r="K15" i="8"/>
  <c r="M15" i="8" s="1"/>
  <c r="J19" i="6"/>
  <c r="L19" i="6" s="1"/>
  <c r="J23" i="6"/>
  <c r="L23" i="6" s="1"/>
  <c r="D83" i="4"/>
  <c r="K7" i="7"/>
  <c r="M7" i="7" s="1"/>
  <c r="C10" i="1"/>
  <c r="C11" i="1" s="1"/>
  <c r="I11" i="6"/>
  <c r="J11" i="6"/>
  <c r="G66" i="2"/>
  <c r="K31" i="8"/>
  <c r="M31" i="8" s="1"/>
  <c r="J33" i="6"/>
  <c r="L33" i="6" s="1"/>
  <c r="Z55" i="4"/>
  <c r="G9" i="2"/>
  <c r="D59" i="1"/>
  <c r="R83" i="4"/>
  <c r="B46" i="8"/>
  <c r="F21" i="1"/>
  <c r="AB34" i="6"/>
  <c r="Y35" i="6" s="1"/>
  <c r="AO36" i="9"/>
  <c r="AO35" i="9"/>
  <c r="AN34" i="7"/>
  <c r="P40" i="8"/>
  <c r="P40" i="9" s="1"/>
  <c r="P35" i="8"/>
  <c r="P36" i="8"/>
  <c r="AO34" i="8"/>
  <c r="P38" i="8"/>
  <c r="P38" i="9"/>
  <c r="P37" i="7"/>
  <c r="Q37" i="8"/>
  <c r="Q36" i="7"/>
  <c r="Q39" i="7" s="1"/>
  <c r="Q37" i="9"/>
  <c r="P36" i="6"/>
  <c r="P38" i="6" s="1"/>
  <c r="B42" i="9"/>
  <c r="K26" i="7"/>
  <c r="M26" i="7" s="1"/>
  <c r="J26" i="7"/>
  <c r="K17" i="7"/>
  <c r="M17" i="7" s="1"/>
  <c r="J17" i="7"/>
  <c r="I34" i="9"/>
  <c r="J3" i="9"/>
  <c r="H4" i="5"/>
  <c r="Y13" i="4"/>
  <c r="AA13" i="5"/>
  <c r="E117" i="4"/>
  <c r="F10" i="1"/>
  <c r="G36" i="2"/>
  <c r="F36" i="2"/>
  <c r="F37" i="2" s="1"/>
  <c r="I96" i="2"/>
  <c r="M103" i="2" s="1"/>
  <c r="I95" i="2"/>
  <c r="M102" i="2" s="1"/>
  <c r="E59" i="1"/>
  <c r="F59" i="1"/>
  <c r="E38" i="10"/>
  <c r="E34" i="10"/>
  <c r="D61" i="10"/>
  <c r="D60" i="10"/>
  <c r="D59" i="10"/>
  <c r="E23" i="10"/>
  <c r="E13" i="10"/>
  <c r="E52" i="10"/>
  <c r="D21" i="1"/>
  <c r="B44" i="6"/>
  <c r="M3" i="9"/>
  <c r="AN36" i="8"/>
  <c r="C33" i="7"/>
  <c r="L35" i="7"/>
  <c r="J16" i="6"/>
  <c r="L16" i="6" s="1"/>
  <c r="B42" i="8"/>
  <c r="J13" i="7"/>
  <c r="K13" i="7"/>
  <c r="M13" i="7" s="1"/>
  <c r="C16" i="1"/>
  <c r="B37" i="7"/>
  <c r="I31" i="7"/>
  <c r="Z79" i="4"/>
  <c r="J25" i="7"/>
  <c r="K25" i="7"/>
  <c r="M25" i="7" s="1"/>
  <c r="G95" i="2"/>
  <c r="L102" i="2" s="1"/>
  <c r="G63" i="1"/>
  <c r="H105" i="2"/>
  <c r="G9" i="1"/>
  <c r="G12" i="1"/>
  <c r="C49" i="9"/>
  <c r="N36" i="9"/>
  <c r="F58" i="10"/>
  <c r="B47" i="9"/>
  <c r="M3" i="8"/>
  <c r="K10" i="8"/>
  <c r="M10" i="8" s="1"/>
  <c r="V35" i="7"/>
  <c r="V34" i="7"/>
  <c r="B38" i="8"/>
  <c r="B15" i="5"/>
  <c r="C45" i="3" s="1"/>
  <c r="C8" i="1" s="1"/>
  <c r="I31" i="6"/>
  <c r="J31" i="6"/>
  <c r="L31" i="6" s="1"/>
  <c r="E97" i="2"/>
  <c r="K104" i="2" s="1"/>
  <c r="E96" i="2"/>
  <c r="K103" i="2" s="1"/>
  <c r="E95" i="2"/>
  <c r="K102" i="2" s="1"/>
  <c r="P37" i="9"/>
  <c r="P37" i="8"/>
  <c r="P36" i="7"/>
  <c r="O36" i="6"/>
  <c r="O38" i="6" s="1"/>
  <c r="I3" i="7"/>
  <c r="Y81" i="4"/>
  <c r="E82" i="4" s="1"/>
  <c r="E118" i="4" s="1"/>
  <c r="I32" i="6"/>
  <c r="J32" i="6"/>
  <c r="L32" i="6" s="1"/>
  <c r="I97" i="2"/>
  <c r="M104" i="2" s="1"/>
  <c r="G25" i="1"/>
  <c r="K27" i="7"/>
  <c r="M27" i="7" s="1"/>
  <c r="F19" i="1"/>
  <c r="E37" i="2"/>
  <c r="D37" i="2"/>
  <c r="E10" i="1"/>
  <c r="E23" i="1"/>
  <c r="J30" i="7"/>
  <c r="H9" i="2"/>
  <c r="B39" i="9"/>
  <c r="H35" i="9"/>
  <c r="H36" i="9"/>
  <c r="D34" i="9"/>
  <c r="D36" i="9" s="1"/>
  <c r="C27" i="10"/>
  <c r="C19" i="10"/>
  <c r="C13" i="10"/>
  <c r="B61" i="10"/>
  <c r="B60" i="10"/>
  <c r="C23" i="10"/>
  <c r="C43" i="10"/>
  <c r="C3" i="10"/>
  <c r="B23" i="5"/>
  <c r="C21" i="1"/>
  <c r="C25" i="1" s="1"/>
  <c r="C26" i="1" s="1"/>
  <c r="R39" i="7"/>
  <c r="Z35" i="8"/>
  <c r="Z36" i="8"/>
  <c r="R39" i="9"/>
  <c r="R39" i="8"/>
  <c r="P38" i="7"/>
  <c r="AO33" i="7"/>
  <c r="P35" i="7"/>
  <c r="P34" i="7"/>
  <c r="Q39" i="8"/>
  <c r="Q39" i="9"/>
  <c r="B36" i="6"/>
  <c r="F45" i="3" s="1"/>
  <c r="D8" i="1" s="1"/>
  <c r="C35" i="6"/>
  <c r="I34" i="8"/>
  <c r="E83" i="4"/>
  <c r="R38" i="9"/>
  <c r="R42" i="9" s="1"/>
  <c r="R38" i="8"/>
  <c r="R41" i="8" s="1"/>
  <c r="R37" i="7"/>
  <c r="J5" i="9"/>
  <c r="K5" i="9"/>
  <c r="M5" i="9" s="1"/>
  <c r="Y116" i="4"/>
  <c r="D8" i="2"/>
  <c r="D9" i="2" s="1"/>
  <c r="U82" i="4"/>
  <c r="U118" i="4" s="1"/>
  <c r="T83" i="4"/>
  <c r="D66" i="2"/>
  <c r="E66" i="2"/>
  <c r="B16" i="5"/>
  <c r="B17" i="5" s="1"/>
  <c r="F23" i="1"/>
  <c r="G104" i="2"/>
  <c r="G63" i="2" s="1"/>
  <c r="G103" i="2"/>
  <c r="G34" i="2" s="1"/>
  <c r="G102" i="2"/>
  <c r="G6" i="2" s="1"/>
  <c r="N35" i="7"/>
  <c r="BM4" i="11" l="1"/>
  <c r="BM5" i="11" s="1"/>
  <c r="BN4" i="11"/>
  <c r="BN5" i="11" s="1"/>
  <c r="BK8" i="11"/>
  <c r="BO8" i="11" s="1"/>
  <c r="BO9" i="11" s="1"/>
  <c r="BM8" i="11"/>
  <c r="BJ8" i="11"/>
  <c r="BN8" i="11" s="1"/>
  <c r="BN9" i="11" s="1"/>
  <c r="BN2" i="11"/>
  <c r="BN3" i="11" s="1"/>
  <c r="BM2" i="11"/>
  <c r="BM3" i="11" s="1"/>
  <c r="BM6" i="11"/>
  <c r="BM7" i="11" s="1"/>
  <c r="BN6" i="11"/>
  <c r="BN7" i="11" s="1"/>
  <c r="H61" i="10"/>
  <c r="M34" i="8"/>
  <c r="K34" i="8"/>
  <c r="B18" i="5"/>
  <c r="B21" i="5"/>
  <c r="G67" i="2"/>
  <c r="P39" i="9"/>
  <c r="P39" i="8"/>
  <c r="F61" i="10"/>
  <c r="F60" i="10"/>
  <c r="F59" i="10"/>
  <c r="G19" i="10"/>
  <c r="I52" i="10"/>
  <c r="I13" i="10"/>
  <c r="B45" i="7"/>
  <c r="E21" i="1"/>
  <c r="I38" i="10"/>
  <c r="I3" i="10"/>
  <c r="I65" i="10" s="1"/>
  <c r="G47" i="10"/>
  <c r="I19" i="10"/>
  <c r="I34" i="10"/>
  <c r="G52" i="10"/>
  <c r="G34" i="10"/>
  <c r="G3" i="10"/>
  <c r="I27" i="10"/>
  <c r="G13" i="10"/>
  <c r="G38" i="10"/>
  <c r="G27" i="10"/>
  <c r="I47" i="10"/>
  <c r="B47" i="7"/>
  <c r="I43" i="10"/>
  <c r="I14" i="4"/>
  <c r="M14" i="4"/>
  <c r="Q14" i="4"/>
  <c r="X14" i="4"/>
  <c r="T14" i="4"/>
  <c r="N14" i="4"/>
  <c r="W14" i="4"/>
  <c r="E14" i="4"/>
  <c r="P14" i="4"/>
  <c r="R14" i="4"/>
  <c r="C14" i="4"/>
  <c r="D14" i="4"/>
  <c r="H14" i="4"/>
  <c r="U14" i="4"/>
  <c r="V14" i="4"/>
  <c r="K14" i="4"/>
  <c r="L14" i="4"/>
  <c r="S14" i="4"/>
  <c r="J14" i="4"/>
  <c r="F14" i="4"/>
  <c r="O14" i="4"/>
  <c r="AO35" i="8"/>
  <c r="L42" i="3"/>
  <c r="L43" i="3" s="1"/>
  <c r="L47" i="3" s="1"/>
  <c r="H65" i="10"/>
  <c r="H63" i="10"/>
  <c r="H67" i="10" s="1"/>
  <c r="I67" i="10" s="1"/>
  <c r="H62" i="10"/>
  <c r="H66" i="10" s="1"/>
  <c r="I66" i="10" s="1"/>
  <c r="F24" i="1"/>
  <c r="G14" i="4"/>
  <c r="B47" i="8"/>
  <c r="C49" i="8"/>
  <c r="G10" i="2"/>
  <c r="I35" i="8"/>
  <c r="C22" i="1"/>
  <c r="E24" i="1"/>
  <c r="F20" i="1"/>
  <c r="G20" i="1"/>
  <c r="F25" i="1"/>
  <c r="G26" i="1" s="1"/>
  <c r="Y118" i="4"/>
  <c r="L82" i="4"/>
  <c r="L118" i="4" s="1"/>
  <c r="S82" i="4"/>
  <c r="S118" i="4" s="1"/>
  <c r="Q82" i="4"/>
  <c r="Q118" i="4" s="1"/>
  <c r="O82" i="4"/>
  <c r="O118" i="4" s="1"/>
  <c r="C82" i="4"/>
  <c r="C118" i="4" s="1"/>
  <c r="F82" i="4"/>
  <c r="F118" i="4" s="1"/>
  <c r="I82" i="4"/>
  <c r="I118" i="4" s="1"/>
  <c r="G82" i="4"/>
  <c r="G118" i="4" s="1"/>
  <c r="P82" i="4"/>
  <c r="P118" i="4" s="1"/>
  <c r="H82" i="4"/>
  <c r="H118" i="4" s="1"/>
  <c r="K82" i="4"/>
  <c r="K118" i="4" s="1"/>
  <c r="M82" i="4"/>
  <c r="M118" i="4" s="1"/>
  <c r="D82" i="4"/>
  <c r="D118" i="4" s="1"/>
  <c r="J82" i="4"/>
  <c r="J118" i="4" s="1"/>
  <c r="N82" i="4"/>
  <c r="N118" i="4" s="1"/>
  <c r="W82" i="4"/>
  <c r="W118" i="4" s="1"/>
  <c r="X82" i="4"/>
  <c r="X118" i="4" s="1"/>
  <c r="R82" i="4"/>
  <c r="R118" i="4" s="1"/>
  <c r="V82" i="4"/>
  <c r="V118" i="4" s="1"/>
  <c r="P39" i="7"/>
  <c r="C63" i="1"/>
  <c r="C9" i="1"/>
  <c r="C12" i="1"/>
  <c r="D105" i="2"/>
  <c r="D22" i="1"/>
  <c r="D25" i="1"/>
  <c r="D26" i="1" s="1"/>
  <c r="G37" i="2"/>
  <c r="H37" i="2"/>
  <c r="T14" i="5"/>
  <c r="P14" i="5"/>
  <c r="W14" i="5"/>
  <c r="V14" i="5"/>
  <c r="Q14" i="5"/>
  <c r="C42" i="3"/>
  <c r="C43" i="3" s="1"/>
  <c r="C47" i="3" s="1"/>
  <c r="U14" i="5"/>
  <c r="S14" i="5"/>
  <c r="O14" i="5"/>
  <c r="N14" i="5"/>
  <c r="R14" i="5"/>
  <c r="Q42" i="9"/>
  <c r="K34" i="9"/>
  <c r="H59" i="10"/>
  <c r="E105" i="2"/>
  <c r="D9" i="1"/>
  <c r="D63" i="1"/>
  <c r="B63" i="10"/>
  <c r="B67" i="10" s="1"/>
  <c r="C67" i="10" s="1"/>
  <c r="B62" i="10"/>
  <c r="P42" i="9"/>
  <c r="B48" i="8"/>
  <c r="B39" i="8"/>
  <c r="K35" i="8"/>
  <c r="G43" i="10"/>
  <c r="D63" i="10"/>
  <c r="D67" i="10" s="1"/>
  <c r="E67" i="10" s="1"/>
  <c r="D62" i="10"/>
  <c r="Q41" i="8"/>
  <c r="V117" i="4"/>
  <c r="F117" i="4"/>
  <c r="J117" i="4"/>
  <c r="N117" i="4"/>
  <c r="G117" i="4"/>
  <c r="S117" i="4"/>
  <c r="C117" i="4"/>
  <c r="H117" i="4"/>
  <c r="R117" i="4"/>
  <c r="K117" i="4"/>
  <c r="P117" i="4"/>
  <c r="W117" i="4"/>
  <c r="L117" i="4"/>
  <c r="U117" i="4"/>
  <c r="Q117" i="4"/>
  <c r="O117" i="4"/>
  <c r="X117" i="4"/>
  <c r="I117" i="4"/>
  <c r="D117" i="4"/>
  <c r="M35" i="8"/>
  <c r="G23" i="10"/>
  <c r="G28" i="1"/>
  <c r="G64" i="1"/>
  <c r="C35" i="7"/>
  <c r="B38" i="7"/>
  <c r="B36" i="7"/>
  <c r="F34" i="7"/>
  <c r="C36" i="8"/>
  <c r="E34" i="7"/>
  <c r="N34" i="7"/>
  <c r="G34" i="7"/>
  <c r="H34" i="7"/>
  <c r="H13" i="5"/>
  <c r="H14" i="5" s="1"/>
  <c r="I4" i="5"/>
  <c r="F42" i="3"/>
  <c r="F43" i="3" s="1"/>
  <c r="F47" i="3" s="1"/>
  <c r="V35" i="6"/>
  <c r="R35" i="6"/>
  <c r="O35" i="6"/>
  <c r="AA35" i="6"/>
  <c r="S35" i="6"/>
  <c r="P35" i="6"/>
  <c r="W35" i="6"/>
  <c r="T35" i="6"/>
  <c r="Z35" i="6"/>
  <c r="U35" i="6"/>
  <c r="Q35" i="6"/>
  <c r="X35" i="6"/>
  <c r="G38" i="2"/>
  <c r="T117" i="4"/>
  <c r="AO35" i="7"/>
  <c r="AO34" i="7"/>
  <c r="AO36" i="7" s="1"/>
  <c r="AF34" i="7"/>
  <c r="AB34" i="7"/>
  <c r="X34" i="7"/>
  <c r="AJ34" i="7"/>
  <c r="T34" i="7"/>
  <c r="I42" i="3"/>
  <c r="S34" i="7"/>
  <c r="AE34" i="7"/>
  <c r="Z34" i="7"/>
  <c r="AH34" i="7"/>
  <c r="AG34" i="7"/>
  <c r="AI34" i="7"/>
  <c r="W34" i="7"/>
  <c r="AL34" i="7"/>
  <c r="AA34" i="7"/>
  <c r="AM34" i="7"/>
  <c r="Q34" i="7"/>
  <c r="AK34" i="7"/>
  <c r="U34" i="7"/>
  <c r="R34" i="7"/>
  <c r="Y34" i="7"/>
  <c r="AD34" i="7"/>
  <c r="AC34" i="7"/>
  <c r="B40" i="9"/>
  <c r="B44" i="9"/>
  <c r="M117" i="4"/>
  <c r="I33" i="7"/>
  <c r="K3" i="7"/>
  <c r="J3" i="7"/>
  <c r="P41" i="8"/>
  <c r="H104" i="2"/>
  <c r="H63" i="2" s="1"/>
  <c r="H103" i="2"/>
  <c r="H34" i="2" s="1"/>
  <c r="H102" i="2"/>
  <c r="H6" i="2" s="1"/>
  <c r="T82" i="4"/>
  <c r="T118" i="4" s="1"/>
  <c r="J31" i="7"/>
  <c r="K31" i="7"/>
  <c r="M31" i="7" s="1"/>
  <c r="L34" i="7"/>
  <c r="M34" i="9"/>
  <c r="G24" i="1"/>
  <c r="F11" i="1"/>
  <c r="G11" i="1"/>
  <c r="F12" i="1"/>
  <c r="G13" i="1" s="1"/>
  <c r="X14" i="5"/>
  <c r="I36" i="9"/>
  <c r="I35" i="9"/>
  <c r="F22" i="1"/>
  <c r="G22" i="1"/>
  <c r="H67" i="2" l="1"/>
  <c r="H64" i="2"/>
  <c r="K35" i="9"/>
  <c r="K36" i="9"/>
  <c r="M36" i="9"/>
  <c r="M35" i="9"/>
  <c r="G86" i="2"/>
  <c r="H7" i="2"/>
  <c r="H10" i="2"/>
  <c r="H30" i="2"/>
  <c r="K4" i="5"/>
  <c r="K13" i="5" s="1"/>
  <c r="K14" i="5" s="1"/>
  <c r="I13" i="5"/>
  <c r="I14" i="5" s="1"/>
  <c r="I45" i="3"/>
  <c r="E8" i="1" s="1"/>
  <c r="B41" i="7"/>
  <c r="G29" i="2"/>
  <c r="E22" i="1"/>
  <c r="E25" i="1"/>
  <c r="E26" i="1" s="1"/>
  <c r="B22" i="5"/>
  <c r="B24" i="5"/>
  <c r="I34" i="7"/>
  <c r="D65" i="10"/>
  <c r="E65" i="10" s="1"/>
  <c r="D66" i="10"/>
  <c r="E66" i="10" s="1"/>
  <c r="B65" i="10"/>
  <c r="C65" i="10" s="1"/>
  <c r="B66" i="10"/>
  <c r="C66" i="10" s="1"/>
  <c r="D104" i="2"/>
  <c r="D63" i="2" s="1"/>
  <c r="D103" i="2"/>
  <c r="D34" i="2" s="1"/>
  <c r="D102" i="2"/>
  <c r="D6" i="2" s="1"/>
  <c r="F28" i="1"/>
  <c r="F64" i="1"/>
  <c r="B44" i="8"/>
  <c r="B40" i="8"/>
  <c r="E103" i="2"/>
  <c r="E34" i="2" s="1"/>
  <c r="E102" i="2"/>
  <c r="E6" i="2" s="1"/>
  <c r="E104" i="2"/>
  <c r="E63" i="2" s="1"/>
  <c r="C28" i="1"/>
  <c r="C13" i="1"/>
  <c r="C64" i="1"/>
  <c r="I36" i="8"/>
  <c r="F63" i="10"/>
  <c r="F67" i="10" s="1"/>
  <c r="G67" i="10" s="1"/>
  <c r="F62" i="10"/>
  <c r="H38" i="2"/>
  <c r="H58" i="2"/>
  <c r="H35" i="2"/>
  <c r="K33" i="7"/>
  <c r="M3" i="7"/>
  <c r="M33" i="7" s="1"/>
  <c r="B49" i="9"/>
  <c r="B50" i="9" s="1"/>
  <c r="B45" i="9"/>
  <c r="G57" i="2"/>
  <c r="B39" i="7"/>
  <c r="B43" i="7"/>
  <c r="G33" i="1"/>
  <c r="G29" i="1"/>
  <c r="AO36" i="8"/>
  <c r="B46" i="7"/>
  <c r="F26" i="1" l="1"/>
  <c r="E64" i="2"/>
  <c r="E67" i="2"/>
  <c r="G38" i="1"/>
  <c r="H54" i="2"/>
  <c r="H59" i="2" s="1"/>
  <c r="H57" i="2"/>
  <c r="H39" i="2"/>
  <c r="E7" i="2"/>
  <c r="D38" i="2"/>
  <c r="D35" i="2"/>
  <c r="B25" i="5"/>
  <c r="G16" i="4"/>
  <c r="H26" i="2"/>
  <c r="H31" i="2" s="1"/>
  <c r="H11" i="2"/>
  <c r="H29" i="2"/>
  <c r="K34" i="7"/>
  <c r="K36" i="8"/>
  <c r="E35" i="2"/>
  <c r="E38" i="2"/>
  <c r="D64" i="2"/>
  <c r="D67" i="2"/>
  <c r="B45" i="8"/>
  <c r="B49" i="8"/>
  <c r="B50" i="8" s="1"/>
  <c r="D7" i="2"/>
  <c r="D10" i="2"/>
  <c r="F105" i="2"/>
  <c r="E12" i="1"/>
  <c r="E63" i="1"/>
  <c r="E9" i="1"/>
  <c r="F9" i="1"/>
  <c r="M34" i="7"/>
  <c r="M36" i="8"/>
  <c r="B44" i="7"/>
  <c r="F65" i="10"/>
  <c r="G65" i="10" s="1"/>
  <c r="F66" i="10"/>
  <c r="G66" i="10" s="1"/>
  <c r="C33" i="1"/>
  <c r="C29" i="1"/>
  <c r="F33" i="1"/>
  <c r="G34" i="1" s="1"/>
  <c r="I43" i="3"/>
  <c r="I47" i="3" s="1"/>
  <c r="H86" i="2"/>
  <c r="H68" i="2"/>
  <c r="C34" i="1" l="1"/>
  <c r="C38" i="1"/>
  <c r="E57" i="2"/>
  <c r="E39" i="2"/>
  <c r="D11" i="2"/>
  <c r="D29" i="2"/>
  <c r="D86" i="2"/>
  <c r="D68" i="2"/>
  <c r="G47" i="4"/>
  <c r="Y16" i="4"/>
  <c r="D57" i="2"/>
  <c r="D39" i="2"/>
  <c r="E86" i="2"/>
  <c r="E68" i="2"/>
  <c r="F102" i="2"/>
  <c r="F6" i="2" s="1"/>
  <c r="F104" i="2"/>
  <c r="F63" i="2" s="1"/>
  <c r="F103" i="2"/>
  <c r="F34" i="2" s="1"/>
  <c r="G44" i="1"/>
  <c r="G45" i="1" s="1"/>
  <c r="F38" i="1"/>
  <c r="E64" i="1"/>
  <c r="E28" i="1"/>
  <c r="F13" i="1"/>
  <c r="H3" i="6" l="1"/>
  <c r="Y47" i="4"/>
  <c r="G48" i="4" s="1"/>
  <c r="G83" i="4"/>
  <c r="E8" i="2"/>
  <c r="D10" i="1"/>
  <c r="B37" i="6"/>
  <c r="B38" i="6" s="1"/>
  <c r="G49" i="4"/>
  <c r="F64" i="2"/>
  <c r="F67" i="2"/>
  <c r="G64" i="2"/>
  <c r="J66" i="1"/>
  <c r="C44" i="1"/>
  <c r="C45" i="1" s="1"/>
  <c r="C39" i="1"/>
  <c r="G53" i="1"/>
  <c r="F44" i="1"/>
  <c r="F45" i="1" s="1"/>
  <c r="F35" i="2"/>
  <c r="F38" i="2"/>
  <c r="G35" i="2"/>
  <c r="J65" i="1"/>
  <c r="E33" i="1"/>
  <c r="F29" i="1"/>
  <c r="G39" i="1"/>
  <c r="F7" i="2"/>
  <c r="F10" i="2"/>
  <c r="G7" i="2"/>
  <c r="J64" i="1"/>
  <c r="F53" i="1" l="1"/>
  <c r="K66" i="1"/>
  <c r="E38" i="1"/>
  <c r="F34" i="1"/>
  <c r="D11" i="1"/>
  <c r="D12" i="1"/>
  <c r="E11" i="1"/>
  <c r="Y83" i="4"/>
  <c r="O48" i="4"/>
  <c r="K48" i="4"/>
  <c r="C48" i="4"/>
  <c r="U48" i="4"/>
  <c r="J48" i="4"/>
  <c r="L48" i="4"/>
  <c r="T48" i="4"/>
  <c r="F48" i="4"/>
  <c r="E48" i="4"/>
  <c r="V48" i="4"/>
  <c r="P48" i="4"/>
  <c r="I48" i="4"/>
  <c r="S48" i="4"/>
  <c r="W48" i="4"/>
  <c r="N48" i="4"/>
  <c r="Q48" i="4"/>
  <c r="D48" i="4"/>
  <c r="R48" i="4"/>
  <c r="X48" i="4"/>
  <c r="M48" i="4"/>
  <c r="H48" i="4"/>
  <c r="Y49" i="4"/>
  <c r="J67" i="1"/>
  <c r="K64" i="1" s="1"/>
  <c r="K67" i="1" s="1"/>
  <c r="K65" i="1"/>
  <c r="C53" i="1"/>
  <c r="C46" i="1"/>
  <c r="B39" i="6"/>
  <c r="B42" i="6"/>
  <c r="F29" i="2"/>
  <c r="G11" i="2"/>
  <c r="F57" i="2"/>
  <c r="F39" i="2"/>
  <c r="G39" i="2"/>
  <c r="C117" i="2"/>
  <c r="D109" i="2"/>
  <c r="G46" i="1"/>
  <c r="F68" i="2"/>
  <c r="F86" i="2"/>
  <c r="G68" i="2"/>
  <c r="C118" i="2"/>
  <c r="D110" i="2"/>
  <c r="E9" i="2"/>
  <c r="F9" i="2"/>
  <c r="E10" i="2"/>
  <c r="H34" i="6"/>
  <c r="I3" i="6"/>
  <c r="J3" i="6"/>
  <c r="E29" i="2" l="1"/>
  <c r="E11" i="2"/>
  <c r="D108" i="2"/>
  <c r="C116" i="2"/>
  <c r="D13" i="1"/>
  <c r="D64" i="1"/>
  <c r="D28" i="1"/>
  <c r="E13" i="1"/>
  <c r="B43" i="6"/>
  <c r="B45" i="6"/>
  <c r="C42" i="6"/>
  <c r="F11" i="2"/>
  <c r="E44" i="1"/>
  <c r="E45" i="1" s="1"/>
  <c r="F39" i="1"/>
  <c r="L3" i="6"/>
  <c r="L34" i="6" s="1"/>
  <c r="J34" i="6"/>
  <c r="H35" i="6"/>
  <c r="I35" i="7"/>
  <c r="C119" i="2" l="1"/>
  <c r="D116" i="2" s="1"/>
  <c r="L35" i="6"/>
  <c r="M35" i="7"/>
  <c r="B46" i="6"/>
  <c r="C48" i="7"/>
  <c r="B48" i="7"/>
  <c r="B49" i="7" s="1"/>
  <c r="J35" i="6"/>
  <c r="K35" i="7"/>
  <c r="E53" i="1"/>
  <c r="F46" i="1"/>
  <c r="D33" i="1"/>
  <c r="D29" i="1"/>
  <c r="E29" i="1"/>
  <c r="D111" i="2"/>
  <c r="E111" i="2" l="1"/>
  <c r="E109" i="2"/>
  <c r="E110" i="2"/>
  <c r="E48" i="7"/>
  <c r="D48" i="7"/>
  <c r="F48" i="7"/>
  <c r="E108" i="2"/>
  <c r="D38" i="1"/>
  <c r="D34" i="1"/>
  <c r="E34" i="1"/>
  <c r="D119" i="2"/>
  <c r="D117" i="2"/>
  <c r="D118" i="2"/>
  <c r="D39" i="1" l="1"/>
  <c r="D44" i="1"/>
  <c r="D45" i="1" s="1"/>
  <c r="E39" i="1"/>
  <c r="D21" i="2"/>
  <c r="D22" i="2" s="1"/>
  <c r="H17" i="2"/>
  <c r="D17" i="2"/>
  <c r="D18" i="2" s="1"/>
  <c r="H13" i="2"/>
  <c r="F15" i="2"/>
  <c r="F16" i="2" s="1"/>
  <c r="E13" i="2"/>
  <c r="G15" i="2"/>
  <c r="D15" i="2"/>
  <c r="D16" i="2" s="1"/>
  <c r="G13" i="2"/>
  <c r="E15" i="2"/>
  <c r="H15" i="2"/>
  <c r="H16" i="2" s="1"/>
  <c r="E21" i="2"/>
  <c r="E17" i="2"/>
  <c r="E18" i="2" s="1"/>
  <c r="F17" i="2"/>
  <c r="F13" i="2"/>
  <c r="H19" i="2"/>
  <c r="H21" i="2"/>
  <c r="D13" i="2"/>
  <c r="G17" i="2"/>
  <c r="E19" i="2"/>
  <c r="E20" i="2" s="1"/>
  <c r="G21" i="2"/>
  <c r="G22" i="2" s="1"/>
  <c r="D19" i="2"/>
  <c r="D20" i="2" s="1"/>
  <c r="F21" i="2"/>
  <c r="G19" i="2"/>
  <c r="F19" i="2"/>
  <c r="F20" i="2" s="1"/>
  <c r="H76" i="2"/>
  <c r="D72" i="2"/>
  <c r="D73" i="2" s="1"/>
  <c r="F74" i="2"/>
  <c r="H72" i="2"/>
  <c r="H73" i="2" s="1"/>
  <c r="F70" i="2"/>
  <c r="E70" i="2"/>
  <c r="H70" i="2"/>
  <c r="H74" i="2"/>
  <c r="F72" i="2"/>
  <c r="G72" i="2"/>
  <c r="D74" i="2"/>
  <c r="D75" i="2" s="1"/>
  <c r="D78" i="2"/>
  <c r="D79" i="2" s="1"/>
  <c r="E72" i="2"/>
  <c r="G70" i="2"/>
  <c r="E78" i="2"/>
  <c r="E74" i="2"/>
  <c r="E75" i="2" s="1"/>
  <c r="D70" i="2"/>
  <c r="H78" i="2"/>
  <c r="G78" i="2"/>
  <c r="G74" i="2"/>
  <c r="G75" i="2" s="1"/>
  <c r="G76" i="2"/>
  <c r="D76" i="2"/>
  <c r="D77" i="2" s="1"/>
  <c r="E76" i="2"/>
  <c r="F78" i="2"/>
  <c r="F79" i="2" s="1"/>
  <c r="F76" i="2"/>
  <c r="E43" i="2"/>
  <c r="E49" i="2"/>
  <c r="E45" i="2"/>
  <c r="E46" i="2" s="1"/>
  <c r="D45" i="2"/>
  <c r="D46" i="2" s="1"/>
  <c r="E41" i="2"/>
  <c r="D43" i="2"/>
  <c r="D44" i="2" s="1"/>
  <c r="H47" i="2"/>
  <c r="H48" i="2" s="1"/>
  <c r="H45" i="2"/>
  <c r="G43" i="2"/>
  <c r="F41" i="2"/>
  <c r="D49" i="2"/>
  <c r="D50" i="2" s="1"/>
  <c r="H43" i="2"/>
  <c r="F45" i="2"/>
  <c r="H41" i="2"/>
  <c r="G41" i="2"/>
  <c r="F43" i="2"/>
  <c r="D41" i="2"/>
  <c r="H49" i="2"/>
  <c r="D47" i="2"/>
  <c r="D48" i="2" s="1"/>
  <c r="F49" i="2"/>
  <c r="G45" i="2"/>
  <c r="G46" i="2" s="1"/>
  <c r="G49" i="2"/>
  <c r="E47" i="2"/>
  <c r="E48" i="2" s="1"/>
  <c r="G47" i="2"/>
  <c r="F47" i="2"/>
  <c r="E77" i="2" l="1"/>
  <c r="G48" i="2"/>
  <c r="F44" i="2"/>
  <c r="H44" i="2"/>
  <c r="E73" i="2"/>
  <c r="F50" i="2"/>
  <c r="H46" i="2"/>
  <c r="H22" i="2"/>
  <c r="E79" i="2"/>
  <c r="H71" i="2"/>
  <c r="H80" i="2"/>
  <c r="F75" i="2"/>
  <c r="G20" i="2"/>
  <c r="H20" i="2"/>
  <c r="E22" i="2"/>
  <c r="H14" i="2"/>
  <c r="G42" i="2"/>
  <c r="G14" i="2"/>
  <c r="G50" i="2"/>
  <c r="H50" i="2"/>
  <c r="H42" i="2"/>
  <c r="F42" i="2"/>
  <c r="E50" i="2"/>
  <c r="G79" i="2"/>
  <c r="F48" i="2"/>
  <c r="D42" i="2"/>
  <c r="D51" i="2" s="1"/>
  <c r="F46" i="2"/>
  <c r="G44" i="2"/>
  <c r="E42" i="2"/>
  <c r="E44" i="2"/>
  <c r="H79" i="2"/>
  <c r="G71" i="2"/>
  <c r="G73" i="2"/>
  <c r="E71" i="2"/>
  <c r="E80" i="2" s="1"/>
  <c r="F22" i="2"/>
  <c r="G18" i="2"/>
  <c r="F14" i="2"/>
  <c r="G16" i="2"/>
  <c r="D53" i="1"/>
  <c r="D46" i="1"/>
  <c r="E46" i="1"/>
  <c r="H75" i="2"/>
  <c r="F77" i="2"/>
  <c r="G77" i="2"/>
  <c r="D71" i="2"/>
  <c r="D80" i="2" s="1"/>
  <c r="F73" i="2"/>
  <c r="F71" i="2"/>
  <c r="H77" i="2"/>
  <c r="D14" i="2"/>
  <c r="D23" i="2" s="1"/>
  <c r="F18" i="2"/>
  <c r="E16" i="2"/>
  <c r="E14" i="2"/>
  <c r="E23" i="2" s="1"/>
  <c r="H18" i="2"/>
  <c r="F80" i="2" l="1"/>
  <c r="F23" i="2"/>
  <c r="G51" i="2"/>
  <c r="G80" i="2"/>
  <c r="G81" i="2" s="1"/>
  <c r="E51" i="2"/>
  <c r="E58" i="2" s="1"/>
  <c r="F51" i="2"/>
  <c r="G23" i="2"/>
  <c r="G30" i="2" s="1"/>
  <c r="E52" i="2"/>
  <c r="E54" i="2"/>
  <c r="E59" i="2" s="1"/>
  <c r="F58" i="2"/>
  <c r="F54" i="2"/>
  <c r="F59" i="2" s="1"/>
  <c r="G24" i="2"/>
  <c r="E81" i="2"/>
  <c r="E87" i="2"/>
  <c r="E83" i="2"/>
  <c r="E88" i="2" s="1"/>
  <c r="E117" i="2"/>
  <c r="D52" i="2"/>
  <c r="D58" i="2"/>
  <c r="D54" i="2"/>
  <c r="F30" i="2"/>
  <c r="F24" i="2"/>
  <c r="F26" i="2"/>
  <c r="F31" i="2" s="1"/>
  <c r="H52" i="2"/>
  <c r="G52" i="2"/>
  <c r="G58" i="2"/>
  <c r="G54" i="2"/>
  <c r="G59" i="2" s="1"/>
  <c r="D24" i="2"/>
  <c r="D30" i="2"/>
  <c r="D26" i="2"/>
  <c r="E24" i="2"/>
  <c r="E30" i="2"/>
  <c r="E26" i="2"/>
  <c r="E31" i="2" s="1"/>
  <c r="F81" i="2"/>
  <c r="F87" i="2"/>
  <c r="F83" i="2"/>
  <c r="F88" i="2" s="1"/>
  <c r="G87" i="2"/>
  <c r="D81" i="2"/>
  <c r="D87" i="2"/>
  <c r="D83" i="2"/>
  <c r="H87" i="2"/>
  <c r="H81" i="2"/>
  <c r="H83" i="2"/>
  <c r="H88" i="2" s="1"/>
  <c r="F52" i="2" l="1"/>
  <c r="E118" i="2"/>
  <c r="G83" i="2"/>
  <c r="G88" i="2" s="1"/>
  <c r="H24" i="2"/>
  <c r="G26" i="2"/>
  <c r="G31" i="2" s="1"/>
  <c r="E116" i="2"/>
  <c r="E119" i="2" s="1"/>
  <c r="F119" i="2" s="1"/>
  <c r="D31" i="2"/>
  <c r="G118" i="2"/>
  <c r="D88" i="2"/>
  <c r="G117" i="2"/>
  <c r="D59" i="2"/>
  <c r="G116" i="2" l="1"/>
  <c r="F116" i="2"/>
  <c r="F117" i="2"/>
  <c r="F118" i="2"/>
  <c r="H117" i="2"/>
  <c r="G119" i="2"/>
  <c r="H119" i="2" s="1"/>
  <c r="H118" i="2" l="1"/>
  <c r="H116" i="2"/>
</calcChain>
</file>

<file path=xl/comments1.xml><?xml version="1.0" encoding="utf-8"?>
<comments xmlns="http://schemas.openxmlformats.org/spreadsheetml/2006/main">
  <authors>
    <author/>
  </authors>
  <commentList>
    <comment ref="G3" authorId="0" shapeId="0">
      <text>
        <r>
          <rPr>
            <sz val="10"/>
            <color rgb="FF000000"/>
            <rFont val="Arial"/>
            <scheme val="minor"/>
          </rPr>
          <t>======
ID#AAAA3tkBbSk
Mannings     (2023-08-11 17:46:16)
Mois en cours.
Dernière mise à jour le 05/08/2023</t>
        </r>
      </text>
    </comment>
    <comment ref="C35" authorId="0" shapeId="0">
      <text>
        <r>
          <rPr>
            <sz val="10"/>
            <color rgb="FF000000"/>
            <rFont val="Arial"/>
            <scheme val="minor"/>
          </rPr>
          <t>======
ID#AAAA3tkBbSo
Mannings     (2023-08-11 17:46:16)
Taux de taxe à prendre en compte.</t>
        </r>
      </text>
    </comment>
    <comment ref="E53" authorId="0" shapeId="0">
      <text>
        <r>
          <rPr>
            <sz val="10"/>
            <color rgb="FF000000"/>
            <rFont val="Arial"/>
            <scheme val="minor"/>
          </rPr>
          <t>======
ID#AAAA3tkBbSc
ROIS    (2023-08-11 17:46:16)
Mannings : Dans votre traitement, retrait du resultat de mai (260 000) d’où la difference.</t>
        </r>
      </text>
    </comment>
    <comment ref="I63" authorId="0" shapeId="0">
      <text>
        <r>
          <rPr>
            <sz val="10"/>
            <color rgb="FF000000"/>
            <rFont val="Arial"/>
            <scheme val="minor"/>
          </rPr>
          <t>======
ID#AAAA3tkBbSU
Mannings     (2023-08-11 17:46:16)
Total Avril-Juillet
Aout est partiellement exclu de l'analyse</t>
        </r>
      </text>
    </comment>
  </commentList>
  <extLst>
    <ext xmlns:r="http://schemas.openxmlformats.org/officeDocument/2006/relationships" uri="GoogleSheetsCustomDataVersion2">
      <go:sheetsCustomData xmlns:go="http://customooxmlschemas.google.com/" r:id="rId1" roundtripDataSignature="AMtx7mgPa4PWxAhtwkl4BoKcd7vC85s4sw=="/>
    </ext>
  </extLst>
</comments>
</file>

<file path=xl/comments2.xml><?xml version="1.0" encoding="utf-8"?>
<comments xmlns="http://schemas.openxmlformats.org/spreadsheetml/2006/main">
  <authors>
    <author/>
  </authors>
  <commentList>
    <comment ref="H2" authorId="0" shapeId="0">
      <text>
        <r>
          <rPr>
            <sz val="10"/>
            <color rgb="FF000000"/>
            <rFont val="Arial"/>
            <scheme val="minor"/>
          </rPr>
          <t>======
ID#AAAA3tkBbSM
Mannings     (2023-08-11 17:46:16)
Mois en cours.
Répartition catégorielle impossible.
Dernière mise à jour le 05/08/2023</t>
        </r>
      </text>
    </comment>
    <comment ref="B100" authorId="0" shapeId="0">
      <text>
        <r>
          <rPr>
            <sz val="10"/>
            <color rgb="FF000000"/>
            <rFont val="Arial"/>
            <scheme val="minor"/>
          </rPr>
          <t>======
ID#AAAA3tkBbSg
Mannings     (2023-08-11 17:46:16)
La répartition du CA corrigé est en fonction du pourcentage de répartition du CA initial</t>
        </r>
      </text>
    </comment>
    <comment ref="H101" authorId="0" shapeId="0">
      <text>
        <r>
          <rPr>
            <sz val="10"/>
            <color rgb="FF000000"/>
            <rFont val="Arial"/>
            <scheme val="minor"/>
          </rPr>
          <t>======
ID#AAAA3tkBbSQ
ROIS    (2023-08-11 17:46:16)
Mannings : la répartition d'aout a été fait à partir du % de juillet</t>
        </r>
      </text>
    </comment>
    <comment ref="B107" authorId="0" shapeId="0">
      <text>
        <r>
          <rPr>
            <sz val="10"/>
            <color rgb="FF000000"/>
            <rFont val="Arial"/>
            <scheme val="minor"/>
          </rPr>
          <t>======
ID#AAAA3tkBbSY
Mannings     (2023-08-11 17:46:16)
Repartition en fonction de la marge brute.</t>
        </r>
      </text>
    </comment>
  </commentList>
  <extLst>
    <ext xmlns:r="http://schemas.openxmlformats.org/officeDocument/2006/relationships" uri="GoogleSheetsCustomDataVersion2">
      <go:sheetsCustomData xmlns:go="http://customooxmlschemas.google.com/" r:id="rId1" roundtripDataSignature="AMtx7mjvRi1XLPIK68r1bB3stLz5zO0qoQ=="/>
    </ext>
  </extLst>
</comments>
</file>

<file path=xl/comments3.xml><?xml version="1.0" encoding="utf-8"?>
<comments xmlns="http://schemas.openxmlformats.org/spreadsheetml/2006/main">
  <authors>
    <author/>
  </authors>
  <commentList>
    <comment ref="M3" authorId="0" shapeId="0">
      <text>
        <r>
          <rPr>
            <sz val="10"/>
            <color rgb="FF000000"/>
            <rFont val="Arial"/>
            <scheme val="minor"/>
          </rPr>
          <t>======
ID#AAAA21ciNfY
Auteur importé    (2023-08-15 19:40:23)
Photographe payé par le Picasso
	-Latif Adeothy</t>
        </r>
      </text>
    </comment>
    <comment ref="R8" authorId="0" shapeId="0">
      <text>
        <r>
          <rPr>
            <sz val="10"/>
            <color rgb="FF000000"/>
            <rFont val="Arial"/>
            <scheme val="minor"/>
          </rPr>
          <t>======
ID#AAAA21ciNg0
Auteur importé    (2023-08-15 19:40:23)
Amende de la Mairie
	-Latif Adeothy</t>
        </r>
      </text>
    </comment>
    <comment ref="G12" authorId="0" shapeId="0">
      <text>
        <r>
          <rPr>
            <sz val="10"/>
            <color rgb="FF000000"/>
            <rFont val="Arial"/>
            <scheme val="minor"/>
          </rPr>
          <t>======
ID#AAAA21ciNiM
Auteur importé    (2023-08-15 19:40:23)
Constitution partielle du stock de départ TABOO 
Factures du 19/04, 21/04 4
	-Latif Adeothy
Paiement factures stock issu du Miami 228: 
3x Cartons Cristal
3,5x Cartons Redbull 
1x Carton Heineken 
18x Desperados
8x Tequilla Olmeca 
1 Tambour 
1x Hennessy VS 
2x BlackLabel
2x Double Black 
2x Chivas 
1x Glenfiddich 12 ans
1x Glenfiddich 18 ans
3x Absolut 
1x Ciroc 
1x Mouton Cadet 
1x Fiole du pape
2x Dulong Blanc
1x Frexeinet 
1x Belair
3x Moet
1x Moet Nectar Rosé 
5x St James blanc
4x St James bruns
	-Latif Adeothy</t>
        </r>
      </text>
    </comment>
    <comment ref="I12" authorId="0" shapeId="0">
      <text>
        <r>
          <rPr>
            <sz val="10"/>
            <color rgb="FF000000"/>
            <rFont val="Arial"/>
            <scheme val="minor"/>
          </rPr>
          <t>======
ID#AAAA21ciNeU
Auteur importé    (2023-08-15 19:40:23)
1x Baron de Lestac blanc
6x Exhib 
1x Maison Castel Rosé
	-Latif Adeothy</t>
        </r>
      </text>
    </comment>
    <comment ref="I22" authorId="0" shapeId="0">
      <text>
        <r>
          <rPr>
            <sz val="10"/>
            <color rgb="FF000000"/>
            <rFont val="Arial"/>
            <scheme val="minor"/>
          </rPr>
          <t>======
ID#AAAA21ciNhM
Auteur importé    (2023-08-15 19:40:23)
3x Baron de Lestac blanc
	-Latif Adeothy</t>
        </r>
      </text>
    </comment>
    <comment ref="W24" authorId="0" shapeId="0">
      <text>
        <r>
          <rPr>
            <sz val="10"/>
            <color rgb="FF000000"/>
            <rFont val="Arial"/>
            <scheme val="minor"/>
          </rPr>
          <t>======
ID#AAAA21ciNbY
Auteur importé    (2023-08-15 19:40:23)
Total factures d'achats jeux de société
	-Latif Adeothy</t>
        </r>
      </text>
    </comment>
    <comment ref="G30" authorId="0" shapeId="0">
      <text>
        <r>
          <rPr>
            <sz val="10"/>
            <color rgb="FF000000"/>
            <rFont val="Arial"/>
            <scheme val="minor"/>
          </rPr>
          <t>======
ID#AAAA21ciNcM
Auteur importé    (2023-08-15 19:40:23)
Paiement MIAMI 228 semaine 1-7 Mai: 172 100 
2x carton Cristal 
1x Carton Coca 
1x Carton Sprite
5x Cartons Fanta 
1x Carton Heineken 
1x Carton Desperados
2x Dulong blanc
3x St James blanc
1x Mouton Cadet 
1x Double black 
1x Black Label
1x Tequilla Olmeca
1x Stolichnaya
Paiement MIAMI 228 semaine 8-14 Mai: 570 450 
2x Cartons Sprite 
1x Carton Heineken 
1x Carton Deperados
1x St James brun
5x St James blanc
3x Hennessy VS
3x Tequila Olmeca
2x Black Label
1x Gordon
2x Frexeinet
1x Moët
1x Moët Nectar
5x Veuve-Cliquot
1x Double Black
1x Glenfiddich 15 ans
1x Dulong blanc
	-Latif Adeothy
_Marqué comme fermé_
	-Latif Adeothy
_Rouverte_
	-Latif Adeothy
Demi carton Glennfidich 15 ans
	-Latif Adeothy</t>
        </r>
      </text>
    </comment>
    <comment ref="R32" authorId="0" shapeId="0">
      <text>
        <r>
          <rPr>
            <sz val="10"/>
            <color rgb="FF000000"/>
            <rFont val="Arial"/>
            <scheme val="minor"/>
          </rPr>
          <t>======
ID#AAAA21ciNVg
Auteur importé    (2023-08-15 19:40:23)
Poser la question à Emmanuel
	-Latif Adeothy</t>
        </r>
      </text>
    </comment>
    <comment ref="S36" authorId="0" shapeId="0">
      <text>
        <r>
          <rPr>
            <sz val="10"/>
            <color rgb="FF000000"/>
            <rFont val="Arial"/>
            <scheme val="minor"/>
          </rPr>
          <t>======
ID#AAAA21ciNU8
Auteur importé    (2023-08-15 19:40:23)
12 T Shirts = 42000
	-Latif Adeothy</t>
        </r>
      </text>
    </comment>
    <comment ref="V36" authorId="0" shapeId="0">
      <text>
        <r>
          <rPr>
            <sz val="10"/>
            <color rgb="FF000000"/>
            <rFont val="Arial"/>
            <scheme val="minor"/>
          </rPr>
          <t>======
ID#AAAA21ciNaI
Auteur importé    (2023-08-15 19:40:23)
Facture bagage supplémentaire AIR FRANCE pour transport de la RANE ONE / Jeux + Douanier
	-Latif Adeothy</t>
        </r>
      </text>
    </comment>
    <comment ref="G37" authorId="0" shapeId="0">
      <text>
        <r>
          <rPr>
            <sz val="10"/>
            <color rgb="FF000000"/>
            <rFont val="Arial"/>
            <scheme val="minor"/>
          </rPr>
          <t>======
ID#AAAA21ciNfg
Auteur importé    (2023-08-15 19:40:23)
Facture Miami 228 du 15 au 21 Mai:6 Hennessy
3 Tequila Olmeca
1 Belaire
1 Ruinart
2 Double Black
1 Cîroc
1 Gordon
2 St-James brun
5 St-James blanc
1 Moët
1 Moët Ice
1 Laurent-Perrier
2 Absolut
1 Dulong blanc
1 Bailey's
1 Stolichnaya
4 cartons Desperados
2 cartons Heineken
5 cartons Redbull
1 carton Smirnoff
4 carton Coca
4 cartons Cristal
1 carton Sprite
	-Latif Adeothy</t>
        </r>
      </text>
    </comment>
    <comment ref="G42" authorId="0" shapeId="0">
      <text>
        <r>
          <rPr>
            <sz val="10"/>
            <color rgb="FF000000"/>
            <rFont val="Arial"/>
            <scheme val="minor"/>
          </rPr>
          <t>======
ID#AAAA21ciNhY
Auteur importé    (2023-08-15 19:40:23)
Vin rouge ?
	-Latif Adeothy</t>
        </r>
      </text>
    </comment>
    <comment ref="E43" authorId="0" shapeId="0">
      <text>
        <r>
          <rPr>
            <sz val="10"/>
            <color rgb="FF000000"/>
            <rFont val="Arial"/>
            <scheme val="minor"/>
          </rPr>
          <t>======
ID#AAAA21ciNZE
Auteur importé    (2023-08-15 19:40:23)
Spaguetti ?
	-Latif Adeothy</t>
        </r>
      </text>
    </comment>
    <comment ref="G43" authorId="0" shapeId="0">
      <text>
        <r>
          <rPr>
            <sz val="10"/>
            <color rgb="FF000000"/>
            <rFont val="Arial"/>
            <scheme val="minor"/>
          </rPr>
          <t>======
ID#AAAA21ciNb8
Auteur importé    (2023-08-15 19:40:23)
Facture du Miami 228: 136 450
5 cartons Cristal
10 cocktails
1 Absolut
4 St James blanc
1 Black Label
1 Gordon Gin
1 St James brun
1 Bailey's
1 Tequila
1 Hennessy VS
1 Stolichnaya
1 Belaire
	-Latif Adeothy</t>
        </r>
      </text>
    </comment>
    <comment ref="I43" authorId="0" shapeId="0">
      <text>
        <r>
          <rPr>
            <sz val="10"/>
            <color rgb="FF000000"/>
            <rFont val="Arial"/>
            <scheme val="minor"/>
          </rPr>
          <t>======
ID#AAAA21ciNW4
Auteur importé    (2023-08-15 19:40:23)
Facuture Picasso du 22 au 28/05:
1x Maison Castel Rosé
	-Latif Adeothy</t>
        </r>
      </text>
    </comment>
    <comment ref="X43" authorId="0" shapeId="0">
      <text>
        <r>
          <rPr>
            <sz val="10"/>
            <color rgb="FF000000"/>
            <rFont val="Arial"/>
            <scheme val="minor"/>
          </rPr>
          <t>======
ID#AAAA21ciNXM
Auteur importé    (2023-08-15 19:40:23)
4x Extracteurs + installation Ice Machines
	-Latif Adeothy</t>
        </r>
      </text>
    </comment>
    <comment ref="G46" authorId="0" shapeId="0">
      <text>
        <r>
          <rPr>
            <sz val="10"/>
            <color rgb="FF000000"/>
            <rFont val="Arial"/>
            <scheme val="minor"/>
          </rPr>
          <t>======
ID#AAAA21ciNZQ
Auteur importé    (2023-08-15 19:40:23)
2x fûts de biere
	-Latif Adeothy</t>
        </r>
      </text>
    </comment>
    <comment ref="L46" authorId="0" shapeId="0">
      <text>
        <r>
          <rPr>
            <sz val="10"/>
            <color rgb="FF000000"/>
            <rFont val="Arial"/>
            <scheme val="minor"/>
          </rPr>
          <t>======
ID#AAAA21ciNW8
Auteur importé    (2023-08-15 19:40:23)
Cachet JK Lion + 2 DJs Soirée Amapiano
	-Latif Adeothy</t>
        </r>
      </text>
    </comment>
    <comment ref="M46" authorId="0" shapeId="0">
      <text>
        <r>
          <rPr>
            <sz val="10"/>
            <color rgb="FF000000"/>
            <rFont val="Arial"/>
            <scheme val="minor"/>
          </rPr>
          <t>======
ID#AAAA21ciNb0
Auteur importé    (2023-08-15 19:40:23)
Total sponsoring Instagram au 13/06 + Photographe EAT
	-Latif Adeothy</t>
        </r>
      </text>
    </comment>
    <comment ref="R46" authorId="0" shapeId="0">
      <text>
        <r>
          <rPr>
            <sz val="10"/>
            <color rgb="FF000000"/>
            <rFont val="Arial"/>
            <scheme val="minor"/>
          </rPr>
          <t>======
ID#AAAA21ciNXI
Auteur importé    (2023-08-15 19:40:23)
Impression des menus. Facture Hanani
	-Latif Adeothy</t>
        </r>
      </text>
    </comment>
    <comment ref="W46" authorId="0" shapeId="0">
      <text>
        <r>
          <rPr>
            <sz val="10"/>
            <color rgb="FF000000"/>
            <rFont val="Arial"/>
            <scheme val="minor"/>
          </rPr>
          <t>======
ID#AAAA21ciNaU
Auteur importé    (2023-08-15 19:40:23)
Achat 50% Ice Machine
Rane One 
Divers equipements / achats Ghana
10x cartons verres à champagne doré et argenté
11x cartons de verres à cocktails
	-Latif Adeothy</t>
        </r>
      </text>
    </comment>
    <comment ref="X46" authorId="0" shapeId="0">
      <text>
        <r>
          <rPr>
            <sz val="10"/>
            <color rgb="FF000000"/>
            <rFont val="Arial"/>
            <scheme val="minor"/>
          </rPr>
          <t>======
ID#AAAA21ciNd0
Auteur importé    (2023-08-15 19:40:23)
Coco Alu: Remplacement Miroir + Etagère Bar
	-Latif Adeothy</t>
        </r>
      </text>
    </comment>
    <comment ref="H54" authorId="0" shapeId="0">
      <text>
        <r>
          <rPr>
            <sz val="10"/>
            <color rgb="FF000000"/>
            <rFont val="Arial"/>
            <scheme val="minor"/>
          </rPr>
          <t>======
ID#AAAA21ciNeE
Auteur importé    (2023-08-15 19:40:23)
3 Gordon's
1 Absolut
2 Red Label
3 Hennessy VS
1 Martell VS
1 Stolichnaya
4 St-James blanc
1 Bailey's
1 Jack Daniel's
2 Tequila Olmeca
1 St-James brun
1 Mouton Cadet
1 Black Label
1 Chivas
2 Dulong Merlot
	-Latif Adeothy</t>
        </r>
      </text>
    </comment>
    <comment ref="R56" authorId="0" shapeId="0">
      <text>
        <r>
          <rPr>
            <sz val="10"/>
            <color rgb="FF000000"/>
            <rFont val="Arial"/>
            <scheme val="minor"/>
          </rPr>
          <t>======
ID#AAAA21ciNaE
Auteur importé    (2023-08-15 19:40:23)
Facture ?
	-Latif Adeothy</t>
        </r>
      </text>
    </comment>
    <comment ref="L57" authorId="0" shapeId="0">
      <text>
        <r>
          <rPr>
            <sz val="10"/>
            <color rgb="FF000000"/>
            <rFont val="Arial"/>
            <scheme val="minor"/>
          </rPr>
          <t>======
ID#AAAA21ciNh4
Auteur importé    (2023-08-15 19:40:23)
DJ Killer / Manu 5 Etoiles
	-Eddy D.A.</t>
        </r>
      </text>
    </comment>
    <comment ref="L58" authorId="0" shapeId="0">
      <text>
        <r>
          <rPr>
            <sz val="10"/>
            <color rgb="FF000000"/>
            <rFont val="Arial"/>
            <scheme val="minor"/>
          </rPr>
          <t>======
ID#AAAA21ciNXk
Auteur importé    (2023-08-15 19:40:23)
Camille
	-Latif Adeothy</t>
        </r>
      </text>
    </comment>
    <comment ref="X60" authorId="0" shapeId="0">
      <text>
        <r>
          <rPr>
            <sz val="10"/>
            <color rgb="FF000000"/>
            <rFont val="Arial"/>
            <scheme val="minor"/>
          </rPr>
          <t>======
ID#AAAA21ciNcQ
Auteur importé    (2023-08-15 19:40:23)
Plombier
	-Latif Adeothy</t>
        </r>
      </text>
    </comment>
    <comment ref="H61" authorId="0" shapeId="0">
      <text>
        <r>
          <rPr>
            <sz val="10"/>
            <color rgb="FF000000"/>
            <rFont val="Arial"/>
            <scheme val="minor"/>
          </rPr>
          <t>======
ID#AAAA21ciNhE
Auteur importé    (2023-08-15 19:40:23)
2 Absolut
6 St James blanc
3 Red Label
1 Bailey's
2 Stolichnaya
2 Duchesse Brut
8 Moët
3 Jack Daniel's
1 Chivas
1 Glenfiddich 12 ans
2 Tequila Olmeca
7 Laurent-Perrier
1 Duchesse Rosé
3 Tequila Olmeca 1l
1 Martell VS
1 Gordon's
2 Veuve-Cliquot
1 Hennessy VS
2 Jack Daniel's Honey
	-Latif Adeothy</t>
        </r>
      </text>
    </comment>
    <comment ref="L61" authorId="0" shapeId="0">
      <text>
        <r>
          <rPr>
            <sz val="10"/>
            <color rgb="FF000000"/>
            <rFont val="Arial"/>
            <scheme val="minor"/>
          </rPr>
          <t>======
ID#AAAA21ciNf4
Auteur importé    (2023-08-15 19:40:23)
DJ Killer &amp; Manu 5*
	-Latif Adeothy</t>
        </r>
      </text>
    </comment>
    <comment ref="W61" authorId="0" shapeId="0">
      <text>
        <r>
          <rPr>
            <sz val="10"/>
            <color rgb="FF000000"/>
            <rFont val="Arial"/>
            <scheme val="minor"/>
          </rPr>
          <t>======
ID#AAAA21ciNZk
Auteur importé    (2023-08-15 19:40:23)
Evans Ghana: livraison seaux à glace + pelle
	-Latif Adeothy</t>
        </r>
      </text>
    </comment>
    <comment ref="X61" authorId="0" shapeId="0">
      <text>
        <r>
          <rPr>
            <sz val="10"/>
            <color rgb="FF000000"/>
            <rFont val="Arial"/>
            <scheme val="minor"/>
          </rPr>
          <t>======
ID#AAAA21ciNWI
Auteur importé    (2023-08-15 19:40:23)
NEON Taboo
	-Latif Adeothy
Solde Soudeur
	-Latif Adeothy</t>
        </r>
      </text>
    </comment>
    <comment ref="X62" authorId="0" shapeId="0">
      <text>
        <r>
          <rPr>
            <sz val="10"/>
            <color rgb="FF000000"/>
            <rFont val="Arial"/>
            <scheme val="minor"/>
          </rPr>
          <t>======
ID#AAAA21ciNgw
Auteur importé    (2023-08-15 19:40:23)
Frigoriste
	-Latif Adeothy</t>
        </r>
      </text>
    </comment>
    <comment ref="V63" authorId="0" shapeId="0">
      <text>
        <r>
          <rPr>
            <sz val="10"/>
            <color rgb="FF000000"/>
            <rFont val="Arial"/>
            <scheme val="minor"/>
          </rPr>
          <t>======
ID#AAAA21ciNUw
Auteur importé    (2023-08-15 19:40:23)
Emprunt Hadi à la caisse
	-Latif Adeothy</t>
        </r>
      </text>
    </comment>
    <comment ref="L64" authorId="0" shapeId="0">
      <text>
        <r>
          <rPr>
            <sz val="10"/>
            <color rgb="FF000000"/>
            <rFont val="Arial"/>
            <scheme val="minor"/>
          </rPr>
          <t>======
ID#AAAA21ciNiA
Auteur importé    (2023-08-15 19:40:23)
The Mask
	-Eddy D.A.</t>
        </r>
      </text>
    </comment>
    <comment ref="W64" authorId="0" shapeId="0">
      <text>
        <r>
          <rPr>
            <sz val="10"/>
            <color rgb="FF000000"/>
            <rFont val="Arial"/>
            <scheme val="minor"/>
          </rPr>
          <t>======
ID#AAAA21ciNfI
Auteur importé    (2023-08-15 19:40:23)
Stand VIP  + Stand Pack
	-Latif Adeothy</t>
        </r>
      </text>
    </comment>
    <comment ref="L65" authorId="0" shapeId="0">
      <text>
        <r>
          <rPr>
            <sz val="10"/>
            <color rgb="FF000000"/>
            <rFont val="Arial"/>
            <scheme val="minor"/>
          </rPr>
          <t>======
ID#AAAA21ciNes
Auteur importé    (2023-08-15 19:40:23)
Camille
	-Eddy D.A.</t>
        </r>
      </text>
    </comment>
    <comment ref="X65" authorId="0" shapeId="0">
      <text>
        <r>
          <rPr>
            <sz val="10"/>
            <color rgb="FF000000"/>
            <rFont val="Arial"/>
            <scheme val="minor"/>
          </rPr>
          <t>======
ID#AAAA21ciNZw
Auteur importé    (2023-08-15 19:40:23)
LED
	-Latif Adeothy</t>
        </r>
      </text>
    </comment>
    <comment ref="H67" authorId="0" shapeId="0">
      <text>
        <r>
          <rPr>
            <sz val="10"/>
            <color rgb="FF000000"/>
            <rFont val="Arial"/>
            <scheme val="minor"/>
          </rPr>
          <t>======
ID#AAAA21ciNXo
Auteur importé    (2023-08-15 19:40:23)
Carton de Jagermeister
	-Latif Adeothy</t>
        </r>
      </text>
    </comment>
    <comment ref="X67" authorId="0" shapeId="0">
      <text>
        <r>
          <rPr>
            <sz val="10"/>
            <color rgb="FF000000"/>
            <rFont val="Arial"/>
            <scheme val="minor"/>
          </rPr>
          <t>======
ID#AAAA21ciNeI
Auteur importé    (2023-08-15 19:40:23)
Frigoriste
	-Latif Adeothy</t>
        </r>
      </text>
    </comment>
    <comment ref="H68" authorId="0" shapeId="0">
      <text>
        <r>
          <rPr>
            <sz val="10"/>
            <color rgb="FF000000"/>
            <rFont val="Arial"/>
            <scheme val="minor"/>
          </rPr>
          <t>======
ID#AAAA21ciNZA
Auteur importé    (2023-08-15 19:40:23)
1 JP Chenet Ice
6 St-James blanc
1 St-James brun
3 Stolichnaya
1 Mouton Cadet
4 Hennessy 1l
2 Bailey's
1 Moët
5 Tequila Olmeca 1l
2 Red Label
2 Hennessy VS
1 Martell VS
1 Moët Nectar
1 Gordon's
7 Dulong merlot
3 Double Black
4 Jack Daniel's
1 Absolut
1 Belaire
3 Veuve-Cliquot
1 Chivas
3 Laurent-Perrier
1 Ruinart Brut
	-Latif Adeothy</t>
        </r>
      </text>
    </comment>
    <comment ref="L68" authorId="0" shapeId="0">
      <text>
        <r>
          <rPr>
            <sz val="10"/>
            <color rgb="FF000000"/>
            <rFont val="Arial"/>
            <scheme val="minor"/>
          </rPr>
          <t>======
ID#AAAA21ciNaA
Auteur importé    (2023-08-15 19:40:23)
The Mask
	-Latif Adeothy
Camille
	-Latif Adeothy</t>
        </r>
      </text>
    </comment>
    <comment ref="S68" authorId="0" shapeId="0">
      <text>
        <r>
          <rPr>
            <sz val="10"/>
            <color rgb="FF000000"/>
            <rFont val="Arial"/>
            <scheme val="minor"/>
          </rPr>
          <t>======
ID#AAAA21ciNgY
Auteur importé    (2023-08-15 19:40:23)
Carburant groupe électrogène
	-Latif Adeothy</t>
        </r>
      </text>
    </comment>
    <comment ref="W68" authorId="0" shapeId="0">
      <text>
        <r>
          <rPr>
            <sz val="10"/>
            <color rgb="FF000000"/>
            <rFont val="Arial"/>
            <scheme val="minor"/>
          </rPr>
          <t>======
ID#AAAA21ciNdI
Auteur importé    (2023-08-15 19:40:23)
Inverseur automatique groupe electro
	-Latif Adeothy
5 chichas + 5 caloud
	-Latif Adeothy
Batterie groupe electrogène
	-Latif Adeothy</t>
        </r>
      </text>
    </comment>
    <comment ref="X68" authorId="0" shapeId="0">
      <text>
        <r>
          <rPr>
            <sz val="10"/>
            <color rgb="FF000000"/>
            <rFont val="Arial"/>
            <scheme val="minor"/>
          </rPr>
          <t>======
ID#AAAA21ciNU4
Auteur importé    (2023-08-15 19:40:23)
Etanchéité cuisine + escalier
	-Latif Adeothy
Dijoncteur grillé
	-Latif Adeothy</t>
        </r>
      </text>
    </comment>
    <comment ref="P70" authorId="0" shapeId="0">
      <text>
        <r>
          <rPr>
            <sz val="10"/>
            <color rgb="FF000000"/>
            <rFont val="Arial"/>
            <scheme val="minor"/>
          </rPr>
          <t>======
ID#AAAA21ciNXc
Auteur importé    (2023-08-15 19:40:23)
Johnny pour Canal Box
	-Eddy D.A.</t>
        </r>
      </text>
    </comment>
    <comment ref="L71" authorId="0" shapeId="0">
      <text>
        <r>
          <rPr>
            <sz val="10"/>
            <color rgb="FF000000"/>
            <rFont val="Arial"/>
            <scheme val="minor"/>
          </rPr>
          <t>======
ID#AAAA21ciNVU
Auteur importé    (2023-08-15 19:40:23)
DJ Gérard
	-Latif Adeothy</t>
        </r>
      </text>
    </comment>
    <comment ref="L72" authorId="0" shapeId="0">
      <text>
        <r>
          <rPr>
            <sz val="10"/>
            <color rgb="FF000000"/>
            <rFont val="Arial"/>
            <scheme val="minor"/>
          </rPr>
          <t>======
ID#AAAA21ciNbU
Auteur importé    (2023-08-15 19:40:23)
Camille
	-Latif Adeothy</t>
        </r>
      </text>
    </comment>
    <comment ref="X73" authorId="0" shapeId="0">
      <text>
        <r>
          <rPr>
            <sz val="10"/>
            <color rgb="FF000000"/>
            <rFont val="Arial"/>
            <scheme val="minor"/>
          </rPr>
          <t>======
ID#AAAA21ciNfw
Auteur importé    (2023-08-15 19:40:23)
Etancheïté mur voisin
	-Latif Adeothy</t>
        </r>
      </text>
    </comment>
    <comment ref="H75" authorId="0" shapeId="0">
      <text>
        <r>
          <rPr>
            <sz val="10"/>
            <color rgb="FF000000"/>
            <rFont val="Arial"/>
            <scheme val="minor"/>
          </rPr>
          <t>======
ID#AAAA21ciNV8
Auteur importé    (2023-08-15 19:40:23)
Facture Miami 228 (19-25 Juin)
1 Gordon's
2 Black Label
3 Hennessy VS
3 Martell VS
5 St-James blanc
5 Moët
1 Moët Nectar
11 Veuve-Cliquot
3 Tequila Olmeca 1l
2 Red Label
1 Chivas
1 Glenfiddich 12 ans
1 Bailey's
2 Stolichnaya
2 Mouton Cadet
4 Ruinart
1 Ruinart blanc de blancs
1 Belaire
1 St-James brun
1 Dulong blanc
1 Hennessy 1l
	-Eddy D.A.</t>
        </r>
      </text>
    </comment>
    <comment ref="U76" authorId="0" shapeId="0">
      <text>
        <r>
          <rPr>
            <sz val="10"/>
            <color rgb="FF000000"/>
            <rFont val="Arial"/>
            <scheme val="minor"/>
          </rPr>
          <t>======
ID#AAAA21ciNgM
Auteur importé    (2023-08-15 19:40:23)
1/3 Carburant Tonio
	-Latif Adeothy</t>
        </r>
      </text>
    </comment>
    <comment ref="X76" authorId="0" shapeId="0">
      <text>
        <r>
          <rPr>
            <sz val="10"/>
            <color rgb="FF000000"/>
            <rFont val="Arial"/>
            <scheme val="minor"/>
          </rPr>
          <t>======
ID#AAAA21ciNWk
Auteur importé    (2023-08-15 19:40:23)
Main d'oeuvre installation inverseur + batterie + entretien groupe électrogène
	-Eddy D.A.</t>
        </r>
      </text>
    </comment>
    <comment ref="L78" authorId="0" shapeId="0">
      <text>
        <r>
          <rPr>
            <sz val="10"/>
            <color rgb="FF000000"/>
            <rFont val="Arial"/>
            <scheme val="minor"/>
          </rPr>
          <t>======
ID#AAAA21ciNcE
Auteur importé    (2023-08-15 19:40:23)
DJ Kelly + animateur
	-Eddy D.A.</t>
        </r>
      </text>
    </comment>
    <comment ref="U78" authorId="0" shapeId="0">
      <text>
        <r>
          <rPr>
            <sz val="10"/>
            <color rgb="FF000000"/>
            <rFont val="Arial"/>
            <scheme val="minor"/>
          </rPr>
          <t>======
ID#AAAA21ciNgc
Auteur importé    (2023-08-15 19:40:23)
1500 supplémentaire Gozem DJ Vans pour DJ Kelly
	-Eddy D.A.</t>
        </r>
      </text>
    </comment>
    <comment ref="V78" authorId="0" shapeId="0">
      <text>
        <r>
          <rPr>
            <sz val="10"/>
            <color rgb="FF000000"/>
            <rFont val="Arial"/>
            <scheme val="minor"/>
          </rPr>
          <t>======
ID#AAAA21ciNVw
Auteur importé    (2023-08-15 19:40:23)
2 chambres hôtel Dj Kelly + manager
	-Eddy D.A.</t>
        </r>
      </text>
    </comment>
    <comment ref="L79" authorId="0" shapeId="0">
      <text>
        <r>
          <rPr>
            <sz val="10"/>
            <color rgb="FF000000"/>
            <rFont val="Arial"/>
            <scheme val="minor"/>
          </rPr>
          <t>======
ID#AAAA21ciNUk
Auteur importé    (2023-08-15 19:40:23)
Camille
	-Latif Adeothy</t>
        </r>
      </text>
    </comment>
    <comment ref="W79" authorId="0" shapeId="0">
      <text>
        <r>
          <rPr>
            <sz val="10"/>
            <color rgb="FF000000"/>
            <rFont val="Arial"/>
            <scheme val="minor"/>
          </rPr>
          <t>======
ID#AAAA21ciNfA
Auteur importé    (2023-08-15 19:40:23)
Régulateur Akai 5000. Précédent régulateur grillé
	-Eddy D.A.</t>
        </r>
      </text>
    </comment>
    <comment ref="X79" authorId="0" shapeId="0">
      <text>
        <r>
          <rPr>
            <sz val="10"/>
            <color rgb="FF000000"/>
            <rFont val="Arial"/>
            <scheme val="minor"/>
          </rPr>
          <t>======
ID#AAAA21ciNVc
Auteur importé    (2023-08-15 19:40:23)
CCT
	-Latif Adeothy</t>
        </r>
      </text>
    </comment>
    <comment ref="G80" authorId="0" shapeId="0">
      <text>
        <r>
          <rPr>
            <sz val="10"/>
            <color rgb="FF000000"/>
            <rFont val="Arial"/>
            <scheme val="minor"/>
          </rPr>
          <t>======
ID#AAAA21ciNbI
Auteur importé    (2023-08-15 19:40:23)
Daily dépense drink + 25 000 (Arnaud 4 Baron Maxime) + 150 000 (Gio 4 Ruinart)
	-Eddy D.A.</t>
        </r>
      </text>
    </comment>
    <comment ref="H80" authorId="0" shapeId="0">
      <text>
        <r>
          <rPr>
            <sz val="10"/>
            <color rgb="FF000000"/>
            <rFont val="Arial"/>
            <scheme val="minor"/>
          </rPr>
          <t>======
ID#AAAA21ciNg4
Auteur importé    (2023-08-15 19:40:23)
2 cartons Calvet grande reserve pour Taboo dans commande du 30/06
	-Eddy D.A.</t>
        </r>
      </text>
    </comment>
    <comment ref="L80" authorId="0" shapeId="0">
      <text>
        <r>
          <rPr>
            <sz val="10"/>
            <color rgb="FF000000"/>
            <rFont val="Arial"/>
            <scheme val="minor"/>
          </rPr>
          <t>======
ID#AAAA21ciNaQ
Auteur importé    (2023-08-15 19:40:23)
Moitié cachet Gal Dem DJ
	-Eddy D.A.</t>
        </r>
      </text>
    </comment>
    <comment ref="V80" authorId="0" shapeId="0">
      <text>
        <r>
          <rPr>
            <sz val="10"/>
            <color rgb="FF000000"/>
            <rFont val="Arial"/>
            <scheme val="minor"/>
          </rPr>
          <t>======
ID#AAAA21ciNgU
Auteur importé    (2023-08-15 19:40:23)
Chambre d'hôtel Gal Dem DJ
	-Eddy D.A.</t>
        </r>
      </text>
    </comment>
    <comment ref="W80" authorId="0" shapeId="0">
      <text>
        <r>
          <rPr>
            <sz val="10"/>
            <color rgb="FF000000"/>
            <rFont val="Arial"/>
            <scheme val="minor"/>
          </rPr>
          <t>======
ID#AAAA21ciNYE
Auteur importé    (2023-08-15 19:40:23)
Latif pour chichas
	-Eddy D.A.</t>
        </r>
      </text>
    </comment>
    <comment ref="X85" authorId="0" shapeId="0">
      <text>
        <r>
          <rPr>
            <sz val="10"/>
            <color rgb="FF000000"/>
            <rFont val="Arial"/>
            <scheme val="minor"/>
          </rPr>
          <t>======
ID#AAAA21ciNWA
Auteur importé    (2023-08-15 19:40:23)
Plombier Latif pour vidange
	-Eddy D.A.</t>
        </r>
      </text>
    </comment>
    <comment ref="H86" authorId="0" shapeId="0">
      <text>
        <r>
          <rPr>
            <sz val="10"/>
            <color rgb="FF000000"/>
            <rFont val="Arial"/>
            <scheme val="minor"/>
          </rPr>
          <t>======
ID#AAAA21ciNY0
Auteur importé    (2023-08-15 19:40:23)
Facture Miami 228 (26 juin-2 Juillet)
10 Veuve-Cliquot
5 St-James blanc
5 Absolut
4 Stolichnaya
7 Red Label
4 Martell VS
7 Dulong
4 Laurent-Perrier
2 Black Label
3 Jack Daniel's
4 Hennessy VS
1 Gordon's
2 Moët nectar
5 Ruinart
2 Tequila Olmeca 1l
2 Chivas
1 Belaire
1 Bailey's
5 Moët
1 Tequila Olmeca
1 St-James brun
1 Glenfiddich
	-Eddy D.A.</t>
        </r>
      </text>
    </comment>
    <comment ref="V87" authorId="0" shapeId="0">
      <text>
        <r>
          <rPr>
            <sz val="10"/>
            <color rgb="FF000000"/>
            <rFont val="Arial"/>
            <scheme val="minor"/>
          </rPr>
          <t>======
ID#AAAA21ciNWs
Auteur importé    (2023-08-15 19:40:23)
"Transport" gars logiciel caisse
	-Eddy D.A.</t>
        </r>
      </text>
    </comment>
    <comment ref="X87" authorId="0" shapeId="0">
      <text>
        <r>
          <rPr>
            <sz val="10"/>
            <color rgb="FF000000"/>
            <rFont val="Arial"/>
            <scheme val="minor"/>
          </rPr>
          <t>======
ID#AAAA21ciNfQ
Auteur importé    (2023-08-15 19:40:23)
Plombier pour débouchement-évacuation regard
	-Eddy D.A.</t>
        </r>
      </text>
    </comment>
    <comment ref="T88" authorId="0" shapeId="0">
      <text>
        <r>
          <rPr>
            <sz val="10"/>
            <color rgb="FF000000"/>
            <rFont val="Arial"/>
            <scheme val="minor"/>
          </rPr>
          <t>======
ID#AAAA21ciNWc
Auteur importé    (2023-08-15 19:40:23)
Ramassage poubelles 2 mois et demi + soeur
	-Eddy D.A.</t>
        </r>
      </text>
    </comment>
    <comment ref="W88" authorId="0" shapeId="0">
      <text>
        <r>
          <rPr>
            <sz val="10"/>
            <color rgb="FF000000"/>
            <rFont val="Arial"/>
            <scheme val="minor"/>
          </rPr>
          <t>======
ID#AAAA21ciNc0
Auteur importé    (2023-08-15 19:40:23)
Jeu de cartes (5)
	-Eddy D.A.</t>
        </r>
      </text>
    </comment>
    <comment ref="X88" authorId="0" shapeId="0">
      <text>
        <r>
          <rPr>
            <sz val="10"/>
            <color rgb="FF000000"/>
            <rFont val="Arial"/>
            <scheme val="minor"/>
          </rPr>
          <t>======
ID#AAAA21ciNao
Auteur importé    (2023-08-15 19:40:23)
Étanchéiste pour fuite coin pose chichas + Câbleur pour changement membrane caisson toilettes
	-Eddy D.A.</t>
        </r>
      </text>
    </comment>
    <comment ref="L89" authorId="0" shapeId="0">
      <text>
        <r>
          <rPr>
            <sz val="10"/>
            <color rgb="FF000000"/>
            <rFont val="Arial"/>
            <scheme val="minor"/>
          </rPr>
          <t>======
ID#AAAA21ciNUo
Auteur importé    (2023-08-15 19:40:23)
DJ Jude + Animateur (CR)
	-Eddy D.A.</t>
        </r>
      </text>
    </comment>
    <comment ref="V89" authorId="0" shapeId="0">
      <text>
        <r>
          <rPr>
            <sz val="10"/>
            <color rgb="FF000000"/>
            <rFont val="Arial"/>
            <scheme val="minor"/>
          </rPr>
          <t>======
ID#AAAA21ciNg8
Auteur importé    (2023-08-15 19:40:23)
Formatrice cuisine
	-Eddy D.A.</t>
        </r>
      </text>
    </comment>
    <comment ref="W89" authorId="0" shapeId="0">
      <text>
        <r>
          <rPr>
            <sz val="10"/>
            <color rgb="FF000000"/>
            <rFont val="Arial"/>
            <scheme val="minor"/>
          </rPr>
          <t>======
ID#AAAA21ciNXg
Auteur importé    (2023-08-15 19:40:23)
Avance Menuiser rasta pour tables hautes supplémentaires Acacia
	-Eddy D.A.</t>
        </r>
      </text>
    </comment>
    <comment ref="L90" authorId="0" shapeId="0">
      <text>
        <r>
          <rPr>
            <sz val="10"/>
            <color rgb="FF000000"/>
            <rFont val="Arial"/>
            <scheme val="minor"/>
          </rPr>
          <t>======
ID#AAAA21ciNYU
Auteur importé    (2023-08-15 19:40:23)
Camille
	-Eddy D.A.</t>
        </r>
      </text>
    </comment>
    <comment ref="S90" authorId="0" shapeId="0">
      <text>
        <r>
          <rPr>
            <sz val="10"/>
            <color rgb="FF000000"/>
            <rFont val="Arial"/>
            <scheme val="minor"/>
          </rPr>
          <t>======
ID#AAAA21ciNbQ
Auteur importé    (2023-08-15 19:40:23)
Piles
	-Eddy D.A.</t>
        </r>
      </text>
    </comment>
    <comment ref="U90" authorId="0" shapeId="0">
      <text>
        <r>
          <rPr>
            <sz val="10"/>
            <color rgb="FF000000"/>
            <rFont val="Arial"/>
            <scheme val="minor"/>
          </rPr>
          <t>======
ID#AAAA21ciNfM
Auteur importé    (2023-08-15 19:40:23)
Brice
	-Eddy D.A.</t>
        </r>
      </text>
    </comment>
    <comment ref="V90" authorId="0" shapeId="0">
      <text>
        <r>
          <rPr>
            <sz val="10"/>
            <color rgb="FF000000"/>
            <rFont val="Arial"/>
            <scheme val="minor"/>
          </rPr>
          <t>======
ID#AAAA21ciNWo
Auteur importé    (2023-08-15 19:40:23)
Formatrice cuisine
	-Eddy D.A.</t>
        </r>
      </text>
    </comment>
    <comment ref="S91" authorId="0" shapeId="0">
      <text>
        <r>
          <rPr>
            <sz val="10"/>
            <color rgb="FF000000"/>
            <rFont val="Arial"/>
            <scheme val="minor"/>
          </rPr>
          <t>======
ID#AAAA21ciNh8
Auteur importé    (2023-08-15 19:40:23)
Pure water
	-Eddy D.A.</t>
        </r>
      </text>
    </comment>
    <comment ref="X91" authorId="0" shapeId="0">
      <text>
        <r>
          <rPr>
            <sz val="10"/>
            <color rgb="FF000000"/>
            <rFont val="Arial"/>
            <scheme val="minor"/>
          </rPr>
          <t>======
ID#AAAA21ciNVA
Auteur importé    (2023-08-15 19:40:23)
Changement du transfo du néon des toilettes grillé
	-Eddy D.A.</t>
        </r>
      </text>
    </comment>
    <comment ref="G92" authorId="0" shapeId="0">
      <text>
        <r>
          <rPr>
            <sz val="10"/>
            <color rgb="FF000000"/>
            <rFont val="Arial"/>
            <scheme val="minor"/>
          </rPr>
          <t>======
ID#AAAA21ciNYQ
Auteur importé    (2023-08-15 19:40:23)
Daily depense + 1 carton Jagermeister (Dafrimex) + 1 carton Martell VS (Champion)
	-Eddy D.A.</t>
        </r>
      </text>
    </comment>
    <comment ref="S92" authorId="0" shapeId="0">
      <text>
        <r>
          <rPr>
            <sz val="10"/>
            <color rgb="FF000000"/>
            <rFont val="Arial"/>
            <scheme val="minor"/>
          </rPr>
          <t>======
ID#AAAA21ciNYs
Auteur importé    (2023-08-15 19:40:23)
Agrafes = 1 000
Papyrus = 9 000
	-Eddy D.A.</t>
        </r>
      </text>
    </comment>
    <comment ref="W92" authorId="0" shapeId="0">
      <text>
        <r>
          <rPr>
            <sz val="10"/>
            <color rgb="FF000000"/>
            <rFont val="Arial"/>
            <scheme val="minor"/>
          </rPr>
          <t>======
ID#AAAA21ciNeM
Auteur importé    (2023-08-15 19:40:23)
Adaptateur + Latif 4 chichas et 3 ventilateurs
	-Eddy D.A.</t>
        </r>
      </text>
    </comment>
    <comment ref="H93" authorId="0" shapeId="0">
      <text>
        <r>
          <rPr>
            <sz val="10"/>
            <color rgb="FF000000"/>
            <rFont val="Arial"/>
            <scheme val="minor"/>
          </rPr>
          <t>======
ID#AAAA21ciNgo
Auteur importé    (2023-08-15 19:40:23)
Facture Miami 228 (3-9 Juillet)
6 St-James blanc
9 Dulong 
6 Moët
3 Red Label
13 Hennessy
3 Martell
2 Gordon's
6 Tequila Olmeca
3 Stolichnaya
5 Laurent-Perrier
12 Veuve-Cliquot
1 Black Label
1 Jack Daniel's
2 Absolut
4 Duchesse brut
1 Duchesse rosé
1 St-James brun
1 Jack Daniel's honey
1 Grey Goose
1 Bailey's
3 Mouton Cadet
2 Moët nectar
	-Eddy D.A.</t>
        </r>
      </text>
    </comment>
    <comment ref="S93" authorId="0" shapeId="0">
      <text>
        <r>
          <rPr>
            <sz val="10"/>
            <color rgb="FF000000"/>
            <rFont val="Arial"/>
            <scheme val="minor"/>
          </rPr>
          <t>======
ID#AAAA21ciNbw
Auteur importé    (2023-08-15 19:40:23)
Pure water
	-Eddy D.A.</t>
        </r>
      </text>
    </comment>
    <comment ref="S94" authorId="0" shapeId="0">
      <text>
        <r>
          <rPr>
            <sz val="10"/>
            <color rgb="FF000000"/>
            <rFont val="Arial"/>
            <scheme val="minor"/>
          </rPr>
          <t>======
ID#AAAA21ciNXs
Auteur importé    (2023-08-15 19:40:23)
Bonnets + papyrus + papier-toilette
	-Eddy D.A.</t>
        </r>
      </text>
    </comment>
    <comment ref="X94" authorId="0" shapeId="0">
      <text>
        <r>
          <rPr>
            <sz val="10"/>
            <color rgb="FF000000"/>
            <rFont val="Arial"/>
            <scheme val="minor"/>
          </rPr>
          <t>======
ID#AAAA21ciNYI
Auteur importé    (2023-08-15 19:40:23)
Latif pour Coloris
	-Eddy D.A.</t>
        </r>
      </text>
    </comment>
    <comment ref="L96" authorId="0" shapeId="0">
      <text>
        <r>
          <rPr>
            <sz val="10"/>
            <color rgb="FF000000"/>
            <rFont val="Arial"/>
            <scheme val="minor"/>
          </rPr>
          <t>======
ID#AAAA21ciNds
Auteur importé    (2023-08-15 19:40:23)
BBrave = 100 000
Animateur = 10 000
	-Eddy D.A.</t>
        </r>
      </text>
    </comment>
    <comment ref="R96" authorId="0" shapeId="0">
      <text>
        <r>
          <rPr>
            <sz val="10"/>
            <color rgb="FF000000"/>
            <rFont val="Arial"/>
            <scheme val="minor"/>
          </rPr>
          <t>======
ID#AAAA21ciNbk
Auteur importé    (2023-08-15 19:40:23)
Comptable pour OTR + timbres + demande de carte d'immatriculation fiscale + tampon + "enveloppe" + frais de retrait
	-Eddy D.A.</t>
        </r>
      </text>
    </comment>
    <comment ref="L97" authorId="0" shapeId="0">
      <text>
        <r>
          <rPr>
            <sz val="10"/>
            <color rgb="FF000000"/>
            <rFont val="Arial"/>
            <scheme val="minor"/>
          </rPr>
          <t>======
ID#AAAA21ciNd4
Auteur importé    (2023-08-15 19:40:23)
Camille
	-Eddy D.A.</t>
        </r>
      </text>
    </comment>
    <comment ref="S97" authorId="0" shapeId="0">
      <text>
        <r>
          <rPr>
            <sz val="10"/>
            <color rgb="FF000000"/>
            <rFont val="Arial"/>
            <scheme val="minor"/>
          </rPr>
          <t>======
ID#AAAA21ciNiU
Auteur importé    (2023-08-15 19:40:23)
PQ + papyrus + pure water
	-Eddy D.A.</t>
        </r>
      </text>
    </comment>
    <comment ref="T97" authorId="0" shapeId="0">
      <text>
        <r>
          <rPr>
            <sz val="10"/>
            <color rgb="FF000000"/>
            <rFont val="Arial"/>
            <scheme val="minor"/>
          </rPr>
          <t>======
ID#AAAA21ciNXE
Auteur importé    (2023-08-15 19:40:23)
Poubelle + seau
	-Eddy D.A.</t>
        </r>
      </text>
    </comment>
    <comment ref="U97" authorId="0" shapeId="0">
      <text>
        <r>
          <rPr>
            <sz val="10"/>
            <color rgb="FF000000"/>
            <rFont val="Arial"/>
            <scheme val="minor"/>
          </rPr>
          <t>======
ID#AAAA21ciNXY
Auteur importé    (2023-08-15 19:40:23)
Emmanuel
	-Eddy D.A.</t>
        </r>
      </text>
    </comment>
    <comment ref="W97" authorId="0" shapeId="0">
      <text>
        <r>
          <rPr>
            <sz val="10"/>
            <color rgb="FF000000"/>
            <rFont val="Arial"/>
            <scheme val="minor"/>
          </rPr>
          <t>======
ID#AAAA21ciNYY
Auteur importé    (2023-08-15 19:40:23)
Piles rechargeables + rechaud charbon
	-Eddy D.A.</t>
        </r>
      </text>
    </comment>
    <comment ref="C98" authorId="0" shapeId="0">
      <text>
        <r>
          <rPr>
            <sz val="10"/>
            <color rgb="FF000000"/>
            <rFont val="Arial"/>
            <scheme val="minor"/>
          </rPr>
          <t>======
ID#AAAA21ciNfU
Auteur importé    (2023-08-15 19:40:23)
Augmentation fond de caisse
	-Eddy D.A.</t>
        </r>
      </text>
    </comment>
    <comment ref="X98" authorId="0" shapeId="0">
      <text>
        <r>
          <rPr>
            <sz val="10"/>
            <color rgb="FF000000"/>
            <rFont val="Arial"/>
            <scheme val="minor"/>
          </rPr>
          <t>======
ID#AAAA21ciNas
Auteur importé    (2023-08-15 19:40:23)
Koko pour contreplaqué + colle + solde mirroir
	-Eddy D.A.</t>
        </r>
      </text>
    </comment>
    <comment ref="S99" authorId="0" shapeId="0">
      <text>
        <r>
          <rPr>
            <sz val="10"/>
            <color rgb="FF000000"/>
            <rFont val="Arial"/>
            <scheme val="minor"/>
          </rPr>
          <t>======
ID#AAAA21ciNZY
Auteur importé    (2023-08-15 19:40:23)
Black box
	-Eddy D.A.</t>
        </r>
      </text>
    </comment>
    <comment ref="V99" authorId="0" shapeId="0">
      <text>
        <r>
          <rPr>
            <sz val="10"/>
            <color rgb="FF000000"/>
            <rFont val="Arial"/>
            <scheme val="minor"/>
          </rPr>
          <t>======
ID#AAAA21ciNVY
Auteur importé    (2023-08-15 19:40:23)
Frigoriste Latif pour entretien clims 02/07 et 15/07
	-Eddy D.A.</t>
        </r>
      </text>
    </comment>
    <comment ref="H100" authorId="0" shapeId="0">
      <text>
        <r>
          <rPr>
            <sz val="10"/>
            <color rgb="FF000000"/>
            <rFont val="Arial"/>
            <scheme val="minor"/>
          </rPr>
          <t>======
ID#AAAA21ciNbM
Auteur importé    (2023-08-15 19:40:23)
Facture Miami 228 (10-16 Juillet)
2 cartons Sunset
1 carton Redbull
2 Gordon's
8 St-James blanc
3 Red Label
6 Laurent-Perrier
1 Moët nectar
7 Hennessy VS
5 Olmeca
3 Black Label
2 Jack Daniel's
2 Glenfiddich
1 Jack Daniel's gentlemen
1 Absolut
2 Belaire
3 Moët
1 Duchesse rosé
7 Dulong
1 Stolichnaya
1 Hennessy VSOP 1l
1 St-James brun
3 Mouton Cadet
2 Grey Goose
	-Eddy D.A.</t>
        </r>
      </text>
    </comment>
    <comment ref="S100" authorId="0" shapeId="0">
      <text>
        <r>
          <rPr>
            <sz val="10"/>
            <color rgb="FF000000"/>
            <rFont val="Arial"/>
            <scheme val="minor"/>
          </rPr>
          <t>======
ID#AAAA21ciNak
Auteur importé    (2023-08-15 19:40:23)
Papyrus + papier-toilette
	-Eddy D.A.</t>
        </r>
      </text>
    </comment>
    <comment ref="G101" authorId="0" shapeId="0">
      <text>
        <r>
          <rPr>
            <sz val="10"/>
            <color rgb="FF000000"/>
            <rFont val="Arial"/>
            <scheme val="minor"/>
          </rPr>
          <t>======
ID#AAAA21ciNYA
Auteur importé    (2023-08-15 19:40:23)
Daily depense + Facture BB 136 500
	-Eddy D.A.</t>
        </r>
      </text>
    </comment>
    <comment ref="S101" authorId="0" shapeId="0">
      <text>
        <r>
          <rPr>
            <sz val="10"/>
            <color rgb="FF000000"/>
            <rFont val="Arial"/>
            <scheme val="minor"/>
          </rPr>
          <t>======
ID#AAAA21ciNY4
Auteur importé    (2023-08-15 19:40:23)
Papyrus
	-Eddy D.A.</t>
        </r>
      </text>
    </comment>
    <comment ref="T101" authorId="0" shapeId="0">
      <text>
        <r>
          <rPr>
            <sz val="10"/>
            <color rgb="FF000000"/>
            <rFont val="Arial"/>
            <scheme val="minor"/>
          </rPr>
          <t>======
ID#AAAA21ciNcI
Auteur importé    (2023-08-15 19:40:23)
Éponge
	-Eddy D.A.</t>
        </r>
      </text>
    </comment>
    <comment ref="U101" authorId="0" shapeId="0">
      <text>
        <r>
          <rPr>
            <sz val="10"/>
            <color rgb="FF000000"/>
            <rFont val="Arial"/>
            <scheme val="minor"/>
          </rPr>
          <t>======
ID#AAAA21ciNew
Auteur importé    (2023-08-15 19:40:23)
Emmanuel = 1 000
Johnny = 1 600
	-Eddy D.A.</t>
        </r>
      </text>
    </comment>
    <comment ref="U102" authorId="0" shapeId="0">
      <text>
        <r>
          <rPr>
            <sz val="10"/>
            <color rgb="FF000000"/>
            <rFont val="Arial"/>
            <scheme val="minor"/>
          </rPr>
          <t>======
ID#AAAA21ciNVE
Auteur importé    (2023-08-15 19:40:23)
Emmanuel (Castel)
	-Eddy D.A.</t>
        </r>
      </text>
    </comment>
    <comment ref="X102" authorId="0" shapeId="0">
      <text>
        <r>
          <rPr>
            <sz val="10"/>
            <color rgb="FF000000"/>
            <rFont val="Arial"/>
            <scheme val="minor"/>
          </rPr>
          <t>======
ID#AAAA21ciNgg
Auteur importé    (2023-08-15 19:40:23)
Main d'oeuvre peintre = 9 000
Disjonteur 25A = 18 000 (20A CCT Clim VIP cramé)
	-Eddy D.A.</t>
        </r>
      </text>
    </comment>
    <comment ref="G103" authorId="0" shapeId="0">
      <text>
        <r>
          <rPr>
            <sz val="10"/>
            <color rgb="FF000000"/>
            <rFont val="Arial"/>
            <scheme val="minor"/>
          </rPr>
          <t>======
ID#AAAA21ciNac
Auteur importé    (2023-08-15 19:40:23)
Daily depense + 3 cartons Ruinart (Cotonou) + Monkey Shoulder
	-Eddy D.A.</t>
        </r>
      </text>
    </comment>
    <comment ref="L103" authorId="0" shapeId="0">
      <text>
        <r>
          <rPr>
            <sz val="10"/>
            <color rgb="FF000000"/>
            <rFont val="Arial"/>
            <scheme val="minor"/>
          </rPr>
          <t>======
ID#AAAA21ciNVI
Auteur importé    (2023-08-15 19:40:23)
DJ Diamondz = 70 000
Animateur = 10 000
	-Eddy D.A.</t>
        </r>
      </text>
    </comment>
    <comment ref="R103" authorId="0" shapeId="0">
      <text>
        <r>
          <rPr>
            <sz val="10"/>
            <color rgb="FF000000"/>
            <rFont val="Arial"/>
            <scheme val="minor"/>
          </rPr>
          <t>======
ID#AAAA21ciNeo
Auteur importé    (2023-08-15 19:40:23)
Photocopies
	-Eddy D.A.</t>
        </r>
      </text>
    </comment>
    <comment ref="S103" authorId="0" shapeId="0">
      <text>
        <r>
          <rPr>
            <sz val="10"/>
            <color rgb="FF000000"/>
            <rFont val="Arial"/>
            <scheme val="minor"/>
          </rPr>
          <t>======
ID#AAAA21ciNck
Auteur importé    (2023-08-15 19:40:23)
Papyrus
	-Eddy D.A.</t>
        </r>
      </text>
    </comment>
    <comment ref="L104" authorId="0" shapeId="0">
      <text>
        <r>
          <rPr>
            <sz val="10"/>
            <color rgb="FF000000"/>
            <rFont val="Arial"/>
            <scheme val="minor"/>
          </rPr>
          <t>======
ID#AAAA21ciNgs
Auteur importé    (2023-08-15 19:40:23)
Camille
	-Eddy D.A.</t>
        </r>
      </text>
    </comment>
    <comment ref="R104" authorId="0" shapeId="0">
      <text>
        <r>
          <rPr>
            <sz val="10"/>
            <color rgb="FF000000"/>
            <rFont val="Arial"/>
            <scheme val="minor"/>
          </rPr>
          <t>======
ID#AAAA21ciNWw
Auteur importé    (2023-08-15 19:40:23)
Photocopies
	-Eddy D.A.</t>
        </r>
      </text>
    </comment>
    <comment ref="S104" authorId="0" shapeId="0">
      <text>
        <r>
          <rPr>
            <sz val="10"/>
            <color rgb="FF000000"/>
            <rFont val="Arial"/>
            <scheme val="minor"/>
          </rPr>
          <t>======
ID#AAAA21ciNaY
Auteur importé    (2023-08-15 19:40:23)
Pure water
	-Eddy D.A.</t>
        </r>
      </text>
    </comment>
    <comment ref="G105" authorId="0" shapeId="0">
      <text>
        <r>
          <rPr>
            <sz val="10"/>
            <color rgb="FF000000"/>
            <rFont val="Arial"/>
            <scheme val="minor"/>
          </rPr>
          <t>======
ID#AAAA21ciNhw
Auteur importé    (2023-08-15 19:40:23)
Daily depense + 1 carton Martell VS (Champion)
	-Eddy D.A.</t>
        </r>
      </text>
    </comment>
    <comment ref="V105" authorId="0" shapeId="0">
      <text>
        <r>
          <rPr>
            <sz val="10"/>
            <color rgb="FF000000"/>
            <rFont val="Arial"/>
            <scheme val="minor"/>
          </rPr>
          <t>======
ID#AAAA21ciNZU
Auteur importé    (2023-08-15 19:40:23)
Frigoriste pour gaz
	-Eddy D.A.</t>
        </r>
      </text>
    </comment>
    <comment ref="W106" authorId="0" shapeId="0">
      <text>
        <r>
          <rPr>
            <sz val="10"/>
            <color rgb="FF000000"/>
            <rFont val="Arial"/>
            <scheme val="minor"/>
          </rPr>
          <t>======
ID#AAAA21ciNiI
Auteur importé    (2023-08-15 19:40:23)
Solde tables hautes supplémentaires acacia
	-Eddy D.A.</t>
        </r>
      </text>
    </comment>
    <comment ref="H107" authorId="0" shapeId="0">
      <text>
        <r>
          <rPr>
            <sz val="10"/>
            <color rgb="FF000000"/>
            <rFont val="Arial"/>
            <scheme val="minor"/>
          </rPr>
          <t>======
ID#AAAA21ciNd8
Auteur importé    (2023-08-15 19:40:23)
Facture Miami 228 (17-23 Juillet)
1 carton Sunset
10 Hennessy VS
2 Absolut
3 Gordon's
5 Olmeca
10 Laurent-Perrier
9 St-James
1 Bailey's
2 Mouton Cadet
13 Dulong
2 Stolichnaya
3 Black Label
4 Jack Daniel's
2 Red Label
3 Double Black
2 Grey Goose
3 Ruinart blanc de blancs
1 Chivas
1 Jack Daniel's honey
2 Belaire
1 Hennessy VSOP
	-Eddy D.A.</t>
        </r>
      </text>
    </comment>
    <comment ref="S107" authorId="0" shapeId="0">
      <text>
        <r>
          <rPr>
            <sz val="10"/>
            <color rgb="FF000000"/>
            <rFont val="Arial"/>
            <scheme val="minor"/>
          </rPr>
          <t>======
ID#AAAA21ciNWM
Auteur importé    (2023-08-15 19:40:23)
Papyrus
	-Eddy D.A.</t>
        </r>
      </text>
    </comment>
    <comment ref="U107" authorId="0" shapeId="0">
      <text>
        <r>
          <rPr>
            <sz val="10"/>
            <color rgb="FF000000"/>
            <rFont val="Arial"/>
            <scheme val="minor"/>
          </rPr>
          <t>======
ID#AAAA21ciNc8
Auteur importé    (2023-08-15 19:40:23)
Emmanuel
	-Eddy D.A.</t>
        </r>
      </text>
    </comment>
    <comment ref="U108" authorId="0" shapeId="0">
      <text>
        <r>
          <rPr>
            <sz val="10"/>
            <color rgb="FF000000"/>
            <rFont val="Arial"/>
            <scheme val="minor"/>
          </rPr>
          <t>======
ID#AAAA21ciNeA
Auteur importé    (2023-08-15 19:40:23)
Emmanuel (Champion)
	-Eddy D.A.</t>
        </r>
      </text>
    </comment>
    <comment ref="L110" authorId="0" shapeId="0">
      <text>
        <r>
          <rPr>
            <sz val="10"/>
            <color rgb="FF000000"/>
            <rFont val="Arial"/>
            <scheme val="minor"/>
          </rPr>
          <t>======
ID#AAAA21ciNcA
Auteur importé    (2023-08-15 19:40:23)
DJ Saad = 70 000
Animateur = 10 000
	-Eddy D.A.</t>
        </r>
      </text>
    </comment>
    <comment ref="S110" authorId="0" shapeId="0">
      <text>
        <r>
          <rPr>
            <sz val="10"/>
            <color rgb="FF000000"/>
            <rFont val="Arial"/>
            <scheme val="minor"/>
          </rPr>
          <t>======
ID#AAAA21ciNVQ
Auteur importé    (2023-08-15 19:40:23)
PQ = 2 000
Papyrus = 9 000
	-Eddy D.A.</t>
        </r>
      </text>
    </comment>
    <comment ref="L111" authorId="0" shapeId="0">
      <text>
        <r>
          <rPr>
            <sz val="10"/>
            <color rgb="FF000000"/>
            <rFont val="Arial"/>
            <scheme val="minor"/>
          </rPr>
          <t>======
ID#AAAA21ciNec
Auteur importé    (2023-08-15 19:40:23)
Camille
	-Eddy D.A.</t>
        </r>
      </text>
    </comment>
    <comment ref="S111" authorId="0" shapeId="0">
      <text>
        <r>
          <rPr>
            <sz val="10"/>
            <color rgb="FF000000"/>
            <rFont val="Arial"/>
            <scheme val="minor"/>
          </rPr>
          <t>======
ID#AAAA21ciNZo
Auteur importé    (2023-08-15 19:40:23)
Gants = 13 500
Pure water = 2 000
	-Eddy D.A.</t>
        </r>
      </text>
    </comment>
    <comment ref="G112" authorId="0" shapeId="0">
      <text>
        <r>
          <rPr>
            <sz val="10"/>
            <color rgb="FF000000"/>
            <rFont val="Arial"/>
            <scheme val="minor"/>
          </rPr>
          <t>======
ID#AAAA21ciNdY
Auteur importé    (2023-08-15 19:40:23)
Daily depense + Facture Noufaely Dani + Facture Exhib Dafrimex
	-Eddy D.A.</t>
        </r>
      </text>
    </comment>
    <comment ref="W112" authorId="0" shapeId="0">
      <text>
        <r>
          <rPr>
            <sz val="10"/>
            <color rgb="FF000000"/>
            <rFont val="Arial"/>
            <scheme val="minor"/>
          </rPr>
          <t>======
ID#AAAA21ciNZs
Auteur importé    (2023-08-15 19:40:23)
JK Lion pour 20 t-shirts gris
	-Eddy D.A.</t>
        </r>
      </text>
    </comment>
    <comment ref="X112" authorId="0" shapeId="0">
      <text>
        <r>
          <rPr>
            <sz val="10"/>
            <color rgb="FF000000"/>
            <rFont val="Arial"/>
            <scheme val="minor"/>
          </rPr>
          <t>======
ID#AAAA21ciNf8
Auteur importé    (2023-08-15 19:40:23)
Électricien pour disjoncteur 25A pour frigo + prise + réparation régulateur
	-Eddy D.A.</t>
        </r>
      </text>
    </comment>
    <comment ref="S113" authorId="0" shapeId="0">
      <text>
        <r>
          <rPr>
            <sz val="10"/>
            <color rgb="FF000000"/>
            <rFont val="Arial"/>
            <scheme val="minor"/>
          </rPr>
          <t>======
ID#AAAA21ciNdM
Auteur importé    (2023-08-15 19:40:23)
Take away = 3 000
Papyrus = 9 000
	-Eddy D.A.</t>
        </r>
      </text>
    </comment>
    <comment ref="H114" authorId="0" shapeId="0">
      <text>
        <r>
          <rPr>
            <sz val="10"/>
            <color rgb="FF000000"/>
            <rFont val="Arial"/>
            <scheme val="minor"/>
          </rPr>
          <t>======
ID#AAAA21ciNbc
Auteur importé    (2023-08-15 19:40:23)
Facture Miami 228 (24-30 Juillet)
3 Black Label
13 Hennessy
5 Jack Daniel's
4 Olmeca
6 St-James
2 Double Black
1 Fiole du Pape
3 Stolichnaya
1 Olmeca dark
3 Red Label
3 Bailey's
7 Jack Daniel's honey
3 Bailey's
11 Dulong
1 Duchesse brut
2 Laurent-Perrier
2 Hennessy VSOP
2 Veuve-Cliquot
1 Absolut
1 Belvedere
1 Gordon's
3 Belaire
11 Moët
1 Moët rosé
1 Glenfiddich 15
3 Jack Daniel's honey 35cl
	-Eddy D.A.</t>
        </r>
      </text>
    </comment>
    <comment ref="L114" authorId="0" shapeId="0">
      <text>
        <r>
          <rPr>
            <sz val="10"/>
            <color rgb="FF000000"/>
            <rFont val="Arial"/>
            <scheme val="minor"/>
          </rPr>
          <t>======
ID#AAAA21ciNcw
Auteur importé    (2023-08-15 19:40:23)
DJ Lollicue
	-Eddy D.A.</t>
        </r>
      </text>
    </comment>
    <comment ref="M114" authorId="0" shapeId="0">
      <text>
        <r>
          <rPr>
            <sz val="10"/>
            <color rgb="FF000000"/>
            <rFont val="Arial"/>
            <scheme val="minor"/>
          </rPr>
          <t>======
ID#AAAA21ciNVM
Auteur importé    (2023-08-15 19:40:23)
Sponsoring Instagram du 12.06 au au 19.07
	-Latif Adeothy</t>
        </r>
      </text>
    </comment>
    <comment ref="S114" authorId="0" shapeId="0">
      <text>
        <r>
          <rPr>
            <sz val="10"/>
            <color rgb="FF000000"/>
            <rFont val="Arial"/>
            <scheme val="minor"/>
          </rPr>
          <t>======
ID#AAAA21ciNhg
Auteur importé    (2023-08-15 19:40:23)
Verres jetables
	-Eddy D.A.</t>
        </r>
      </text>
    </comment>
    <comment ref="U114" authorId="0" shapeId="0">
      <text>
        <r>
          <rPr>
            <sz val="10"/>
            <color rgb="FF000000"/>
            <rFont val="Arial"/>
            <scheme val="minor"/>
          </rPr>
          <t>======
ID#AAAA21ciNYM
Auteur importé    (2023-08-15 19:40:23)
Gozem JK/Lollicue
	-Eddy D.A.</t>
        </r>
      </text>
    </comment>
    <comment ref="V114" authorId="0" shapeId="0">
      <text>
        <r>
          <rPr>
            <sz val="10"/>
            <color rgb="FF000000"/>
            <rFont val="Arial"/>
            <scheme val="minor"/>
          </rPr>
          <t>======
ID#AAAA21ciNdU
Auteur importé    (2023-08-15 19:40:23)
Chambre Hôtel Concorde Lollicue
	-Eddy D.A.</t>
        </r>
      </text>
    </comment>
    <comment ref="W114" authorId="0" shapeId="0">
      <text>
        <r>
          <rPr>
            <sz val="10"/>
            <color rgb="FF000000"/>
            <rFont val="Arial"/>
            <scheme val="minor"/>
          </rPr>
          <t>======
ID#AAAA21ciNdk
Auteur importé    (2023-08-15 19:40:23)
Kokou pour achat régulateur 2000 VA
	-Eddy D.A.</t>
        </r>
      </text>
    </comment>
    <comment ref="G115" authorId="0" shapeId="0">
      <text>
        <r>
          <rPr>
            <sz val="10"/>
            <color rgb="FF000000"/>
            <rFont val="Arial"/>
            <scheme val="minor"/>
          </rPr>
          <t>======
ID#AAAA21ciNbo
Auteur importé    (2023-08-15 19:40:23)
Facture Noufely (As de Pique + Canettes)
	-Eddy D.A.</t>
        </r>
      </text>
    </comment>
    <comment ref="S115" authorId="0" shapeId="0">
      <text>
        <r>
          <rPr>
            <sz val="10"/>
            <color rgb="FF000000"/>
            <rFont val="Arial"/>
            <scheme val="minor"/>
          </rPr>
          <t>======
ID#AAAA21ciNco
Auteur importé    (2023-08-15 19:40:23)
Papyrus = 9 000
PQ = 2 000
	-Eddy D.A.</t>
        </r>
      </text>
    </comment>
    <comment ref="U115" authorId="0" shapeId="0">
      <text>
        <r>
          <rPr>
            <sz val="10"/>
            <color rgb="FF000000"/>
            <rFont val="Arial"/>
            <scheme val="minor"/>
          </rPr>
          <t>======
ID#AAAA21ciNdw
Auteur importé    (2023-08-15 19:40:23)
Emmanuel
	-Eddy D.A.</t>
        </r>
      </text>
    </comment>
    <comment ref="W115" authorId="0" shapeId="0">
      <text>
        <r>
          <rPr>
            <sz val="10"/>
            <color rgb="FF000000"/>
            <rFont val="Arial"/>
            <scheme val="minor"/>
          </rPr>
          <t>======
ID#AAAA21ciNVo
Auteur importé    (2023-08-15 19:40:23)
Moulinex
	-Eddy D.A.</t>
        </r>
      </text>
    </comment>
  </commentList>
  <extLst>
    <ext xmlns:r="http://schemas.openxmlformats.org/officeDocument/2006/relationships" uri="GoogleSheetsCustomDataVersion2">
      <go:sheetsCustomData xmlns:go="http://customooxmlschemas.google.com/" r:id="rId1" roundtripDataSignature="AMtx7mh2sMjY9bqBb4SoDL5AR1jD2NQdRQ=="/>
    </ext>
  </extLst>
</comments>
</file>

<file path=xl/comments4.xml><?xml version="1.0" encoding="utf-8"?>
<comments xmlns="http://schemas.openxmlformats.org/spreadsheetml/2006/main">
  <authors>
    <author/>
  </authors>
  <commentList>
    <comment ref="T7" authorId="0" shapeId="0">
      <text>
        <r>
          <rPr>
            <sz val="10"/>
            <color rgb="FF000000"/>
            <rFont val="Arial"/>
            <scheme val="minor"/>
          </rPr>
          <t>======
ID#AAAA21ciNeg
Auteur importé    (2023-08-15 19:40:23)
Coco Dope
	-Latif Adeothy</t>
        </r>
      </text>
    </comment>
    <comment ref="Z9" authorId="0" shapeId="0">
      <text>
        <r>
          <rPr>
            <sz val="10"/>
            <color rgb="FF000000"/>
            <rFont val="Arial"/>
            <scheme val="minor"/>
          </rPr>
          <t>======
ID#AAAA21ciNYk
Auteur importé    (2023-08-15 19:40:23)
Team Manu 5 Étoiles - DJ Killer
	-Eddy D.A.</t>
        </r>
      </text>
    </comment>
    <comment ref="Z10" authorId="0" shapeId="0">
      <text>
        <r>
          <rPr>
            <sz val="10"/>
            <color rgb="FF000000"/>
            <rFont val="Arial"/>
            <scheme val="minor"/>
          </rPr>
          <t>======
ID#AAAA21ciNYg
Auteur importé    (2023-08-15 19:40:23)
Camille
	-Eddy D.A.</t>
        </r>
      </text>
    </comment>
    <comment ref="S13" authorId="0" shapeId="0">
      <text>
        <r>
          <rPr>
            <sz val="10"/>
            <color rgb="FF000000"/>
            <rFont val="Arial"/>
            <scheme val="minor"/>
          </rPr>
          <t>======
ID#AAAA21ciNgE
Auteur importé    (2023-08-15 19:40:23)
Première visite Masta Jazz
	-Latif Adeothy</t>
        </r>
      </text>
    </comment>
    <comment ref="S16" authorId="0" shapeId="0">
      <text>
        <r>
          <rPr>
            <sz val="10"/>
            <color rgb="FF000000"/>
            <rFont val="Arial"/>
            <scheme val="minor"/>
          </rPr>
          <t>======
ID#AAAA21ciNek
Auteur importé    (2023-08-15 19:40:23)
Moussa
	-Eddy D.A.</t>
        </r>
      </text>
    </comment>
    <comment ref="T16" authorId="0" shapeId="0">
      <text>
        <r>
          <rPr>
            <sz val="10"/>
            <color rgb="FF000000"/>
            <rFont val="Arial"/>
            <scheme val="minor"/>
          </rPr>
          <t>======
ID#AAAA21ciNW0
Auteur importé    (2023-08-15 19:40:23)
Photographes
	-Eddy D.A.</t>
        </r>
      </text>
    </comment>
    <comment ref="Z16" authorId="0" shapeId="0">
      <text>
        <r>
          <rPr>
            <sz val="10"/>
            <color rgb="FF000000"/>
            <rFont val="Arial"/>
            <scheme val="minor"/>
          </rPr>
          <t>======
ID#AAAA21ciNhI
Auteur importé    (2023-08-15 19:40:23)
The Mask
	-Eddy D.A.</t>
        </r>
      </text>
    </comment>
    <comment ref="S17" authorId="0" shapeId="0">
      <text>
        <r>
          <rPr>
            <sz val="10"/>
            <color rgb="FF000000"/>
            <rFont val="Arial"/>
            <scheme val="minor"/>
          </rPr>
          <t>======
ID#AAAA21ciNc4
Auteur importé    (2023-08-15 19:40:23)
Open Mic Pheno Ambro
	-Eddy D.A.</t>
        </r>
      </text>
    </comment>
    <comment ref="Z17" authorId="0" shapeId="0">
      <text>
        <r>
          <rPr>
            <sz val="10"/>
            <color rgb="FF000000"/>
            <rFont val="Arial"/>
            <scheme val="minor"/>
          </rPr>
          <t>======
ID#AAAA21ciNXA
Auteur importé    (2023-08-15 19:40:23)
Camille
	-Eddy D.A.</t>
        </r>
      </text>
    </comment>
    <comment ref="D21" authorId="0" shapeId="0">
      <text>
        <r>
          <rPr>
            <sz val="10"/>
            <color rgb="FF000000"/>
            <rFont val="Arial"/>
            <scheme val="minor"/>
          </rPr>
          <t>======
ID#AAAA21ciNhs
Auteur importé    (2023-08-15 19:40:23)
Manque de 23 875
	-Eddy D.A.</t>
        </r>
      </text>
    </comment>
    <comment ref="D22" authorId="0" shapeId="0">
      <text>
        <r>
          <rPr>
            <sz val="10"/>
            <color rgb="FF000000"/>
            <rFont val="Arial"/>
            <scheme val="minor"/>
          </rPr>
          <t>======
ID#AAAA21ciNZc
Auteur importé    (2023-08-15 19:40:23)
Manque en caisse de 67 750 déclaré + 43 200?
	-Eddy D.A.
Jour du souci sur la caisse. Pb à résoudre
	-Latif Adeothy</t>
        </r>
      </text>
    </comment>
    <comment ref="S23" authorId="0" shapeId="0">
      <text>
        <r>
          <rPr>
            <sz val="10"/>
            <color rgb="FF000000"/>
            <rFont val="Arial"/>
            <scheme val="minor"/>
          </rPr>
          <t>======
ID#AAAA21ciNdQ
Auteur importé    (2023-08-15 19:40:23)
Filles de l'ONG
	-Eddy D.A.</t>
        </r>
      </text>
    </comment>
    <comment ref="Z23" authorId="0" shapeId="0">
      <text>
        <r>
          <rPr>
            <sz val="10"/>
            <color rgb="FF000000"/>
            <rFont val="Arial"/>
            <scheme val="minor"/>
          </rPr>
          <t>======
ID#AAAA21ciNWg
Auteur importé    (2023-08-15 19:40:23)
DJ Gérard
	-Eddy D.A.</t>
        </r>
      </text>
    </comment>
    <comment ref="U24" authorId="0" shapeId="0">
      <text>
        <r>
          <rPr>
            <sz val="10"/>
            <color rgb="FF000000"/>
            <rFont val="Arial"/>
            <scheme val="minor"/>
          </rPr>
          <t>======
ID#AAAA21ciNX4
Auteur importé    (2023-08-15 19:40:23)
Mansour
	-Eddy D.A.</t>
        </r>
      </text>
    </comment>
    <comment ref="Z24" authorId="0" shapeId="0">
      <text>
        <r>
          <rPr>
            <sz val="10"/>
            <color rgb="FF000000"/>
            <rFont val="Arial"/>
            <scheme val="minor"/>
          </rPr>
          <t>======
ID#AAAA21ciNfs
Auteur importé    (2023-08-15 19:40:23)
Camille
	-Eddy D.A.</t>
        </r>
      </text>
    </comment>
    <comment ref="Z28" authorId="0" shapeId="0">
      <text>
        <r>
          <rPr>
            <sz val="10"/>
            <color rgb="FF000000"/>
            <rFont val="Arial"/>
            <scheme val="minor"/>
          </rPr>
          <t>======
ID#AAAA21ciNWQ
Auteur importé    (2023-08-15 19:40:23)
Infographiste (Yves)
	-Eddy D.A.</t>
        </r>
      </text>
    </comment>
    <comment ref="S29" authorId="0" shapeId="0">
      <text>
        <r>
          <rPr>
            <sz val="10"/>
            <color rgb="FF000000"/>
            <rFont val="Arial"/>
            <scheme val="minor"/>
          </rPr>
          <t>======
ID#AAAA21ciNcc
Auteur importé    (2023-08-15 19:40:23)
Institut Fr
	-Eddy D.A.</t>
        </r>
      </text>
    </comment>
    <comment ref="S30" authorId="0" shapeId="0">
      <text>
        <r>
          <rPr>
            <sz val="10"/>
            <color rgb="FF000000"/>
            <rFont val="Arial"/>
            <scheme val="minor"/>
          </rPr>
          <t>======
ID#AAAA21ciNWU
Auteur importé    (2023-08-15 19:40:23)
Ruinart Mickael + Chesseburger Alex Patalaki (booking)
	-Eddy D.A.</t>
        </r>
      </text>
    </comment>
    <comment ref="Z30" authorId="0" shapeId="0">
      <text>
        <r>
          <rPr>
            <sz val="10"/>
            <color rgb="FF000000"/>
            <rFont val="Arial"/>
            <scheme val="minor"/>
          </rPr>
          <t>======
ID#AAAA21ciNdA
Auteur importé    (2023-08-15 19:40:23)
Team DJ Kelly
	-Eddy D.A.</t>
        </r>
      </text>
    </comment>
    <comment ref="Z31" authorId="0" shapeId="0">
      <text>
        <r>
          <rPr>
            <sz val="10"/>
            <color rgb="FF000000"/>
            <rFont val="Arial"/>
            <scheme val="minor"/>
          </rPr>
          <t>======
ID#AAAA21ciNgk
Auteur importé    (2023-08-15 19:40:23)
Camille
	-Eddy D.A.</t>
        </r>
      </text>
    </comment>
    <comment ref="H32" authorId="0" shapeId="0">
      <text>
        <r>
          <rPr>
            <sz val="10"/>
            <color rgb="FF000000"/>
            <rFont val="Arial"/>
            <scheme val="minor"/>
          </rPr>
          <t>======
ID#AAAA21ciNdg
Auteur importé    (2023-08-15 19:40:23)
J. Ayassor
	-Eddy D.A.</t>
        </r>
      </text>
    </comment>
    <comment ref="S32" authorId="0" shapeId="0">
      <text>
        <r>
          <rPr>
            <sz val="10"/>
            <color rgb="FF000000"/>
            <rFont val="Arial"/>
            <scheme val="minor"/>
          </rPr>
          <t>======
ID#AAAA21ciNZ8
Auteur importé    (2023-08-15 19:40:23)
Jospin
	-Eddy D.A.</t>
        </r>
      </text>
    </comment>
    <comment ref="Z32" authorId="0" shapeId="0">
      <text>
        <r>
          <rPr>
            <sz val="10"/>
            <color rgb="FF000000"/>
            <rFont val="Arial"/>
            <scheme val="minor"/>
          </rPr>
          <t>======
ID#AAAA21ciNXw
Auteur importé    (2023-08-15 19:40:23)
Birthday JK Lion
	-Eddy D.A.</t>
        </r>
      </text>
    </comment>
    <comment ref="Z33" authorId="0" shapeId="0">
      <text>
        <r>
          <rPr>
            <sz val="10"/>
            <color rgb="FF000000"/>
            <rFont val="Arial"/>
            <scheme val="minor"/>
          </rPr>
          <t>======
ID#AAAA21ciNeY
Auteur importé    (2023-08-15 19:40:23)
JK Lion Birthday + Gal Dem DJ
	-Eddy D.A.</t>
        </r>
      </text>
    </comment>
  </commentList>
  <extLst>
    <ext xmlns:r="http://schemas.openxmlformats.org/officeDocument/2006/relationships" uri="GoogleSheetsCustomDataVersion2">
      <go:sheetsCustomData xmlns:go="http://customooxmlschemas.google.com/" r:id="rId1" roundtripDataSignature="AMtx7miP3mbDM0u1q7kwjuE+2IJYoVdNIw=="/>
    </ext>
  </extLst>
</comments>
</file>

<file path=xl/comments5.xml><?xml version="1.0" encoding="utf-8"?>
<comments xmlns="http://schemas.openxmlformats.org/spreadsheetml/2006/main">
  <authors>
    <author/>
  </authors>
  <commentList>
    <comment ref="Y4" authorId="0" shapeId="0">
      <text>
        <r>
          <rPr>
            <sz val="10"/>
            <color rgb="FF000000"/>
            <rFont val="Arial"/>
            <scheme val="minor"/>
          </rPr>
          <t>======
ID#AAAA21ciNfE
Auteur importé    (2023-08-15 19:40:23)
JK Lion
	-Eddy D.A.</t>
        </r>
      </text>
    </comment>
    <comment ref="Y6" authorId="0" shapeId="0">
      <text>
        <r>
          <rPr>
            <sz val="10"/>
            <color rgb="FF000000"/>
            <rFont val="Arial"/>
            <scheme val="minor"/>
          </rPr>
          <t>======
ID#AAAA21ciNa0
Auteur importé    (2023-08-15 19:40:23)
Gars logiciel
	-Eddy D.A.</t>
        </r>
      </text>
    </comment>
    <comment ref="P7" authorId="0" shapeId="0">
      <text>
        <r>
          <rPr>
            <sz val="10"/>
            <color rgb="FF000000"/>
            <rFont val="Arial"/>
            <scheme val="minor"/>
          </rPr>
          <t>======
ID#AAAA21ciNhk
Auteur importé    (2023-08-15 19:40:23)
Conso Pheno
	-Eddy D.A.</t>
        </r>
      </text>
    </comment>
    <comment ref="S7" authorId="0" shapeId="0">
      <text>
        <r>
          <rPr>
            <sz val="10"/>
            <color rgb="FF000000"/>
            <rFont val="Arial"/>
            <scheme val="minor"/>
          </rPr>
          <t>======
ID#AAAA21ciNgA
Auteur importé    (2023-08-15 19:40:23)
Jospin
	-Eddy D.A.</t>
        </r>
      </text>
    </comment>
    <comment ref="Y7" authorId="0" shapeId="0">
      <text>
        <r>
          <rPr>
            <sz val="10"/>
            <color rgb="FF000000"/>
            <rFont val="Arial"/>
            <scheme val="minor"/>
          </rPr>
          <t>======
ID#AAAA21ciNiQ
Auteur importé    (2023-08-15 19:40:23)
DJ Jude
	-Eddy D.A.</t>
        </r>
      </text>
    </comment>
    <comment ref="Y8" authorId="0" shapeId="0">
      <text>
        <r>
          <rPr>
            <sz val="10"/>
            <color rgb="FF000000"/>
            <rFont val="Arial"/>
            <scheme val="minor"/>
          </rPr>
          <t>======
ID#AAAA21ciNZ0
Auteur importé    (2023-08-15 19:40:23)
Camille
	-Eddy D.A.</t>
        </r>
      </text>
    </comment>
    <comment ref="S9" authorId="0" shapeId="0">
      <text>
        <r>
          <rPr>
            <sz val="10"/>
            <color rgb="FF000000"/>
            <rFont val="Arial"/>
            <scheme val="minor"/>
          </rPr>
          <t>======
ID#AAAA21ciNbA
Auteur importé    (2023-08-15 19:40:23)
Marc
	-Eddy D.A.</t>
        </r>
      </text>
    </comment>
    <comment ref="S12" authorId="0" shapeId="0">
      <text>
        <r>
          <rPr>
            <sz val="10"/>
            <color rgb="FF000000"/>
            <rFont val="Arial"/>
            <scheme val="minor"/>
          </rPr>
          <t>======
ID#AAAA21ciNfk
Auteur importé    (2023-08-15 19:40:23)
Jospin
	-Eddy D.A.</t>
        </r>
      </text>
    </comment>
    <comment ref="T12" authorId="0" shapeId="0">
      <text>
        <r>
          <rPr>
            <sz val="10"/>
            <color rgb="FF000000"/>
            <rFont val="Arial"/>
            <scheme val="minor"/>
          </rPr>
          <t>======
ID#AAAA21ciNV4
Auteur importé    (2023-08-15 19:40:23)
Julio Teko
	-Eddy D.A.</t>
        </r>
      </text>
    </comment>
    <comment ref="U12" authorId="0" shapeId="0">
      <text>
        <r>
          <rPr>
            <sz val="10"/>
            <color rgb="FF000000"/>
            <rFont val="Arial"/>
            <scheme val="minor"/>
          </rPr>
          <t>======
ID#AAAA21ciNf0
Auteur importé    (2023-08-15 19:40:23)
Gars mairie
	-Eddy D.A.</t>
        </r>
      </text>
    </comment>
    <comment ref="Y13" authorId="0" shapeId="0">
      <text>
        <r>
          <rPr>
            <sz val="10"/>
            <color rgb="FF000000"/>
            <rFont val="Arial"/>
            <scheme val="minor"/>
          </rPr>
          <t>======
ID#AAAA21ciNbE
Auteur importé    (2023-08-15 19:40:23)
Infographiste
	-Eddy D.A.</t>
        </r>
      </text>
    </comment>
    <comment ref="Y14" authorId="0" shapeId="0">
      <text>
        <r>
          <rPr>
            <sz val="10"/>
            <color rgb="FF000000"/>
            <rFont val="Arial"/>
            <scheme val="minor"/>
          </rPr>
          <t>======
ID#AAAA21ciNU0
Auteur importé    (2023-08-15 19:40:23)
Team BBrave
	-Eddy D.A.</t>
        </r>
      </text>
    </comment>
    <comment ref="Y15" authorId="0" shapeId="0">
      <text>
        <r>
          <rPr>
            <sz val="10"/>
            <color rgb="FF000000"/>
            <rFont val="Arial"/>
            <scheme val="minor"/>
          </rPr>
          <t>======
ID#AAAA21ciNe4
Auteur importé    (2023-08-15 19:40:23)
Camille
	-Eddy D.A.</t>
        </r>
      </text>
    </comment>
    <comment ref="S18" authorId="0" shapeId="0">
      <text>
        <r>
          <rPr>
            <sz val="10"/>
            <color rgb="FF000000"/>
            <rFont val="Arial"/>
            <scheme val="minor"/>
          </rPr>
          <t>======
ID#AAAA21ciNhQ
Auteur importé    (2023-08-15 19:40:23)
Jospin
	-Eddy D.A.</t>
        </r>
      </text>
    </comment>
    <comment ref="U21" authorId="0" shapeId="0">
      <text>
        <r>
          <rPr>
            <sz val="10"/>
            <color rgb="FF000000"/>
            <rFont val="Arial"/>
            <scheme val="minor"/>
          </rPr>
          <t>======
ID#AAAA21ciNeQ
Auteur importé    (2023-08-15 19:40:23)
Jack Daniel's pour Karl et JK
	-Eddy D.A.</t>
        </r>
      </text>
    </comment>
    <comment ref="Y22" authorId="0" shapeId="0">
      <text>
        <r>
          <rPr>
            <sz val="10"/>
            <color rgb="FF000000"/>
            <rFont val="Arial"/>
            <scheme val="minor"/>
          </rPr>
          <t>======
ID#AAAA21ciNZ4
Auteur importé    (2023-08-15 19:40:23)
Camille
	-Eddy D.A.</t>
        </r>
      </text>
    </comment>
    <comment ref="H23" authorId="0" shapeId="0">
      <text>
        <r>
          <rPr>
            <sz val="10"/>
            <color rgb="FF000000"/>
            <rFont val="Arial"/>
            <scheme val="minor"/>
          </rPr>
          <t>======
ID#AAAA21ciNfc
Auteur importé    (2023-08-15 19:40:23)
Jeanne
	-Eddy D.A.</t>
        </r>
      </text>
    </comment>
    <comment ref="S23" authorId="0" shapeId="0">
      <text>
        <r>
          <rPr>
            <sz val="10"/>
            <color rgb="FF000000"/>
            <rFont val="Arial"/>
            <scheme val="minor"/>
          </rPr>
          <t>======
ID#AAAA21ciNYo
Auteur importé    (2023-08-15 19:40:23)
Jospin
	-Eddy D.A.</t>
        </r>
      </text>
    </comment>
    <comment ref="S24" authorId="0" shapeId="0">
      <text>
        <r>
          <rPr>
            <sz val="10"/>
            <color rgb="FF000000"/>
            <rFont val="Arial"/>
            <scheme val="minor"/>
          </rPr>
          <t>======
ID#AAAA21ciNcg
Auteur importé    (2023-08-15 19:40:23)
JK
	-Eddy D.A.</t>
        </r>
      </text>
    </comment>
    <comment ref="H25" authorId="0" shapeId="0">
      <text>
        <r>
          <rPr>
            <sz val="10"/>
            <color rgb="FF000000"/>
            <rFont val="Arial"/>
            <scheme val="minor"/>
          </rPr>
          <t>======
ID#AAAA21ciNYc
Auteur importé    (2023-08-15 19:40:23)
20 000 (Olivier)
30 000 (Adebayor Team)
	-Eddy D.A.</t>
        </r>
      </text>
    </comment>
    <comment ref="V27" authorId="0" shapeId="0">
      <text>
        <r>
          <rPr>
            <sz val="10"/>
            <color rgb="FF000000"/>
            <rFont val="Arial"/>
            <scheme val="minor"/>
          </rPr>
          <t>======
ID#AAAA21ciNWY
Auteur importé    (2023-08-15 19:40:23)
5 500 + Offre de 27 500 (1 Margarita + 2 Redbull + 3 Shishas) à Adebayor)
	-Eddy D.A.</t>
        </r>
      </text>
    </comment>
    <comment ref="Y28" authorId="0" shapeId="0">
      <text>
        <r>
          <rPr>
            <sz val="10"/>
            <color rgb="FF000000"/>
            <rFont val="Arial"/>
            <scheme val="minor"/>
          </rPr>
          <t>======
ID#AAAA21ciNUs
Auteur importé    (2023-08-15 19:40:23)
DJ Saad
	-Eddy D.A.</t>
        </r>
      </text>
    </comment>
    <comment ref="R29" authorId="0" shapeId="0">
      <text>
        <r>
          <rPr>
            <sz val="10"/>
            <color rgb="FF000000"/>
            <rFont val="Arial"/>
            <scheme val="minor"/>
          </rPr>
          <t>======
ID#AAAA21ciNaw
Auteur importé    (2023-08-15 19:40:23)
Mansour (1 Hennessy VSOP + 2 Redbull)
	-Eddy D.A.</t>
        </r>
      </text>
    </comment>
    <comment ref="Y29" authorId="0" shapeId="0">
      <text>
        <r>
          <rPr>
            <sz val="10"/>
            <color rgb="FF000000"/>
            <rFont val="Arial"/>
            <scheme val="minor"/>
          </rPr>
          <t>======
ID#AAAA21ciNcU
Auteur importé    (2023-08-15 19:40:23)
Camille
	-Eddy D.A.</t>
        </r>
      </text>
    </comment>
    <comment ref="V30" authorId="0" shapeId="0">
      <text>
        <r>
          <rPr>
            <sz val="10"/>
            <color rgb="FF000000"/>
            <rFont val="Arial"/>
            <scheme val="minor"/>
          </rPr>
          <t>======
ID#AAAA21ciNYw
Auteur importé    (2023-08-15 19:40:23)
4 000 + Offre salle: 4 Tequila rails
	-Eddy D.A.</t>
        </r>
      </text>
    </comment>
    <comment ref="S31" authorId="0" shapeId="0">
      <text>
        <r>
          <rPr>
            <sz val="10"/>
            <color rgb="FF000000"/>
            <rFont val="Arial"/>
            <scheme val="minor"/>
          </rPr>
          <t>======
ID#AAAA21ciNa4
Auteur importé    (2023-08-15 19:40:23)
Marc
	-Eddy D.A.</t>
        </r>
      </text>
    </comment>
    <comment ref="V31" authorId="0" shapeId="0">
      <text>
        <r>
          <rPr>
            <sz val="10"/>
            <color rgb="FF000000"/>
            <rFont val="Arial"/>
            <scheme val="minor"/>
          </rPr>
          <t>======
ID#AAAA21ciNiY
Auteur importé    (2023-08-15 19:40:23)
3 500 + 20 000 (2 Tequila Rails pour salle)
	-Eddy D.A.</t>
        </r>
      </text>
    </comment>
    <comment ref="S32" authorId="0" shapeId="0">
      <text>
        <r>
          <rPr>
            <sz val="10"/>
            <color rgb="FF000000"/>
            <rFont val="Arial"/>
            <scheme val="minor"/>
          </rPr>
          <t>======
ID#AAAA21ciNXQ
Auteur importé    (2023-08-15 19:40:23)
Ornella
	-Eddy D.A.</t>
        </r>
      </text>
    </comment>
    <comment ref="Y32" authorId="0" shapeId="0">
      <text>
        <r>
          <rPr>
            <sz val="10"/>
            <color rgb="FF000000"/>
            <rFont val="Arial"/>
            <scheme val="minor"/>
          </rPr>
          <t>======
ID#AAAA21ciNWE
Auteur importé    (2023-08-15 19:40:23)
Team JK + Lollicue
	-Eddy D.A.</t>
        </r>
      </text>
    </comment>
    <comment ref="AM32" authorId="0" shapeId="0">
      <text>
        <r>
          <rPr>
            <sz val="10"/>
            <color rgb="FF000000"/>
            <rFont val="Arial"/>
            <scheme val="minor"/>
          </rPr>
          <t>======
ID#AAAA21ciNhU
Auteur importé    (2023-08-15 19:40:23)
1 Maison Castel Anniversaire Juliette
	-Eddy D.A.</t>
        </r>
      </text>
    </comment>
  </commentList>
  <extLst>
    <ext xmlns:r="http://schemas.openxmlformats.org/officeDocument/2006/relationships" uri="GoogleSheetsCustomDataVersion2">
      <go:sheetsCustomData xmlns:go="http://customooxmlschemas.google.com/" r:id="rId1" roundtripDataSignature="AMtx7miAH1draU1pOGrhWWzeqP6Ek5q9eQ=="/>
    </ext>
  </extLst>
</comments>
</file>

<file path=xl/comments6.xml><?xml version="1.0" encoding="utf-8"?>
<comments xmlns="http://schemas.openxmlformats.org/spreadsheetml/2006/main">
  <authors>
    <author/>
  </authors>
  <commentList>
    <comment ref="S3" authorId="0" shapeId="0">
      <text>
        <r>
          <rPr>
            <sz val="10"/>
            <color rgb="FF000000"/>
            <rFont val="Arial"/>
            <scheme val="minor"/>
          </rPr>
          <t>======
ID#AAAA21ciNh0
Auteur importé    (2023-08-15 19:40:23)
Jospin
	-Eddy D.A.</t>
        </r>
      </text>
    </comment>
    <comment ref="H4" authorId="0" shapeId="0">
      <text>
        <r>
          <rPr>
            <sz val="10"/>
            <color rgb="FF000000"/>
            <rFont val="Arial"/>
            <scheme val="minor"/>
          </rPr>
          <t>======
ID#AAAA21ciNhc
Auteur importé    (2023-08-15 19:40:23)
Différence paiement facture HS/A
	-Eddy D.A.</t>
        </r>
      </text>
    </comment>
    <comment ref="S4" authorId="0" shapeId="0">
      <text>
        <r>
          <rPr>
            <sz val="10"/>
            <color rgb="FF000000"/>
            <rFont val="Arial"/>
            <scheme val="minor"/>
          </rPr>
          <t>======
ID#AAAA21ciNiE
Auteur importé    (2023-08-15 19:40:23)
JK
	-Eddy D.A.</t>
        </r>
      </text>
    </comment>
    <comment ref="Y4" authorId="0" shapeId="0">
      <text>
        <r>
          <rPr>
            <sz val="10"/>
            <color rgb="FF000000"/>
            <rFont val="Arial"/>
            <scheme val="minor"/>
          </rPr>
          <t>======
ID#AAAA21ciNho
Auteur importé    (2023-08-15 19:40:23)
Aren B
	-Eddy D.A.</t>
        </r>
      </text>
    </comment>
    <comment ref="S5" authorId="0" shapeId="0">
      <text>
        <r>
          <rPr>
            <sz val="10"/>
            <color rgb="FF000000"/>
            <rFont val="Arial"/>
            <scheme val="minor"/>
          </rPr>
          <t>======
ID#AAAA21ciNb4
Auteur importé    (2023-08-15 19:40:23)
Seck Karaoké
	-Eddy D.A.</t>
        </r>
      </text>
    </comment>
    <comment ref="Y5" authorId="0" shapeId="0">
      <text>
        <r>
          <rPr>
            <sz val="10"/>
            <color rgb="FF000000"/>
            <rFont val="Arial"/>
            <scheme val="minor"/>
          </rPr>
          <t>======
ID#AAAA21ciNgI
Auteur importé    (2023-08-15 19:40:23)
Camille
	-Eddy D.A.</t>
        </r>
      </text>
    </comment>
    <comment ref="V7" authorId="0" shapeId="0">
      <text>
        <r>
          <rPr>
            <sz val="10"/>
            <color rgb="FF000000"/>
            <rFont val="Arial"/>
            <scheme val="minor"/>
          </rPr>
          <t>======
ID#AAAA21ciNe8
Auteur importé    (2023-08-15 19:40:23)
Dont offre à Young Farril = 6000
	-Eddy D.A.</t>
        </r>
      </text>
    </comment>
  </commentList>
  <extLst>
    <ext xmlns:r="http://schemas.openxmlformats.org/officeDocument/2006/relationships" uri="GoogleSheetsCustomDataVersion2">
      <go:sheetsCustomData xmlns:go="http://customooxmlschemas.google.com/" r:id="rId1" roundtripDataSignature="AMtx7mjAec6DDADic8bbPOzJ67EooLCLIw=="/>
    </ext>
  </extLst>
</comments>
</file>

<file path=xl/comments7.xml><?xml version="1.0" encoding="utf-8"?>
<comments xmlns="http://schemas.openxmlformats.org/spreadsheetml/2006/main">
  <authors>
    <author/>
  </authors>
  <commentList>
    <comment ref="D45" authorId="0" shapeId="0">
      <text>
        <r>
          <rPr>
            <sz val="10"/>
            <color rgb="FF000000"/>
            <rFont val="Arial"/>
            <scheme val="minor"/>
          </rPr>
          <t>======
ID#AAAA21ciNZM
Auteur importé    (2023-08-15 19:40:23)
Payé par le Picasso
	-Latif Adeothy</t>
        </r>
      </text>
    </comment>
    <comment ref="F54" authorId="0" shapeId="0">
      <text>
        <r>
          <rPr>
            <sz val="10"/>
            <color rgb="FF000000"/>
            <rFont val="Arial"/>
            <scheme val="minor"/>
          </rPr>
          <t>======
ID#AAAA21ciNVk
Auteur importé    (2023-08-15 19:40:23)
Tonio
	-Eddy D.A.</t>
        </r>
      </text>
    </comment>
    <comment ref="H54" authorId="0" shapeId="0">
      <text>
        <r>
          <rPr>
            <sz val="10"/>
            <color rgb="FF000000"/>
            <rFont val="Arial"/>
            <scheme val="minor"/>
          </rPr>
          <t>======
ID#AAAA21ciNgQ
Auteur importé    (2023-08-15 19:40:23)
Thierry
	-Eddy D.A.</t>
        </r>
      </text>
    </comment>
    <comment ref="A61" authorId="0" shapeId="0">
      <text>
        <r>
          <rPr>
            <sz val="10"/>
            <color rgb="FF000000"/>
            <rFont val="Arial"/>
            <scheme val="minor"/>
          </rPr>
          <t>======
ID#AAAA21ciNX0
Auteur importé    (2023-08-15 19:40:23)
- Team DRINK 
- Team EAT
- Team SMOKE
	-Latif Adeothy</t>
        </r>
      </text>
    </comment>
  </commentList>
  <extLst>
    <ext xmlns:r="http://schemas.openxmlformats.org/officeDocument/2006/relationships" uri="GoogleSheetsCustomDataVersion2">
      <go:sheetsCustomData xmlns:go="http://customooxmlschemas.google.com/" r:id="rId1" roundtripDataSignature="AMtx7mhmvQzhF+4Lsd13Dn8C4aCNhAs35g=="/>
    </ext>
  </extLst>
</comments>
</file>

<file path=xl/comments8.xml><?xml version="1.0" encoding="utf-8"?>
<comments xmlns="http://schemas.openxmlformats.org/spreadsheetml/2006/main">
  <authors>
    <author/>
  </authors>
  <commentList>
    <comment ref="BI1" authorId="0" shapeId="0">
      <text>
        <r>
          <rPr>
            <sz val="10"/>
            <color rgb="FF000000"/>
            <rFont val="Arial"/>
            <scheme val="minor"/>
          </rPr>
          <t>======
ID#AAAA21ciNX0
Auteur importé    (2023-08-15 19:40:23)
- Team DRINK 
- Team EAT
- Team SMOKE
	-Latif Adeothy</t>
        </r>
      </text>
    </comment>
    <comment ref="AS4" authorId="0" shapeId="0">
      <text>
        <r>
          <rPr>
            <sz val="10"/>
            <color rgb="FF000000"/>
            <rFont val="Arial"/>
            <scheme val="minor"/>
          </rPr>
          <t>======
ID#AAAA21ciNZM
Auteur importé    (2023-08-15 19:40:23)
Payé par le Picasso
	-Latif Adeothy</t>
        </r>
      </text>
    </comment>
    <comment ref="BB6" authorId="0" shapeId="0">
      <text>
        <r>
          <rPr>
            <sz val="10"/>
            <color rgb="FF000000"/>
            <rFont val="Arial"/>
            <scheme val="minor"/>
          </rPr>
          <t>======
ID#AAAA21ciNVk
Auteur importé    (2023-08-15 19:40:23)
Tonio
	-Eddy D.A.</t>
        </r>
      </text>
    </comment>
    <comment ref="BB8" authorId="0" shapeId="0">
      <text>
        <r>
          <rPr>
            <sz val="10"/>
            <color rgb="FF000000"/>
            <rFont val="Arial"/>
            <scheme val="minor"/>
          </rPr>
          <t>======
ID#AAAA21ciNgQ
Auteur importé    (2023-08-15 19:40:23)
Thierry
	-Eddy D.A.</t>
        </r>
      </text>
    </comment>
  </commentList>
</comments>
</file>

<file path=xl/sharedStrings.xml><?xml version="1.0" encoding="utf-8"?>
<sst xmlns="http://schemas.openxmlformats.org/spreadsheetml/2006/main" count="988" uniqueCount="280">
  <si>
    <t>Analyse des comptes</t>
  </si>
  <si>
    <t>Historique</t>
  </si>
  <si>
    <t>Avril</t>
  </si>
  <si>
    <t>Mai</t>
  </si>
  <si>
    <t>Juin</t>
  </si>
  <si>
    <t>Juillet</t>
  </si>
  <si>
    <t>Aout</t>
  </si>
  <si>
    <t>Septembre</t>
  </si>
  <si>
    <t>Octobre</t>
  </si>
  <si>
    <t>Novembre</t>
  </si>
  <si>
    <t>Compte de resultat</t>
  </si>
  <si>
    <t>Chiffre d'affaires</t>
  </si>
  <si>
    <t>Var%</t>
  </si>
  <si>
    <t>Coûts des produits vendus</t>
  </si>
  <si>
    <t>Marge brute</t>
  </si>
  <si>
    <t>Cachet</t>
  </si>
  <si>
    <t>Cash Power</t>
  </si>
  <si>
    <t>Marketing et Administration</t>
  </si>
  <si>
    <t>Charges du personnel</t>
  </si>
  <si>
    <t>Autres</t>
  </si>
  <si>
    <t>OPEX</t>
  </si>
  <si>
    <t>Resultat d'exploitation</t>
  </si>
  <si>
    <t>Charges d'interets</t>
  </si>
  <si>
    <t>Resultat avant Impôts</t>
  </si>
  <si>
    <t>Taxes</t>
  </si>
  <si>
    <t>Resultat net comptable</t>
  </si>
  <si>
    <t>Flux de tresorerie</t>
  </si>
  <si>
    <t>Flux d'exploitation</t>
  </si>
  <si>
    <t>Tresorerie net d'exploitation</t>
  </si>
  <si>
    <t/>
  </si>
  <si>
    <t>Flux d'investissement</t>
  </si>
  <si>
    <t>Travaux et equipements</t>
  </si>
  <si>
    <t>Tresorerie net d'investissement</t>
  </si>
  <si>
    <t>Resultat net</t>
  </si>
  <si>
    <t>Variation de la Caisse</t>
  </si>
  <si>
    <t>Working Capital</t>
  </si>
  <si>
    <t>Trésorerie, Fin de Mois</t>
  </si>
  <si>
    <t>Visualisation</t>
  </si>
  <si>
    <t>Répartition CA</t>
  </si>
  <si>
    <t>Montant</t>
  </si>
  <si>
    <t>%</t>
  </si>
  <si>
    <t>DRINK</t>
  </si>
  <si>
    <t>EAT</t>
  </si>
  <si>
    <t>SMOKE</t>
  </si>
  <si>
    <t>TOTAL</t>
  </si>
  <si>
    <t>Ratio</t>
  </si>
  <si>
    <t>Opex ratio</t>
  </si>
  <si>
    <t>Profitabilité</t>
  </si>
  <si>
    <t>Supporting schedule</t>
  </si>
  <si>
    <t>Répartition du CA inital</t>
  </si>
  <si>
    <t>CA DRINK</t>
  </si>
  <si>
    <t>CA EAT</t>
  </si>
  <si>
    <t>CA SMOKE</t>
  </si>
  <si>
    <t>CA TOTAL</t>
  </si>
  <si>
    <t>Répartition du CA corrigé</t>
  </si>
  <si>
    <t>Repartition des charges indirectes</t>
  </si>
  <si>
    <t>Marge brute totale</t>
  </si>
  <si>
    <t>Ratio globale</t>
  </si>
  <si>
    <t>%Marge brute</t>
  </si>
  <si>
    <t>Opex</t>
  </si>
  <si>
    <t>%Opex</t>
  </si>
  <si>
    <t>TOTAL BIERES</t>
  </si>
  <si>
    <t>TOTAL ACCOMPAGNEMENTS</t>
  </si>
  <si>
    <t>CHAMPAGNES</t>
  </si>
  <si>
    <t>TOTAL BURGERS AND SANDWICHES</t>
  </si>
  <si>
    <t>CHICHA</t>
  </si>
  <si>
    <t>TOTAL CHAMPAGNES</t>
  </si>
  <si>
    <t>COGNAC</t>
  </si>
  <si>
    <t>TOTAL CHICHA</t>
  </si>
  <si>
    <t>SOFTS</t>
  </si>
  <si>
    <t>TOTAL COCKTAILS ALCOLISES</t>
  </si>
  <si>
    <t>WHISKY</t>
  </si>
  <si>
    <t>TOTAL COCKTAILS NON ALCOLISES</t>
  </si>
  <si>
    <t>BIERES</t>
  </si>
  <si>
    <t>TOTAL COGNAC</t>
  </si>
  <si>
    <t>COCKTAILS ALCOLISES</t>
  </si>
  <si>
    <t>TOTAL DESSERTS</t>
  </si>
  <si>
    <t>GASTRONOMIE AFRICAINE</t>
  </si>
  <si>
    <t>TOTAL EFFERVESCENT</t>
  </si>
  <si>
    <t>SHOTS ET DIGESTIF</t>
  </si>
  <si>
    <t>TOTAL GASTRONOMIE AFRICAINE</t>
  </si>
  <si>
    <t>PLATS</t>
  </si>
  <si>
    <t>TOTAL GIN</t>
  </si>
  <si>
    <t>BURGERS AND SANDWICHES</t>
  </si>
  <si>
    <t>TOTAL PASTAS</t>
  </si>
  <si>
    <t>VIN BLANC</t>
  </si>
  <si>
    <t>TOTAL PLATS</t>
  </si>
  <si>
    <t>EFFERVESCENT</t>
  </si>
  <si>
    <t>TOTAL RHUM</t>
  </si>
  <si>
    <t>COCKTAILS NON ALCOLISES</t>
  </si>
  <si>
    <t>TOTAL SALADES</t>
  </si>
  <si>
    <t>VIN ROSEE</t>
  </si>
  <si>
    <t>TOTAL SHOTS ET DIGESTIF</t>
  </si>
  <si>
    <t>TAPAS</t>
  </si>
  <si>
    <t>TOTAL SOFTS</t>
  </si>
  <si>
    <t>VIN ROUGE</t>
  </si>
  <si>
    <t>TOTAL SPECIALITES MAISON</t>
  </si>
  <si>
    <t>VODKA</t>
  </si>
  <si>
    <t>TOTAL TAPAS</t>
  </si>
  <si>
    <t>RHUM</t>
  </si>
  <si>
    <t>TOTAL VIN BLANC</t>
  </si>
  <si>
    <t>PASTAS</t>
  </si>
  <si>
    <t>TOTAL VIN ROSEE</t>
  </si>
  <si>
    <t>SALADES</t>
  </si>
  <si>
    <t>TOTAL VIN ROUGE</t>
  </si>
  <si>
    <t>ACCOMPAGNEMENTS</t>
  </si>
  <si>
    <t>TOTAL VODKA</t>
  </si>
  <si>
    <t>GIN</t>
  </si>
  <si>
    <t>TOTAL WHISKY</t>
  </si>
  <si>
    <t>DESSERTS</t>
  </si>
  <si>
    <t>total</t>
  </si>
  <si>
    <t>offre</t>
  </si>
  <si>
    <t>injustifié</t>
  </si>
  <si>
    <t>total corrigé</t>
  </si>
  <si>
    <t>Valeur relative injusifié</t>
  </si>
  <si>
    <t>JOURS</t>
  </si>
  <si>
    <t>CAISSE</t>
  </si>
  <si>
    <t>GAZ</t>
  </si>
  <si>
    <t xml:space="preserve">MIAMI 228 </t>
  </si>
  <si>
    <t>PICASSO</t>
  </si>
  <si>
    <t>GLACONS</t>
  </si>
  <si>
    <t>MONNAIE</t>
  </si>
  <si>
    <t>CACHETS</t>
  </si>
  <si>
    <t>MARKETING</t>
  </si>
  <si>
    <t>CASH POWER</t>
  </si>
  <si>
    <t>CREDIT TEL</t>
  </si>
  <si>
    <t>INTERNET / TV</t>
  </si>
  <si>
    <t>LOYERS</t>
  </si>
  <si>
    <t>ADMINISTRATIF</t>
  </si>
  <si>
    <t>CONSOMMABLES</t>
  </si>
  <si>
    <t xml:space="preserve">ENTRETIEN </t>
  </si>
  <si>
    <t>TRANSPORT</t>
  </si>
  <si>
    <t>AUTRE</t>
  </si>
  <si>
    <t>EQUIPEMENTS</t>
  </si>
  <si>
    <t>TRAVAUX</t>
  </si>
  <si>
    <t xml:space="preserve">TOTAL DEPENSES </t>
  </si>
  <si>
    <t xml:space="preserve">AVRIL </t>
  </si>
  <si>
    <t>Vendredi</t>
  </si>
  <si>
    <t>samedi</t>
  </si>
  <si>
    <t>dimanche</t>
  </si>
  <si>
    <t>lundi</t>
  </si>
  <si>
    <t>mardi</t>
  </si>
  <si>
    <t>mercredi</t>
  </si>
  <si>
    <t>jeudi</t>
  </si>
  <si>
    <t>vendredi</t>
  </si>
  <si>
    <t xml:space="preserve">Totaux </t>
  </si>
  <si>
    <t>MAI</t>
  </si>
  <si>
    <t>Evol vs M-1</t>
  </si>
  <si>
    <t>JUIN</t>
  </si>
  <si>
    <t>Mardi</t>
  </si>
  <si>
    <t>JUILLET</t>
  </si>
  <si>
    <t>AOUT</t>
  </si>
  <si>
    <t xml:space="preserve">Date </t>
  </si>
  <si>
    <t xml:space="preserve">Vente cash </t>
  </si>
  <si>
    <t>T-MONEY</t>
  </si>
  <si>
    <t>TPE</t>
  </si>
  <si>
    <t xml:space="preserve">GOZEM </t>
  </si>
  <si>
    <t>CA</t>
  </si>
  <si>
    <t>ACHATS</t>
  </si>
  <si>
    <t>Restant Logique</t>
  </si>
  <si>
    <t>Prélèvements cash</t>
  </si>
  <si>
    <t xml:space="preserve">Diférentiel cash </t>
  </si>
  <si>
    <t>Cash Cumulé</t>
  </si>
  <si>
    <t>CREDIT-OFFRE</t>
  </si>
  <si>
    <t>EDDY</t>
  </si>
  <si>
    <t>HADI</t>
  </si>
  <si>
    <t>LATIF</t>
  </si>
  <si>
    <t>TABOO ED</t>
  </si>
  <si>
    <t xml:space="preserve">TABOO HW </t>
  </si>
  <si>
    <t xml:space="preserve">TABOO LA </t>
  </si>
  <si>
    <t>JOHNNY</t>
  </si>
  <si>
    <t xml:space="preserve">MICKAELA </t>
  </si>
  <si>
    <t>PERSONNEL (-50%)</t>
  </si>
  <si>
    <t xml:space="preserve">DJ GUEST </t>
  </si>
  <si>
    <t>CONSO DJ</t>
  </si>
  <si>
    <t>Caissiers</t>
  </si>
  <si>
    <t>Consos Avril</t>
  </si>
  <si>
    <t>ACHATS PRODUITS</t>
  </si>
  <si>
    <t>MARGE BRUTE</t>
  </si>
  <si>
    <t>Tx MARGE BRUTE</t>
  </si>
  <si>
    <t>CAPEX</t>
  </si>
  <si>
    <t>MARGE NETTE</t>
  </si>
  <si>
    <t>Tx MARGE NETTE</t>
  </si>
  <si>
    <t xml:space="preserve">Coût MO </t>
  </si>
  <si>
    <t>Résultal Net</t>
  </si>
  <si>
    <t>Rentabilité Nette</t>
  </si>
  <si>
    <t>Conso Avril</t>
  </si>
  <si>
    <t>Conso Mai</t>
  </si>
  <si>
    <t xml:space="preserve">Sou-total </t>
  </si>
  <si>
    <t>Coût MO</t>
  </si>
  <si>
    <t>Jours</t>
  </si>
  <si>
    <t>T-MONEY/FLOOZ</t>
  </si>
  <si>
    <t>Restant logique</t>
  </si>
  <si>
    <t xml:space="preserve">Différentiel cash </t>
  </si>
  <si>
    <t>Cash cumulé</t>
  </si>
  <si>
    <t>YVES</t>
  </si>
  <si>
    <t>BAR</t>
  </si>
  <si>
    <t xml:space="preserve">GUESTS </t>
  </si>
  <si>
    <t>DJ DESMO</t>
  </si>
  <si>
    <t>JUSTIN</t>
  </si>
  <si>
    <t>CHRIS</t>
  </si>
  <si>
    <t>JOSIAS</t>
  </si>
  <si>
    <t>DJ VANS</t>
  </si>
  <si>
    <t>ELOM</t>
  </si>
  <si>
    <t>GUILLAUME</t>
  </si>
  <si>
    <t>BRICE</t>
  </si>
  <si>
    <t>BOSCO</t>
  </si>
  <si>
    <t>JEAN-EUDE</t>
  </si>
  <si>
    <t>SHALOM</t>
  </si>
  <si>
    <t>ELECTRO</t>
  </si>
  <si>
    <t>DJ CLAUDE</t>
  </si>
  <si>
    <t>EMMANUEL</t>
  </si>
  <si>
    <t>Jeudi</t>
  </si>
  <si>
    <t>Conso Juin</t>
  </si>
  <si>
    <t>% OPEX / CA</t>
  </si>
  <si>
    <t>Coût M.O</t>
  </si>
  <si>
    <t>% M.O / CA</t>
  </si>
  <si>
    <t>TOTAL CHARGES</t>
  </si>
  <si>
    <t>JULIETTE</t>
  </si>
  <si>
    <t>Conso Juillet</t>
  </si>
  <si>
    <t xml:space="preserve">Total </t>
  </si>
  <si>
    <t>A distribuer</t>
  </si>
  <si>
    <t>Conso Aout</t>
  </si>
  <si>
    <t>STAFF</t>
  </si>
  <si>
    <t>SEPTEMBRE</t>
  </si>
  <si>
    <t>OCTOBRE</t>
  </si>
  <si>
    <t>NOVEMBRE</t>
  </si>
  <si>
    <t>DÉCEMBRE</t>
  </si>
  <si>
    <t>JANVIER</t>
  </si>
  <si>
    <t xml:space="preserve">SERVEURS </t>
  </si>
  <si>
    <t xml:space="preserve">BARAGBON AFI SHALOM </t>
  </si>
  <si>
    <t>GADO RAISSA</t>
  </si>
  <si>
    <t>Démission</t>
  </si>
  <si>
    <t xml:space="preserve">HOLONOU JULIETTE </t>
  </si>
  <si>
    <t>HOUNKPATI AFINE GISLAINE</t>
  </si>
  <si>
    <t>KPANOUGOU S B BARETIDINE (JEANNE)</t>
  </si>
  <si>
    <t>ADAMA-BIASSI GRACIO</t>
  </si>
  <si>
    <t>AGBOH KOFFI JEAN EUDES</t>
  </si>
  <si>
    <t>SECURITÉS</t>
  </si>
  <si>
    <t xml:space="preserve">AMETEPE YAO </t>
  </si>
  <si>
    <t>NADJOMBE BOGONOU (JULES)</t>
  </si>
  <si>
    <t>MOUZOU AKLESSO (OLIVIER)</t>
  </si>
  <si>
    <t>AGENT DE SÉCURITÉ PARKING/GARDIENNAGE</t>
  </si>
  <si>
    <t>SHISHA</t>
  </si>
  <si>
    <t>KOSSI AYEM BRICE</t>
  </si>
  <si>
    <t xml:space="preserve">ASSEM KOSSI ELOM </t>
  </si>
  <si>
    <t xml:space="preserve">BARMEN </t>
  </si>
  <si>
    <t xml:space="preserve">DOH CHRIS ANDERSON </t>
  </si>
  <si>
    <t>YEVU KODJO GUILLAUME</t>
  </si>
  <si>
    <t xml:space="preserve">CUISINE </t>
  </si>
  <si>
    <t>MEGBENOU MICHELANGE (PLONGE)</t>
  </si>
  <si>
    <t>Licencié</t>
  </si>
  <si>
    <t xml:space="preserve">AMETEPE EXPEDIT </t>
  </si>
  <si>
    <t xml:space="preserve">DEGBE HYPPOLYTE </t>
  </si>
  <si>
    <t xml:space="preserve">TOSSOU KD BOSCO </t>
  </si>
  <si>
    <t>AMOUZOU DADOHOIN (MABELLE)</t>
  </si>
  <si>
    <t xml:space="preserve">CAISSE </t>
  </si>
  <si>
    <t xml:space="preserve">OLADE EMMANUEL </t>
  </si>
  <si>
    <t xml:space="preserve">EKLOU KOSSIVI MAWOUENA JUSTIN </t>
  </si>
  <si>
    <t xml:space="preserve">DJ </t>
  </si>
  <si>
    <t>ALANDE DESIRE (DJ DESMO)</t>
  </si>
  <si>
    <t>MANAGERS</t>
  </si>
  <si>
    <t xml:space="preserve">DOSSAVI JOHNNY </t>
  </si>
  <si>
    <t xml:space="preserve">SERRAGO MICHELLA </t>
  </si>
  <si>
    <t>ÉQUIPE RICO</t>
  </si>
  <si>
    <t>SYLVAIN (FRIGORISTE)</t>
  </si>
  <si>
    <t>SUPPLÉMENTS</t>
  </si>
  <si>
    <t>JOHN (MR PROPRE)</t>
  </si>
  <si>
    <t xml:space="preserve">Libéré </t>
  </si>
  <si>
    <t>THIERRY (COURSIER)</t>
  </si>
  <si>
    <t>KOKOU (ÉLECTRICIEN)</t>
  </si>
  <si>
    <t>YVES/ESPOIR (GRAPHISTE)</t>
  </si>
  <si>
    <t xml:space="preserve">TOTAL </t>
  </si>
  <si>
    <t>Delta vs M-1</t>
  </si>
  <si>
    <t>Coût Main d'Oeuvre / CA (%)</t>
  </si>
  <si>
    <t>Coût MO Transversale</t>
  </si>
  <si>
    <t>Répartition du staff</t>
  </si>
  <si>
    <t xml:space="preserve">DRINK </t>
  </si>
  <si>
    <t>ChargePersonnel</t>
  </si>
  <si>
    <t>DateDebutMois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</si>
</sst>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0&quot;A&quot;"/>
    <numFmt numFmtId="165" formatCode="0&quot;E&quot;"/>
    <numFmt numFmtId="166" formatCode="#,##0_);\(#,##0\);\-"/>
    <numFmt numFmtId="167" formatCode="#,##0_);[Red]\(#,##0\);\-"/>
    <numFmt numFmtId="168" formatCode="_-* #,##0_-;\(#,##0\)_-;_-* &quot;-&quot;_-;_-@"/>
    <numFmt numFmtId="169" formatCode="&quot; &quot;* #,##0&quot;   &quot;;&quot;-&quot;* #,##0&quot;   &quot;;&quot; &quot;* &quot;-&quot;??&quot;   &quot;"/>
    <numFmt numFmtId="170" formatCode="d/m/yyyy"/>
    <numFmt numFmtId="171" formatCode="&quot; &quot;* #,##0&quot; &quot;;&quot;-&quot;* #,##0&quot; &quot;;&quot; &quot;* &quot;-&quot;??&quot; &quot;"/>
    <numFmt numFmtId="173" formatCode="dd\-mm\-yyyy"/>
  </numFmts>
  <fonts count="32" x14ac:knownFonts="1">
    <font>
      <sz val="10"/>
      <color rgb="FF000000"/>
      <name val="Arial"/>
      <scheme val="minor"/>
    </font>
    <font>
      <b/>
      <sz val="14"/>
      <color rgb="FFFFFFFF"/>
      <name val="Arial Narrow"/>
    </font>
    <font>
      <b/>
      <sz val="14"/>
      <color theme="0"/>
      <name val="Arial Narrow"/>
    </font>
    <font>
      <sz val="10"/>
      <name val="Arial"/>
    </font>
    <font>
      <b/>
      <sz val="11"/>
      <color theme="1"/>
      <name val="Arial Narrow"/>
    </font>
    <font>
      <sz val="11"/>
      <color theme="1"/>
      <name val="Arial Narrow"/>
    </font>
    <font>
      <b/>
      <sz val="12"/>
      <color theme="1"/>
      <name val="Arial Narrow"/>
    </font>
    <font>
      <b/>
      <sz val="11"/>
      <color rgb="FF0000FF"/>
      <name val="Arial Narrow"/>
    </font>
    <font>
      <sz val="9"/>
      <color theme="1"/>
      <name val="Arial Narrow"/>
    </font>
    <font>
      <b/>
      <sz val="9"/>
      <color rgb="FF3A3838"/>
      <name val="Arial Narrow"/>
    </font>
    <font>
      <sz val="12"/>
      <color theme="1"/>
      <name val="Arial Narrow"/>
    </font>
    <font>
      <sz val="11"/>
      <color rgb="FF0000FF"/>
      <name val="Arial Narrow"/>
    </font>
    <font>
      <b/>
      <sz val="11"/>
      <color theme="1"/>
      <name val="Arial"/>
    </font>
    <font>
      <sz val="10"/>
      <color theme="1"/>
      <name val="Arial"/>
    </font>
    <font>
      <sz val="10"/>
      <color theme="1"/>
      <name val="Arial"/>
      <scheme val="minor"/>
    </font>
    <font>
      <sz val="11"/>
      <color theme="1"/>
      <name val="Arial"/>
    </font>
    <font>
      <b/>
      <sz val="10"/>
      <color theme="1"/>
      <name val="Arial"/>
    </font>
    <font>
      <sz val="12"/>
      <color theme="1"/>
      <name val="Arial"/>
    </font>
    <font>
      <b/>
      <sz val="11"/>
      <color theme="0"/>
      <name val="Arial"/>
    </font>
    <font>
      <b/>
      <sz val="11"/>
      <color rgb="FF000000"/>
      <name val="Calibri"/>
    </font>
    <font>
      <sz val="11"/>
      <color rgb="FF000000"/>
      <name val="Calibri"/>
    </font>
    <font>
      <b/>
      <sz val="12"/>
      <color rgb="FFFF00FF"/>
      <name val="Calibri"/>
    </font>
    <font>
      <sz val="12"/>
      <color rgb="FFFF00FF"/>
      <name val="Calibri"/>
    </font>
    <font>
      <sz val="11"/>
      <color rgb="FF008080"/>
      <name val="Calibri"/>
    </font>
    <font>
      <sz val="11"/>
      <color rgb="FFFF00FF"/>
      <name val="Calibri"/>
    </font>
    <font>
      <i/>
      <sz val="10"/>
      <color rgb="FF000000"/>
      <name val="Calibri"/>
    </font>
    <font>
      <b/>
      <sz val="12"/>
      <color rgb="FF000000"/>
      <name val="Calibri"/>
    </font>
    <font>
      <b/>
      <sz val="11"/>
      <color rgb="FF008080"/>
      <name val="Calibri"/>
    </font>
    <font>
      <b/>
      <i/>
      <sz val="10"/>
      <color rgb="FF000000"/>
      <name val="Calibri"/>
    </font>
    <font>
      <b/>
      <sz val="11"/>
      <color rgb="FFFF00FF"/>
      <name val="Calibri"/>
    </font>
    <font>
      <b/>
      <i/>
      <sz val="11"/>
      <color rgb="FF000000"/>
      <name val="Calibri"/>
    </font>
    <font>
      <i/>
      <sz val="11"/>
      <color rgb="FF000000"/>
      <name val="Calibri"/>
    </font>
  </fonts>
  <fills count="35">
    <fill>
      <patternFill patternType="none"/>
    </fill>
    <fill>
      <patternFill patternType="gray125"/>
    </fill>
    <fill>
      <patternFill patternType="solid">
        <fgColor rgb="FF7030A0"/>
        <bgColor rgb="FF7030A0"/>
      </patternFill>
    </fill>
    <fill>
      <patternFill patternType="solid">
        <fgColor rgb="FF1E8496"/>
        <bgColor rgb="FF1E8496"/>
      </patternFill>
    </fill>
    <fill>
      <patternFill patternType="solid">
        <fgColor rgb="FF1F3864"/>
        <bgColor rgb="FF1F3864"/>
      </patternFill>
    </fill>
    <fill>
      <patternFill patternType="solid">
        <fgColor rgb="FF0070C0"/>
        <bgColor rgb="FF0070C0"/>
      </patternFill>
    </fill>
    <fill>
      <patternFill patternType="solid">
        <fgColor rgb="FFFEF2CB"/>
        <bgColor rgb="FFFEF2CB"/>
      </patternFill>
    </fill>
    <fill>
      <patternFill patternType="solid">
        <fgColor rgb="FFFFD965"/>
        <bgColor rgb="FFFFD965"/>
      </patternFill>
    </fill>
    <fill>
      <patternFill patternType="solid">
        <fgColor rgb="FFA8D08D"/>
        <bgColor rgb="FFA8D08D"/>
      </patternFill>
    </fill>
    <fill>
      <patternFill patternType="solid">
        <fgColor rgb="FFF4B083"/>
        <bgColor rgb="FFF4B083"/>
      </patternFill>
    </fill>
    <fill>
      <patternFill patternType="solid">
        <fgColor rgb="FFDEEAF6"/>
        <bgColor rgb="FFDEEAF6"/>
      </patternFill>
    </fill>
    <fill>
      <patternFill patternType="solid">
        <fgColor rgb="FFE7E6E6"/>
        <bgColor rgb="FFE7E6E6"/>
      </patternFill>
    </fill>
    <fill>
      <patternFill patternType="solid">
        <fgColor rgb="FFADB9CA"/>
        <bgColor rgb="FFADB9CA"/>
      </patternFill>
    </fill>
    <fill>
      <patternFill patternType="solid">
        <fgColor rgb="FFF6F69E"/>
        <bgColor rgb="FFF6F69E"/>
      </patternFill>
    </fill>
    <fill>
      <patternFill patternType="solid">
        <fgColor rgb="FFFFFF00"/>
        <bgColor rgb="FFFFFF00"/>
      </patternFill>
    </fill>
    <fill>
      <patternFill patternType="solid">
        <fgColor theme="5"/>
        <bgColor theme="5"/>
      </patternFill>
    </fill>
    <fill>
      <patternFill patternType="solid">
        <fgColor theme="9"/>
        <bgColor theme="9"/>
      </patternFill>
    </fill>
    <fill>
      <patternFill patternType="solid">
        <fgColor rgb="FFFF0000"/>
        <bgColor rgb="FFFF0000"/>
      </patternFill>
    </fill>
    <fill>
      <patternFill patternType="solid">
        <fgColor rgb="FFFB99FB"/>
        <bgColor rgb="FFFB99FB"/>
      </patternFill>
    </fill>
    <fill>
      <patternFill patternType="solid">
        <fgColor rgb="FF800000"/>
        <bgColor rgb="FF800000"/>
      </patternFill>
    </fill>
    <fill>
      <patternFill patternType="solid">
        <fgColor rgb="FF00FFFF"/>
        <bgColor rgb="FF00FFFF"/>
      </patternFill>
    </fill>
    <fill>
      <patternFill patternType="solid">
        <fgColor rgb="FFFFFFCC"/>
        <bgColor rgb="FFFFFFCC"/>
      </patternFill>
    </fill>
    <fill>
      <patternFill patternType="solid">
        <fgColor rgb="FFCCFFFF"/>
        <bgColor rgb="FFCCFFFF"/>
      </patternFill>
    </fill>
    <fill>
      <patternFill patternType="solid">
        <fgColor rgb="FF660066"/>
        <bgColor rgb="FF660066"/>
      </patternFill>
    </fill>
    <fill>
      <patternFill patternType="solid">
        <fgColor rgb="FF008000"/>
        <bgColor rgb="FF008000"/>
      </patternFill>
    </fill>
    <fill>
      <patternFill patternType="solid">
        <fgColor rgb="FFFF8080"/>
        <bgColor rgb="FFFF8080"/>
      </patternFill>
    </fill>
    <fill>
      <patternFill patternType="solid">
        <fgColor rgb="FFC0C0C0"/>
        <bgColor rgb="FFC0C0C0"/>
      </patternFill>
    </fill>
    <fill>
      <patternFill patternType="solid">
        <fgColor rgb="FF000000"/>
        <bgColor rgb="FF000000"/>
      </patternFill>
    </fill>
    <fill>
      <patternFill patternType="solid">
        <fgColor rgb="FFFF00FF"/>
        <bgColor rgb="FFFF00FF"/>
      </patternFill>
    </fill>
    <fill>
      <patternFill patternType="solid">
        <fgColor rgb="FF008080"/>
        <bgColor rgb="FF008080"/>
      </patternFill>
    </fill>
    <fill>
      <patternFill patternType="solid">
        <fgColor rgb="FF0066CC"/>
        <bgColor rgb="FF0066CC"/>
      </patternFill>
    </fill>
    <fill>
      <patternFill patternType="solid">
        <fgColor rgb="FF000080"/>
        <bgColor rgb="FF000080"/>
      </patternFill>
    </fill>
    <fill>
      <patternFill patternType="solid">
        <fgColor rgb="FF800080"/>
        <bgColor rgb="FF800080"/>
      </patternFill>
    </fill>
    <fill>
      <patternFill patternType="solid">
        <fgColor rgb="FF808000"/>
        <bgColor rgb="FF808000"/>
      </patternFill>
    </fill>
    <fill>
      <patternFill patternType="solid">
        <fgColor rgb="FFCCCCFF"/>
        <bgColor rgb="FFCCCCFF"/>
      </patternFill>
    </fill>
  </fills>
  <borders count="14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style="thin">
        <color rgb="FF000000"/>
      </top>
      <bottom/>
      <diagonal/>
    </border>
    <border>
      <left/>
      <right/>
      <top style="thin">
        <color rgb="FF000000"/>
      </top>
      <bottom style="double">
        <color rgb="FF000000"/>
      </bottom>
      <diagonal/>
    </border>
    <border>
      <left/>
      <right/>
      <top/>
      <bottom style="double">
        <color rgb="FF000000"/>
      </bottom>
      <diagonal/>
    </border>
    <border>
      <left/>
      <right/>
      <top style="thin">
        <color rgb="FF000000"/>
      </top>
      <bottom style="thin">
        <color rgb="FF000000"/>
      </bottom>
      <diagonal/>
    </border>
    <border>
      <left/>
      <right/>
      <top/>
      <bottom style="double">
        <color rgb="FF000000"/>
      </bottom>
      <diagonal/>
    </border>
    <border>
      <left/>
      <right/>
      <top style="double">
        <color rgb="FF000000"/>
      </top>
      <bottom style="double">
        <color rgb="FF000000"/>
      </bottom>
      <diagonal/>
    </border>
    <border>
      <left style="thin">
        <color rgb="FF000000"/>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style="double">
        <color rgb="FF000000"/>
      </bottom>
      <diagonal/>
    </border>
    <border>
      <left style="thin">
        <color rgb="FF000000"/>
      </left>
      <right/>
      <top/>
      <bottom style="double">
        <color rgb="FF000000"/>
      </bottom>
      <diagonal/>
    </border>
    <border>
      <left style="thin">
        <color rgb="FF000000"/>
      </left>
      <right style="thin">
        <color rgb="FF000000"/>
      </right>
      <top/>
      <bottom style="double">
        <color rgb="FF000000"/>
      </bottom>
      <diagonal/>
    </border>
    <border>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double">
        <color rgb="FF000000"/>
      </bottom>
      <diagonal/>
    </border>
    <border>
      <left/>
      <right style="thin">
        <color rgb="FF000000"/>
      </right>
      <top style="double">
        <color rgb="FF000000"/>
      </top>
      <bottom style="double">
        <color rgb="FF000000"/>
      </bottom>
      <diagonal/>
    </border>
    <border>
      <left style="thin">
        <color rgb="FF000000"/>
      </left>
      <right/>
      <top style="double">
        <color rgb="FF000000"/>
      </top>
      <bottom style="double">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FF"/>
      </right>
      <top style="thin">
        <color rgb="FF0000FF"/>
      </top>
      <bottom style="thin">
        <color rgb="FF0000FF"/>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FF"/>
      </bottom>
      <diagonal/>
    </border>
    <border>
      <left style="medium">
        <color rgb="FF000000"/>
      </left>
      <right style="medium">
        <color rgb="FF000000"/>
      </right>
      <top style="thin">
        <color rgb="FF0000FF"/>
      </top>
      <bottom style="thick">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FF"/>
      </right>
      <top style="thin">
        <color rgb="FF0000FF"/>
      </top>
      <bottom style="thin">
        <color rgb="FF0000FF"/>
      </bottom>
      <diagonal/>
    </border>
    <border>
      <left style="thin">
        <color rgb="FF0000FF"/>
      </left>
      <right style="thin">
        <color rgb="FF0000FF"/>
      </right>
      <top style="thin">
        <color rgb="FF0000FF"/>
      </top>
      <bottom style="thin">
        <color rgb="FF0000FF"/>
      </bottom>
      <diagonal/>
    </border>
    <border>
      <left style="medium">
        <color rgb="FF000000"/>
      </left>
      <right style="medium">
        <color rgb="FF000000"/>
      </right>
      <top style="medium">
        <color rgb="FF000000"/>
      </top>
      <bottom style="thick">
        <color rgb="FF000000"/>
      </bottom>
      <diagonal/>
    </border>
    <border>
      <left style="medium">
        <color rgb="FF000000"/>
      </left>
      <right style="thin">
        <color rgb="FF000000"/>
      </right>
      <top style="medium">
        <color rgb="FF000000"/>
      </top>
      <bottom style="thick">
        <color rgb="FF000000"/>
      </bottom>
      <diagonal/>
    </border>
    <border>
      <left style="thin">
        <color rgb="FF000000"/>
      </left>
      <right style="thin">
        <color rgb="FF000000"/>
      </right>
      <top style="medium">
        <color rgb="FF000000"/>
      </top>
      <bottom style="thick">
        <color rgb="FF000000"/>
      </bottom>
      <diagonal/>
    </border>
    <border>
      <left style="thin">
        <color rgb="FF000000"/>
      </left>
      <right style="medium">
        <color rgb="FF000000"/>
      </right>
      <top style="thin">
        <color rgb="FF0000FF"/>
      </top>
      <bottom style="thick">
        <color rgb="FF000000"/>
      </bottom>
      <diagonal/>
    </border>
    <border>
      <left style="medium">
        <color rgb="FF000000"/>
      </left>
      <right style="thick">
        <color rgb="FF000000"/>
      </right>
      <top style="thin">
        <color rgb="FF0000FF"/>
      </top>
      <bottom style="thick">
        <color rgb="FF000000"/>
      </bottom>
      <diagonal/>
    </border>
    <border>
      <left style="thick">
        <color rgb="FF000000"/>
      </left>
      <right style="medium">
        <color rgb="FF000000"/>
      </right>
      <top style="thick">
        <color rgb="FF000000"/>
      </top>
      <bottom style="thick">
        <color rgb="FF000000"/>
      </bottom>
      <diagonal/>
    </border>
    <border>
      <left style="thin">
        <color rgb="FF000000"/>
      </left>
      <right style="medium">
        <color rgb="FF000000"/>
      </right>
      <top style="medium">
        <color rgb="FF000000"/>
      </top>
      <bottom style="thick">
        <color rgb="FF000000"/>
      </bottom>
      <diagonal/>
    </border>
    <border>
      <left style="thick">
        <color rgb="FF000000"/>
      </left>
      <right style="thin">
        <color rgb="FF0000FF"/>
      </right>
      <top style="thick">
        <color rgb="FF000000"/>
      </top>
      <bottom style="thin">
        <color rgb="FF0000FF"/>
      </bottom>
      <diagonal/>
    </border>
    <border>
      <left style="thin">
        <color rgb="FF0000FF"/>
      </left>
      <right style="thin">
        <color rgb="FF0000FF"/>
      </right>
      <top style="thick">
        <color rgb="FF000000"/>
      </top>
      <bottom style="thin">
        <color rgb="FF0000FF"/>
      </bottom>
      <diagonal/>
    </border>
    <border>
      <left style="thin">
        <color rgb="FF0000FF"/>
      </left>
      <right style="thin">
        <color rgb="FF0000FF"/>
      </right>
      <top style="thick">
        <color rgb="FF000000"/>
      </top>
      <bottom/>
      <diagonal/>
    </border>
    <border>
      <left style="thin">
        <color rgb="FF0000FF"/>
      </left>
      <right style="thick">
        <color rgb="FF000000"/>
      </right>
      <top style="thick">
        <color rgb="FF000000"/>
      </top>
      <bottom style="thin">
        <color rgb="FF0000FF"/>
      </bottom>
      <diagonal/>
    </border>
    <border>
      <left style="thick">
        <color rgb="FF000000"/>
      </left>
      <right style="thin">
        <color rgb="FF000000"/>
      </right>
      <top style="thin">
        <color rgb="FF0000FF"/>
      </top>
      <bottom style="thin">
        <color rgb="FF000000"/>
      </bottom>
      <diagonal/>
    </border>
    <border>
      <left style="thin">
        <color rgb="FF000000"/>
      </left>
      <right style="thin">
        <color rgb="FF000000"/>
      </right>
      <top style="thin">
        <color rgb="FF0000FF"/>
      </top>
      <bottom style="thin">
        <color rgb="FF000000"/>
      </bottom>
      <diagonal/>
    </border>
    <border>
      <left style="thin">
        <color rgb="FF000000"/>
      </left>
      <right style="medium">
        <color rgb="FF000000"/>
      </right>
      <top style="thin">
        <color rgb="FF0000FF"/>
      </top>
      <bottom style="thin">
        <color rgb="FF000000"/>
      </bottom>
      <diagonal/>
    </border>
    <border>
      <left style="medium">
        <color rgb="FF000000"/>
      </left>
      <right style="thin">
        <color rgb="FF000000"/>
      </right>
      <top style="thin">
        <color rgb="FF0000FF"/>
      </top>
      <bottom style="thin">
        <color rgb="FF000000"/>
      </bottom>
      <diagonal/>
    </border>
    <border>
      <left style="thin">
        <color rgb="FF000000"/>
      </left>
      <right style="thick">
        <color rgb="FF000000"/>
      </right>
      <top style="thin">
        <color rgb="FF0000FF"/>
      </top>
      <bottom style="thin">
        <color rgb="FF0000FF"/>
      </bottom>
      <diagonal/>
    </border>
    <border>
      <left style="thick">
        <color rgb="FF000000"/>
      </left>
      <right style="medium">
        <color rgb="FF000000"/>
      </right>
      <top/>
      <bottom style="thin">
        <color rgb="FF0000FF"/>
      </bottom>
      <diagonal/>
    </border>
    <border>
      <left style="medium">
        <color rgb="FF000000"/>
      </left>
      <right style="medium">
        <color rgb="FF000000"/>
      </right>
      <top style="thin">
        <color rgb="FF0000FF"/>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ck">
        <color rgb="FF000000"/>
      </left>
      <right style="medium">
        <color rgb="FF000000"/>
      </right>
      <top style="thin">
        <color rgb="FF0000FF"/>
      </top>
      <bottom style="thin">
        <color rgb="FF0000FF"/>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style="thick">
        <color rgb="FF000000"/>
      </top>
      <bottom style="thick">
        <color rgb="FF000000"/>
      </bottom>
      <diagonal/>
    </border>
    <border>
      <left style="thin">
        <color rgb="FF000000"/>
      </left>
      <right style="medium">
        <color rgb="FF000000"/>
      </right>
      <top style="thin">
        <color rgb="FF000000"/>
      </top>
      <bottom style="thick">
        <color rgb="FF000000"/>
      </bottom>
      <diagonal/>
    </border>
    <border>
      <left style="medium">
        <color rgb="FF000000"/>
      </left>
      <right style="thin">
        <color rgb="FF000000"/>
      </right>
      <top style="thin">
        <color rgb="FF000000"/>
      </top>
      <bottom style="thick">
        <color rgb="FF000000"/>
      </bottom>
      <diagonal/>
    </border>
    <border>
      <left style="thin">
        <color rgb="FF000000"/>
      </left>
      <right style="thick">
        <color rgb="FF000000"/>
      </right>
      <top style="thin">
        <color rgb="FF0000FF"/>
      </top>
      <bottom style="thick">
        <color rgb="FF000000"/>
      </bottom>
      <diagonal/>
    </border>
    <border>
      <left style="thick">
        <color rgb="FF000000"/>
      </left>
      <right style="medium">
        <color rgb="FF000000"/>
      </right>
      <top style="thin">
        <color rgb="FF0000FF"/>
      </top>
      <bottom style="thick">
        <color rgb="FF000000"/>
      </bottom>
      <diagonal/>
    </border>
    <border>
      <left style="medium">
        <color rgb="FF000000"/>
      </left>
      <right style="medium">
        <color rgb="FF000000"/>
      </right>
      <top style="thin">
        <color rgb="FF000000"/>
      </top>
      <bottom style="thick">
        <color rgb="FF000000"/>
      </bottom>
      <diagonal/>
    </border>
    <border>
      <left style="thin">
        <color rgb="FF000000"/>
      </left>
      <right style="medium">
        <color rgb="FF000000"/>
      </right>
      <top style="thick">
        <color rgb="FF000000"/>
      </top>
      <bottom style="thin">
        <color rgb="FF000000"/>
      </bottom>
      <diagonal/>
    </border>
    <border>
      <left style="medium">
        <color rgb="FF000000"/>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FF"/>
      </bottom>
      <diagonal/>
    </border>
    <border>
      <left style="medium">
        <color rgb="FF000000"/>
      </left>
      <right style="medium">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
      <left style="thin">
        <color rgb="FF000000"/>
      </left>
      <right style="thick">
        <color rgb="FF000000"/>
      </right>
      <top style="thick">
        <color rgb="FF000000"/>
      </top>
      <bottom style="thin">
        <color rgb="FF0000FF"/>
      </bottom>
      <diagonal/>
    </border>
    <border>
      <left style="thick">
        <color rgb="FF000000"/>
      </left>
      <right style="thick">
        <color rgb="FF000000"/>
      </right>
      <top style="thick">
        <color rgb="FF000000"/>
      </top>
      <bottom style="thin">
        <color rgb="FF0000FF"/>
      </bottom>
      <diagonal/>
    </border>
    <border>
      <left style="thick">
        <color rgb="FF000000"/>
      </left>
      <right style="medium">
        <color rgb="FF000000"/>
      </right>
      <top style="thick">
        <color rgb="FF000000"/>
      </top>
      <bottom style="thin">
        <color rgb="FF000000"/>
      </bottom>
      <diagonal/>
    </border>
    <border>
      <left style="thick">
        <color rgb="FF000000"/>
      </left>
      <right style="thick">
        <color rgb="FF000000"/>
      </right>
      <top style="thin">
        <color rgb="FF0000FF"/>
      </top>
      <bottom style="thin">
        <color rgb="FF0000FF"/>
      </bottom>
      <diagonal/>
    </border>
    <border>
      <left style="thick">
        <color rgb="FF000000"/>
      </left>
      <right style="medium">
        <color rgb="FF000000"/>
      </right>
      <top style="thin">
        <color rgb="FF000000"/>
      </top>
      <bottom style="thin">
        <color rgb="FF000000"/>
      </bottom>
      <diagonal/>
    </border>
    <border>
      <left style="thick">
        <color rgb="FF000000"/>
      </left>
      <right style="thick">
        <color rgb="FF000000"/>
      </right>
      <top style="thin">
        <color rgb="FF0000FF"/>
      </top>
      <bottom style="thick">
        <color rgb="FF000000"/>
      </bottom>
      <diagonal/>
    </border>
    <border>
      <left style="thick">
        <color rgb="FF000000"/>
      </left>
      <right style="medium">
        <color rgb="FF000000"/>
      </right>
      <top style="thin">
        <color rgb="FF000000"/>
      </top>
      <bottom style="thick">
        <color rgb="FF000000"/>
      </bottom>
      <diagonal/>
    </border>
    <border>
      <left style="thick">
        <color rgb="FF000000"/>
      </left>
      <right style="medium">
        <color rgb="FF000000"/>
      </right>
      <top style="thick">
        <color rgb="FF000000"/>
      </top>
      <bottom style="thin">
        <color rgb="FF0000FF"/>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diagonal/>
    </border>
    <border>
      <left style="thick">
        <color rgb="FF000000"/>
      </left>
      <right style="medium">
        <color rgb="FF000000"/>
      </right>
      <top style="thin">
        <color rgb="FF000000"/>
      </top>
      <bottom/>
      <diagonal/>
    </border>
    <border>
      <left style="medium">
        <color rgb="FF000000"/>
      </left>
      <right style="medium">
        <color rgb="FF000000"/>
      </right>
      <top/>
      <bottom style="thick">
        <color rgb="FF000000"/>
      </bottom>
      <diagonal/>
    </border>
    <border>
      <left style="thick">
        <color rgb="FF000000"/>
      </left>
      <right style="medium">
        <color rgb="FF000000"/>
      </right>
      <top/>
      <bottom style="thick">
        <color rgb="FF000000"/>
      </bottom>
      <diagonal/>
    </border>
    <border>
      <left style="thin">
        <color rgb="FF0000FF"/>
      </left>
      <right style="thick">
        <color rgb="FF000000"/>
      </right>
      <top style="thin">
        <color rgb="FF0000FF"/>
      </top>
      <bottom style="thin">
        <color rgb="FF0000FF"/>
      </bottom>
      <diagonal/>
    </border>
    <border>
      <left style="thick">
        <color rgb="FF000000"/>
      </left>
      <right style="thin">
        <color rgb="FF0000FF"/>
      </right>
      <top style="thin">
        <color rgb="FF0000FF"/>
      </top>
      <bottom/>
      <diagonal/>
    </border>
    <border>
      <left style="thin">
        <color rgb="FF0000FF"/>
      </left>
      <right style="thin">
        <color rgb="FF0000FF"/>
      </right>
      <top style="thin">
        <color rgb="FF0000FF"/>
      </top>
      <bottom/>
      <diagonal/>
    </border>
    <border>
      <left style="thick">
        <color rgb="FF000000"/>
      </left>
      <right/>
      <top/>
      <bottom/>
      <diagonal/>
    </border>
    <border>
      <left/>
      <right style="thin">
        <color rgb="FF0000FF"/>
      </right>
      <top style="thin">
        <color rgb="FF0000FF"/>
      </top>
      <bottom style="thin">
        <color rgb="FF0000FF"/>
      </bottom>
      <diagonal/>
    </border>
    <border>
      <left style="thin">
        <color rgb="FF0000FF"/>
      </left>
      <right/>
      <top style="thick">
        <color rgb="FF000000"/>
      </top>
      <bottom/>
      <diagonal/>
    </border>
    <border>
      <left/>
      <right/>
      <top style="thick">
        <color rgb="FF000000"/>
      </top>
      <bottom/>
      <diagonal/>
    </border>
    <border>
      <left style="thin">
        <color rgb="FF0000FF"/>
      </left>
      <right style="thin">
        <color rgb="FF0000FF"/>
      </right>
      <top/>
      <bottom style="thin">
        <color rgb="FF0000FF"/>
      </bottom>
      <diagonal/>
    </border>
    <border>
      <left style="medium">
        <color rgb="FF000000"/>
      </left>
      <right style="thin">
        <color rgb="FF000000"/>
      </right>
      <top style="medium">
        <color rgb="FF000000"/>
      </top>
      <bottom style="thin">
        <color rgb="FF000000"/>
      </bottom>
      <diagonal/>
    </border>
    <border>
      <left style="medium">
        <color rgb="FF000000"/>
      </left>
      <right style="thick">
        <color rgb="FF000000"/>
      </right>
      <top style="medium">
        <color rgb="FF000000"/>
      </top>
      <bottom style="thick">
        <color rgb="FF000000"/>
      </bottom>
      <diagonal/>
    </border>
    <border>
      <left style="thin">
        <color rgb="FF000000"/>
      </left>
      <right style="thin">
        <color rgb="FF0000FF"/>
      </right>
      <top style="thin">
        <color rgb="FF0000FF"/>
      </top>
      <bottom style="thin">
        <color rgb="FF0000FF"/>
      </bottom>
      <diagonal/>
    </border>
    <border>
      <left style="thin">
        <color rgb="FF0000FF"/>
      </left>
      <right/>
      <top style="thin">
        <color rgb="FF0000FF"/>
      </top>
      <bottom style="thin">
        <color rgb="FF0000FF"/>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style="thick">
        <color rgb="FF000000"/>
      </right>
      <top style="thin">
        <color rgb="FF0000FF"/>
      </top>
      <bottom/>
      <diagonal/>
    </border>
    <border>
      <left/>
      <right style="thick">
        <color rgb="FF000000"/>
      </right>
      <top/>
      <bottom/>
      <diagonal/>
    </border>
    <border>
      <left/>
      <right style="thin">
        <color rgb="FF0000FF"/>
      </right>
      <top style="thick">
        <color rgb="FF000000"/>
      </top>
      <bottom style="thin">
        <color rgb="FF0000FF"/>
      </bottom>
      <diagonal/>
    </border>
    <border>
      <left style="thick">
        <color rgb="FF000000"/>
      </left>
      <right style="thin">
        <color rgb="FF0000FF"/>
      </right>
      <top/>
      <bottom style="thin">
        <color rgb="FF0000FF"/>
      </bottom>
      <diagonal/>
    </border>
    <border>
      <left style="thin">
        <color rgb="FF0000FF"/>
      </left>
      <right/>
      <top/>
      <bottom style="thin">
        <color rgb="FF0000FF"/>
      </bottom>
      <diagonal/>
    </border>
    <border>
      <left style="thin">
        <color rgb="FF0000FF"/>
      </left>
      <right/>
      <top/>
      <bottom/>
      <diagonal/>
    </border>
    <border>
      <left style="medium">
        <color rgb="FF000000"/>
      </left>
      <right style="thick">
        <color rgb="FF000000"/>
      </right>
      <top style="medium">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style="thick">
        <color rgb="FF000000"/>
      </top>
      <bottom style="thin">
        <color rgb="FF000000"/>
      </bottom>
      <diagonal/>
    </border>
    <border>
      <left/>
      <right style="thin">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FF"/>
      </right>
      <top/>
      <bottom/>
      <diagonal/>
    </border>
    <border>
      <left/>
      <right style="thin">
        <color rgb="FF0000FF"/>
      </right>
      <top/>
      <bottom/>
      <diagonal/>
    </border>
    <border>
      <left style="thick">
        <color rgb="FF000000"/>
      </left>
      <right style="thick">
        <color rgb="FF000000"/>
      </right>
      <top style="thick">
        <color rgb="FF000000"/>
      </top>
      <bottom/>
      <diagonal/>
    </border>
    <border>
      <left style="thick">
        <color rgb="FF000000"/>
      </left>
      <right style="thin">
        <color rgb="FF0000FF"/>
      </right>
      <top style="thick">
        <color rgb="FF000000"/>
      </top>
      <bottom/>
      <diagonal/>
    </border>
  </borders>
  <cellStyleXfs count="1">
    <xf numFmtId="0" fontId="0" fillId="0" borderId="0"/>
  </cellStyleXfs>
  <cellXfs count="557">
    <xf numFmtId="0" fontId="0" fillId="0" borderId="0" xfId="0" applyFont="1" applyAlignment="1"/>
    <xf numFmtId="37" fontId="2" fillId="4" borderId="5" xfId="0" applyNumberFormat="1" applyFont="1" applyFill="1" applyBorder="1" applyAlignment="1">
      <alignment vertical="top"/>
    </xf>
    <xf numFmtId="37" fontId="2" fillId="0" borderId="0" xfId="0" applyNumberFormat="1" applyFont="1" applyAlignment="1">
      <alignment vertical="center"/>
    </xf>
    <xf numFmtId="164" fontId="2" fillId="3" borderId="5" xfId="0" applyNumberFormat="1" applyFont="1" applyFill="1" applyBorder="1" applyAlignment="1">
      <alignment horizontal="right"/>
    </xf>
    <xf numFmtId="165" fontId="2" fillId="3" borderId="5" xfId="0" applyNumberFormat="1" applyFont="1" applyFill="1" applyBorder="1" applyAlignment="1">
      <alignment horizontal="right"/>
    </xf>
    <xf numFmtId="164" fontId="2" fillId="4" borderId="5" xfId="0" applyNumberFormat="1" applyFont="1" applyFill="1" applyBorder="1" applyAlignment="1">
      <alignment horizontal="right"/>
    </xf>
    <xf numFmtId="37" fontId="2" fillId="5" borderId="5" xfId="0" applyNumberFormat="1" applyFont="1" applyFill="1" applyBorder="1" applyAlignment="1">
      <alignment vertical="center"/>
    </xf>
    <xf numFmtId="166" fontId="2" fillId="5" borderId="5" xfId="0" applyNumberFormat="1" applyFont="1" applyFill="1" applyBorder="1" applyAlignment="1">
      <alignment vertical="center"/>
    </xf>
    <xf numFmtId="0" fontId="4" fillId="0" borderId="0" xfId="0" applyFont="1"/>
    <xf numFmtId="0" fontId="5" fillId="0" borderId="0" xfId="0" applyFont="1"/>
    <xf numFmtId="166" fontId="5" fillId="0" borderId="0" xfId="0" applyNumberFormat="1" applyFont="1"/>
    <xf numFmtId="0" fontId="6" fillId="0" borderId="0" xfId="0" applyFont="1"/>
    <xf numFmtId="166" fontId="7" fillId="0" borderId="0" xfId="0" applyNumberFormat="1" applyFont="1"/>
    <xf numFmtId="166" fontId="4" fillId="0" borderId="0" xfId="0" applyNumberFormat="1" applyFont="1"/>
    <xf numFmtId="0" fontId="8" fillId="0" borderId="0" xfId="0" applyFont="1"/>
    <xf numFmtId="9" fontId="9" fillId="0" borderId="0" xfId="0" applyNumberFormat="1" applyFont="1"/>
    <xf numFmtId="0" fontId="10" fillId="0" borderId="0" xfId="0" applyFont="1"/>
    <xf numFmtId="166" fontId="11" fillId="0" borderId="0" xfId="0" applyNumberFormat="1" applyFont="1"/>
    <xf numFmtId="0" fontId="8" fillId="0" borderId="7" xfId="0" applyFont="1" applyBorder="1"/>
    <xf numFmtId="9" fontId="9" fillId="0" borderId="7" xfId="0" applyNumberFormat="1" applyFont="1" applyBorder="1"/>
    <xf numFmtId="167" fontId="4" fillId="0" borderId="0" xfId="0" applyNumberFormat="1" applyFont="1"/>
    <xf numFmtId="0" fontId="6" fillId="0" borderId="8" xfId="0" applyFont="1" applyBorder="1"/>
    <xf numFmtId="166" fontId="12" fillId="0" borderId="8" xfId="0" applyNumberFormat="1" applyFont="1" applyBorder="1"/>
    <xf numFmtId="0" fontId="13" fillId="0" borderId="8" xfId="0" applyFont="1" applyBorder="1"/>
    <xf numFmtId="167" fontId="4" fillId="0" borderId="8" xfId="0" applyNumberFormat="1" applyFont="1" applyBorder="1"/>
    <xf numFmtId="0" fontId="13" fillId="0" borderId="7" xfId="0" applyFont="1" applyBorder="1"/>
    <xf numFmtId="167" fontId="5" fillId="0" borderId="0" xfId="0" applyNumberFormat="1" applyFont="1"/>
    <xf numFmtId="0" fontId="6" fillId="0" borderId="9" xfId="0" applyFont="1" applyBorder="1"/>
    <xf numFmtId="167" fontId="4" fillId="0" borderId="9" xfId="0" applyNumberFormat="1" applyFont="1" applyBorder="1"/>
    <xf numFmtId="166" fontId="11" fillId="0" borderId="0" xfId="0" applyNumberFormat="1" applyFont="1" applyAlignment="1">
      <alignment horizontal="right"/>
    </xf>
    <xf numFmtId="166" fontId="5" fillId="0" borderId="0" xfId="0" applyNumberFormat="1" applyFont="1" applyAlignment="1">
      <alignment horizontal="right"/>
    </xf>
    <xf numFmtId="0" fontId="10" fillId="0" borderId="8" xfId="0" applyFont="1" applyBorder="1"/>
    <xf numFmtId="166" fontId="5" fillId="0" borderId="8" xfId="0" applyNumberFormat="1" applyFont="1" applyBorder="1"/>
    <xf numFmtId="0" fontId="13" fillId="0" borderId="0" xfId="0" applyFont="1"/>
    <xf numFmtId="0" fontId="6" fillId="6" borderId="10" xfId="0" applyFont="1" applyFill="1" applyBorder="1"/>
    <xf numFmtId="167" fontId="4" fillId="6" borderId="10" xfId="0" applyNumberFormat="1" applyFont="1" applyFill="1" applyBorder="1"/>
    <xf numFmtId="166" fontId="6" fillId="0" borderId="11" xfId="0" applyNumberFormat="1" applyFont="1" applyBorder="1"/>
    <xf numFmtId="166" fontId="4" fillId="0" borderId="11" xfId="0" applyNumberFormat="1" applyFont="1" applyBorder="1"/>
    <xf numFmtId="168" fontId="2" fillId="5" borderId="5" xfId="0" applyNumberFormat="1" applyFont="1" applyFill="1" applyBorder="1"/>
    <xf numFmtId="168" fontId="10" fillId="5" borderId="5" xfId="0" applyNumberFormat="1" applyFont="1" applyFill="1" applyBorder="1"/>
    <xf numFmtId="168" fontId="10" fillId="5" borderId="5" xfId="0" applyNumberFormat="1" applyFont="1" applyFill="1" applyBorder="1" applyAlignment="1">
      <alignment horizontal="center"/>
    </xf>
    <xf numFmtId="168" fontId="10" fillId="0" borderId="0" xfId="0" applyNumberFormat="1" applyFont="1"/>
    <xf numFmtId="0" fontId="13" fillId="0" borderId="7" xfId="0" applyFont="1" applyBorder="1" applyAlignment="1">
      <alignment horizontal="right"/>
    </xf>
    <xf numFmtId="9" fontId="10" fillId="0" borderId="0" xfId="0" applyNumberFormat="1" applyFont="1"/>
    <xf numFmtId="0" fontId="14" fillId="0" borderId="0" xfId="0" applyFont="1"/>
    <xf numFmtId="3" fontId="13" fillId="0" borderId="0" xfId="0" applyNumberFormat="1" applyFont="1"/>
    <xf numFmtId="9" fontId="13" fillId="0" borderId="0" xfId="0" applyNumberFormat="1" applyFont="1"/>
    <xf numFmtId="0" fontId="13" fillId="0" borderId="12" xfId="0" applyFont="1" applyBorder="1"/>
    <xf numFmtId="3" fontId="13" fillId="0" borderId="12" xfId="0" applyNumberFormat="1" applyFont="1" applyBorder="1"/>
    <xf numFmtId="0" fontId="13" fillId="0" borderId="13" xfId="0" applyFont="1" applyBorder="1"/>
    <xf numFmtId="3" fontId="13" fillId="0" borderId="13" xfId="0" applyNumberFormat="1" applyFont="1" applyBorder="1"/>
    <xf numFmtId="9" fontId="13" fillId="0" borderId="13" xfId="0" applyNumberFormat="1" applyFont="1" applyBorder="1"/>
    <xf numFmtId="164" fontId="2" fillId="3" borderId="5" xfId="0" applyNumberFormat="1" applyFont="1" applyFill="1" applyBorder="1" applyAlignment="1">
      <alignment horizontal="left"/>
    </xf>
    <xf numFmtId="164" fontId="2" fillId="3" borderId="5" xfId="0" applyNumberFormat="1" applyFont="1" applyFill="1" applyBorder="1" applyAlignment="1">
      <alignment horizontal="center"/>
    </xf>
    <xf numFmtId="165" fontId="2" fillId="3" borderId="5" xfId="0" applyNumberFormat="1" applyFont="1" applyFill="1" applyBorder="1" applyAlignment="1">
      <alignment horizontal="center"/>
    </xf>
    <xf numFmtId="166" fontId="2" fillId="0" borderId="0" xfId="0" applyNumberFormat="1" applyFont="1" applyAlignment="1">
      <alignment vertical="center"/>
    </xf>
    <xf numFmtId="0" fontId="13" fillId="7" borderId="14" xfId="0" applyFont="1" applyFill="1" applyBorder="1"/>
    <xf numFmtId="0" fontId="4" fillId="0" borderId="15" xfId="0" applyFont="1" applyBorder="1"/>
    <xf numFmtId="166" fontId="11" fillId="0" borderId="8" xfId="0" applyNumberFormat="1" applyFont="1" applyBorder="1"/>
    <xf numFmtId="166" fontId="11" fillId="0" borderId="16" xfId="0" applyNumberFormat="1" applyFont="1" applyBorder="1"/>
    <xf numFmtId="0" fontId="13" fillId="7" borderId="17" xfId="0" applyFont="1" applyFill="1" applyBorder="1"/>
    <xf numFmtId="0" fontId="8" fillId="0" borderId="18" xfId="0" applyFont="1" applyBorder="1"/>
    <xf numFmtId="9" fontId="9" fillId="0" borderId="19" xfId="0" applyNumberFormat="1" applyFont="1" applyBorder="1"/>
    <xf numFmtId="0" fontId="5" fillId="0" borderId="18" xfId="0" applyFont="1" applyBorder="1"/>
    <xf numFmtId="166" fontId="11" fillId="0" borderId="19" xfId="0" applyNumberFormat="1" applyFont="1" applyBorder="1"/>
    <xf numFmtId="0" fontId="15" fillId="7" borderId="17" xfId="0" applyFont="1" applyFill="1" applyBorder="1" applyAlignment="1">
      <alignment horizontal="center" vertical="center" shrinkToFit="1"/>
    </xf>
    <xf numFmtId="3" fontId="16" fillId="0" borderId="8" xfId="0" applyNumberFormat="1" applyFont="1" applyBorder="1"/>
    <xf numFmtId="3" fontId="16" fillId="0" borderId="16" xfId="0" applyNumberFormat="1" applyFont="1" applyBorder="1"/>
    <xf numFmtId="0" fontId="4" fillId="0" borderId="18" xfId="0" applyFont="1" applyBorder="1"/>
    <xf numFmtId="3" fontId="16" fillId="0" borderId="0" xfId="0" applyNumberFormat="1" applyFont="1"/>
    <xf numFmtId="0" fontId="16" fillId="0" borderId="19" xfId="0" applyFont="1" applyBorder="1"/>
    <xf numFmtId="0" fontId="12" fillId="7" borderId="17" xfId="0" applyFont="1" applyFill="1" applyBorder="1" applyAlignment="1">
      <alignment horizontal="center" vertical="center" shrinkToFit="1"/>
    </xf>
    <xf numFmtId="0" fontId="16" fillId="0" borderId="16" xfId="0" applyFont="1" applyBorder="1"/>
    <xf numFmtId="0" fontId="4" fillId="0" borderId="20" xfId="0" applyFont="1" applyBorder="1"/>
    <xf numFmtId="0" fontId="13" fillId="0" borderId="21" xfId="0" applyFont="1" applyBorder="1"/>
    <xf numFmtId="0" fontId="15" fillId="7" borderId="22" xfId="0" applyFont="1" applyFill="1" applyBorder="1" applyAlignment="1">
      <alignment horizontal="center" vertical="center" shrinkToFit="1"/>
    </xf>
    <xf numFmtId="0" fontId="4" fillId="6" borderId="17" xfId="0" applyFont="1" applyFill="1" applyBorder="1"/>
    <xf numFmtId="3" fontId="16" fillId="6" borderId="5" xfId="0" applyNumberFormat="1" applyFont="1" applyFill="1" applyBorder="1"/>
    <xf numFmtId="3" fontId="16" fillId="6" borderId="23" xfId="0" applyNumberFormat="1" applyFont="1" applyFill="1" applyBorder="1"/>
    <xf numFmtId="3" fontId="16" fillId="0" borderId="19" xfId="0" applyNumberFormat="1" applyFont="1" applyBorder="1"/>
    <xf numFmtId="0" fontId="15" fillId="0" borderId="18" xfId="0" applyFont="1" applyBorder="1"/>
    <xf numFmtId="9" fontId="16" fillId="0" borderId="0" xfId="0" applyNumberFormat="1" applyFont="1"/>
    <xf numFmtId="9" fontId="16" fillId="0" borderId="19" xfId="0" applyNumberFormat="1" applyFont="1" applyBorder="1"/>
    <xf numFmtId="0" fontId="15" fillId="7" borderId="24" xfId="0" applyFont="1" applyFill="1" applyBorder="1" applyAlignment="1">
      <alignment horizontal="center" vertical="center" shrinkToFit="1"/>
    </xf>
    <xf numFmtId="0" fontId="15" fillId="0" borderId="20" xfId="0" applyFont="1" applyBorder="1"/>
    <xf numFmtId="9" fontId="16" fillId="0" borderId="7" xfId="0" applyNumberFormat="1" applyFont="1" applyBorder="1"/>
    <xf numFmtId="9" fontId="16" fillId="0" borderId="21" xfId="0" applyNumberFormat="1" applyFont="1" applyBorder="1"/>
    <xf numFmtId="0" fontId="13" fillId="8" borderId="14" xfId="0" applyFont="1" applyFill="1" applyBorder="1"/>
    <xf numFmtId="0" fontId="13" fillId="8" borderId="17" xfId="0" applyFont="1" applyFill="1" applyBorder="1"/>
    <xf numFmtId="0" fontId="13" fillId="0" borderId="18" xfId="0" applyFont="1" applyBorder="1"/>
    <xf numFmtId="3" fontId="5" fillId="0" borderId="19" xfId="0" applyNumberFormat="1" applyFont="1" applyBorder="1"/>
    <xf numFmtId="0" fontId="12" fillId="8" borderId="17" xfId="0" applyFont="1" applyFill="1" applyBorder="1" applyAlignment="1">
      <alignment horizontal="center"/>
    </xf>
    <xf numFmtId="0" fontId="13" fillId="8" borderId="22" xfId="0" applyFont="1" applyFill="1" applyBorder="1"/>
    <xf numFmtId="0" fontId="4" fillId="6" borderId="25" xfId="0" applyFont="1" applyFill="1" applyBorder="1"/>
    <xf numFmtId="3" fontId="16" fillId="6" borderId="25" xfId="0" applyNumberFormat="1" applyFont="1" applyFill="1" applyBorder="1"/>
    <xf numFmtId="3" fontId="16" fillId="6" borderId="26" xfId="0" applyNumberFormat="1" applyFont="1" applyFill="1" applyBorder="1"/>
    <xf numFmtId="0" fontId="13" fillId="8" borderId="24" xfId="0" applyFont="1" applyFill="1" applyBorder="1"/>
    <xf numFmtId="0" fontId="13" fillId="9" borderId="14" xfId="0" applyFont="1" applyFill="1" applyBorder="1"/>
    <xf numFmtId="0" fontId="13" fillId="9" borderId="17" xfId="0" applyFont="1" applyFill="1" applyBorder="1"/>
    <xf numFmtId="0" fontId="13" fillId="0" borderId="19" xfId="0" applyFont="1" applyBorder="1"/>
    <xf numFmtId="0" fontId="12" fillId="9" borderId="17" xfId="0" applyFont="1" applyFill="1" applyBorder="1" applyAlignment="1">
      <alignment horizontal="center"/>
    </xf>
    <xf numFmtId="0" fontId="13" fillId="9" borderId="22" xfId="0" applyFont="1" applyFill="1" applyBorder="1"/>
    <xf numFmtId="0" fontId="4" fillId="6" borderId="27" xfId="0" applyFont="1" applyFill="1" applyBorder="1"/>
    <xf numFmtId="3" fontId="16" fillId="6" borderId="28" xfId="0" applyNumberFormat="1" applyFont="1" applyFill="1" applyBorder="1"/>
    <xf numFmtId="0" fontId="13" fillId="9" borderId="24" xfId="0" applyFont="1" applyFill="1" applyBorder="1"/>
    <xf numFmtId="0" fontId="12" fillId="0" borderId="0" xfId="0" applyFont="1" applyAlignment="1">
      <alignment horizontal="left"/>
    </xf>
    <xf numFmtId="0" fontId="17" fillId="10" borderId="29" xfId="0" applyFont="1" applyFill="1" applyBorder="1" applyAlignment="1">
      <alignment horizontal="center"/>
    </xf>
    <xf numFmtId="0" fontId="17" fillId="10" borderId="26" xfId="0" applyFont="1" applyFill="1" applyBorder="1" applyAlignment="1">
      <alignment horizontal="center"/>
    </xf>
    <xf numFmtId="0" fontId="17" fillId="10" borderId="30" xfId="0" applyFont="1" applyFill="1" applyBorder="1" applyAlignment="1">
      <alignment horizontal="center"/>
    </xf>
    <xf numFmtId="0" fontId="13" fillId="0" borderId="20" xfId="0" applyFont="1" applyBorder="1"/>
    <xf numFmtId="3" fontId="13" fillId="0" borderId="15" xfId="0" applyNumberFormat="1" applyFont="1" applyBorder="1"/>
    <xf numFmtId="9" fontId="17" fillId="10" borderId="31" xfId="0" applyNumberFormat="1" applyFont="1" applyFill="1" applyBorder="1" applyAlignment="1">
      <alignment horizontal="center"/>
    </xf>
    <xf numFmtId="0" fontId="13" fillId="0" borderId="32" xfId="0" applyFont="1" applyBorder="1"/>
    <xf numFmtId="0" fontId="13" fillId="0" borderId="11" xfId="0" applyFont="1" applyBorder="1"/>
    <xf numFmtId="3" fontId="13" fillId="0" borderId="18" xfId="0" applyNumberFormat="1" applyFont="1" applyBorder="1"/>
    <xf numFmtId="9" fontId="17" fillId="10" borderId="22" xfId="0" applyNumberFormat="1" applyFont="1" applyFill="1" applyBorder="1" applyAlignment="1">
      <alignment horizontal="center"/>
    </xf>
    <xf numFmtId="0" fontId="13" fillId="0" borderId="33" xfId="0" applyFont="1" applyBorder="1"/>
    <xf numFmtId="0" fontId="13" fillId="0" borderId="9" xfId="0" applyFont="1" applyBorder="1"/>
    <xf numFmtId="3" fontId="13" fillId="0" borderId="34" xfId="0" applyNumberFormat="1" applyFont="1" applyBorder="1"/>
    <xf numFmtId="9" fontId="17" fillId="10" borderId="35" xfId="0" applyNumberFormat="1" applyFont="1" applyFill="1" applyBorder="1" applyAlignment="1">
      <alignment horizontal="center"/>
    </xf>
    <xf numFmtId="0" fontId="12" fillId="0" borderId="34" xfId="0" applyFont="1" applyBorder="1"/>
    <xf numFmtId="9" fontId="13" fillId="0" borderId="36" xfId="0" applyNumberFormat="1" applyFont="1" applyBorder="1"/>
    <xf numFmtId="0" fontId="12" fillId="0" borderId="0" xfId="0" applyFont="1"/>
    <xf numFmtId="0" fontId="15" fillId="0" borderId="0" xfId="0" applyFont="1" applyAlignment="1">
      <alignment horizontal="center"/>
    </xf>
    <xf numFmtId="0" fontId="18" fillId="0" borderId="0" xfId="0" applyFont="1" applyAlignment="1">
      <alignment horizontal="center"/>
    </xf>
    <xf numFmtId="0" fontId="13" fillId="11" borderId="37" xfId="0" applyFont="1" applyFill="1" applyBorder="1" applyAlignment="1">
      <alignment horizontal="center"/>
    </xf>
    <xf numFmtId="0" fontId="15" fillId="11" borderId="37" xfId="0" applyFont="1" applyFill="1" applyBorder="1" applyAlignment="1">
      <alignment horizontal="center"/>
    </xf>
    <xf numFmtId="0" fontId="13" fillId="11" borderId="26" xfId="0" applyFont="1" applyFill="1" applyBorder="1" applyAlignment="1">
      <alignment horizontal="center"/>
    </xf>
    <xf numFmtId="0" fontId="13" fillId="11" borderId="29" xfId="0" applyFont="1" applyFill="1" applyBorder="1" applyAlignment="1">
      <alignment horizontal="center"/>
    </xf>
    <xf numFmtId="0" fontId="13" fillId="11" borderId="30" xfId="0" applyFont="1" applyFill="1" applyBorder="1" applyAlignment="1">
      <alignment horizontal="center"/>
    </xf>
    <xf numFmtId="0" fontId="13" fillId="0" borderId="15" xfId="0" applyFont="1" applyBorder="1"/>
    <xf numFmtId="0" fontId="13" fillId="0" borderId="16" xfId="0" applyFont="1" applyBorder="1"/>
    <xf numFmtId="3" fontId="13" fillId="0" borderId="19" xfId="0" applyNumberFormat="1" applyFont="1" applyBorder="1"/>
    <xf numFmtId="0" fontId="13" fillId="0" borderId="38" xfId="0" applyFont="1" applyBorder="1" applyAlignment="1">
      <alignment horizontal="left"/>
    </xf>
    <xf numFmtId="9" fontId="13" fillId="0" borderId="18" xfId="0" applyNumberFormat="1" applyFont="1" applyBorder="1" applyAlignment="1">
      <alignment horizontal="center"/>
    </xf>
    <xf numFmtId="9" fontId="13" fillId="0" borderId="0" xfId="0" applyNumberFormat="1" applyFont="1" applyAlignment="1">
      <alignment horizontal="center"/>
    </xf>
    <xf numFmtId="9" fontId="13" fillId="0" borderId="19" xfId="0" applyNumberFormat="1" applyFont="1" applyBorder="1" applyAlignment="1">
      <alignment horizontal="center"/>
    </xf>
    <xf numFmtId="0" fontId="13" fillId="0" borderId="39" xfId="0" applyFont="1" applyBorder="1" applyAlignment="1">
      <alignment horizontal="left"/>
    </xf>
    <xf numFmtId="0" fontId="13" fillId="0" borderId="34" xfId="0" applyFont="1" applyBorder="1"/>
    <xf numFmtId="0" fontId="13" fillId="0" borderId="36" xfId="0" applyFont="1" applyBorder="1"/>
    <xf numFmtId="3" fontId="13" fillId="0" borderId="36" xfId="0" applyNumberFormat="1" applyFont="1" applyBorder="1"/>
    <xf numFmtId="0" fontId="13" fillId="0" borderId="40" xfId="0" applyFont="1" applyBorder="1" applyAlignment="1">
      <alignment horizontal="left"/>
    </xf>
    <xf numFmtId="9" fontId="13" fillId="0" borderId="20" xfId="0" applyNumberFormat="1" applyFont="1" applyBorder="1" applyAlignment="1">
      <alignment horizontal="center"/>
    </xf>
    <xf numFmtId="9" fontId="13" fillId="0" borderId="7" xfId="0" applyNumberFormat="1" applyFont="1" applyBorder="1" applyAlignment="1">
      <alignment horizontal="center"/>
    </xf>
    <xf numFmtId="9" fontId="13" fillId="0" borderId="21" xfId="0" applyNumberFormat="1" applyFont="1" applyBorder="1" applyAlignment="1">
      <alignment horizontal="center"/>
    </xf>
    <xf numFmtId="0" fontId="12" fillId="0" borderId="20" xfId="0" applyFont="1" applyBorder="1"/>
    <xf numFmtId="0" fontId="16" fillId="0" borderId="21" xfId="0" applyFont="1" applyBorder="1"/>
    <xf numFmtId="3" fontId="16" fillId="0" borderId="20" xfId="0" applyNumberFormat="1" applyFont="1" applyBorder="1"/>
    <xf numFmtId="3" fontId="16" fillId="0" borderId="7" xfId="0" applyNumberFormat="1" applyFont="1" applyBorder="1"/>
    <xf numFmtId="3" fontId="16" fillId="0" borderId="21" xfId="0" applyNumberFormat="1" applyFont="1" applyBorder="1"/>
    <xf numFmtId="9" fontId="13" fillId="0" borderId="15" xfId="0" applyNumberFormat="1" applyFont="1" applyBorder="1" applyAlignment="1">
      <alignment horizontal="center"/>
    </xf>
    <xf numFmtId="9" fontId="13" fillId="0" borderId="8" xfId="0" applyNumberFormat="1" applyFont="1" applyBorder="1" applyAlignment="1">
      <alignment horizontal="center"/>
    </xf>
    <xf numFmtId="9" fontId="13" fillId="0" borderId="16" xfId="0" applyNumberFormat="1" applyFont="1" applyBorder="1" applyAlignment="1">
      <alignment horizontal="center"/>
    </xf>
    <xf numFmtId="0" fontId="15" fillId="0" borderId="0" xfId="0" applyFont="1"/>
    <xf numFmtId="3" fontId="15" fillId="0" borderId="0" xfId="0" applyNumberFormat="1" applyFont="1"/>
    <xf numFmtId="9" fontId="15" fillId="0" borderId="0" xfId="0" applyNumberFormat="1" applyFont="1"/>
    <xf numFmtId="0" fontId="15" fillId="0" borderId="12" xfId="0" applyFont="1" applyBorder="1"/>
    <xf numFmtId="3" fontId="15" fillId="0" borderId="12" xfId="0" applyNumberFormat="1" applyFont="1" applyBorder="1"/>
    <xf numFmtId="9" fontId="15" fillId="0" borderId="12" xfId="0" applyNumberFormat="1" applyFont="1" applyBorder="1"/>
    <xf numFmtId="3" fontId="12" fillId="0" borderId="0" xfId="0" applyNumberFormat="1" applyFont="1"/>
    <xf numFmtId="9" fontId="12" fillId="0" borderId="0" xfId="0" applyNumberFormat="1" applyFont="1"/>
    <xf numFmtId="0" fontId="17" fillId="12" borderId="29" xfId="0" applyFont="1" applyFill="1" applyBorder="1" applyAlignment="1">
      <alignment horizontal="center"/>
    </xf>
    <xf numFmtId="0" fontId="17" fillId="12" borderId="26" xfId="0" applyFont="1" applyFill="1" applyBorder="1" applyAlignment="1">
      <alignment horizontal="center"/>
    </xf>
    <xf numFmtId="0" fontId="17" fillId="13" borderId="29" xfId="0" applyFont="1" applyFill="1" applyBorder="1" applyAlignment="1">
      <alignment horizontal="center"/>
    </xf>
    <xf numFmtId="0" fontId="17" fillId="13" borderId="26" xfId="0" applyFont="1" applyFill="1" applyBorder="1" applyAlignment="1">
      <alignment horizontal="center"/>
    </xf>
    <xf numFmtId="0" fontId="15" fillId="0" borderId="19" xfId="0" applyFont="1" applyBorder="1"/>
    <xf numFmtId="3" fontId="15" fillId="0" borderId="19" xfId="0" applyNumberFormat="1" applyFont="1" applyBorder="1" applyAlignment="1">
      <alignment horizontal="center"/>
    </xf>
    <xf numFmtId="9" fontId="15" fillId="0" borderId="0" xfId="0" applyNumberFormat="1" applyFont="1" applyAlignment="1">
      <alignment horizontal="center"/>
    </xf>
    <xf numFmtId="3" fontId="15" fillId="0" borderId="39" xfId="0" applyNumberFormat="1" applyFont="1" applyBorder="1" applyAlignment="1">
      <alignment horizontal="center"/>
    </xf>
    <xf numFmtId="3" fontId="15" fillId="0" borderId="38" xfId="0" applyNumberFormat="1" applyFont="1" applyBorder="1" applyAlignment="1">
      <alignment horizontal="center"/>
    </xf>
    <xf numFmtId="9" fontId="15" fillId="0" borderId="16" xfId="0" applyNumberFormat="1" applyFont="1" applyBorder="1" applyAlignment="1">
      <alignment horizontal="center"/>
    </xf>
    <xf numFmtId="9" fontId="15" fillId="0" borderId="19" xfId="0" applyNumberFormat="1" applyFont="1" applyBorder="1" applyAlignment="1">
      <alignment horizontal="center"/>
    </xf>
    <xf numFmtId="0" fontId="15" fillId="0" borderId="36" xfId="0" applyFont="1" applyBorder="1"/>
    <xf numFmtId="3" fontId="15" fillId="0" borderId="36" xfId="0" applyNumberFormat="1" applyFont="1" applyBorder="1" applyAlignment="1">
      <alignment horizontal="center"/>
    </xf>
    <xf numFmtId="3" fontId="15" fillId="0" borderId="41" xfId="0" applyNumberFormat="1" applyFont="1" applyBorder="1" applyAlignment="1">
      <alignment horizontal="center"/>
    </xf>
    <xf numFmtId="0" fontId="15" fillId="0" borderId="42" xfId="0" applyFont="1" applyBorder="1"/>
    <xf numFmtId="3" fontId="15" fillId="0" borderId="43" xfId="0" applyNumberFormat="1" applyFont="1" applyBorder="1" applyAlignment="1">
      <alignment horizontal="center"/>
    </xf>
    <xf numFmtId="9" fontId="15" fillId="0" borderId="13" xfId="0" applyNumberFormat="1" applyFont="1" applyBorder="1" applyAlignment="1">
      <alignment horizontal="center"/>
    </xf>
    <xf numFmtId="9" fontId="15" fillId="0" borderId="42" xfId="0" applyNumberFormat="1" applyFont="1" applyBorder="1" applyAlignment="1">
      <alignment horizontal="center"/>
    </xf>
    <xf numFmtId="3" fontId="15" fillId="0" borderId="0" xfId="0" applyNumberFormat="1" applyFont="1" applyAlignment="1">
      <alignment horizontal="center"/>
    </xf>
    <xf numFmtId="168" fontId="2" fillId="5" borderId="5" xfId="0" applyNumberFormat="1" applyFont="1" applyFill="1" applyBorder="1" applyAlignment="1">
      <alignment horizontal="left"/>
    </xf>
    <xf numFmtId="0" fontId="16" fillId="0" borderId="0" xfId="0" applyFont="1"/>
    <xf numFmtId="0" fontId="13" fillId="0" borderId="0" xfId="0" applyFont="1" applyAlignment="1">
      <alignment horizontal="center"/>
    </xf>
    <xf numFmtId="3" fontId="13" fillId="14" borderId="5" xfId="0" applyNumberFormat="1" applyFont="1" applyFill="1" applyBorder="1"/>
    <xf numFmtId="3" fontId="13" fillId="15" borderId="5" xfId="0" applyNumberFormat="1" applyFont="1" applyFill="1" applyBorder="1"/>
    <xf numFmtId="3" fontId="13" fillId="16" borderId="5" xfId="0" applyNumberFormat="1" applyFont="1" applyFill="1" applyBorder="1"/>
    <xf numFmtId="0" fontId="13" fillId="14" borderId="5" xfId="0" applyFont="1" applyFill="1" applyBorder="1"/>
    <xf numFmtId="0" fontId="13" fillId="15" borderId="5" xfId="0" applyFont="1" applyFill="1" applyBorder="1"/>
    <xf numFmtId="0" fontId="13" fillId="16" borderId="5" xfId="0" applyFont="1" applyFill="1" applyBorder="1"/>
    <xf numFmtId="0" fontId="16" fillId="17" borderId="5" xfId="0" applyFont="1" applyFill="1" applyBorder="1"/>
    <xf numFmtId="169" fontId="14" fillId="0" borderId="0" xfId="0" applyNumberFormat="1" applyFont="1"/>
    <xf numFmtId="9" fontId="13" fillId="18" borderId="5" xfId="0" applyNumberFormat="1" applyFont="1" applyFill="1" applyBorder="1"/>
    <xf numFmtId="49" fontId="19" fillId="0" borderId="44" xfId="0" applyNumberFormat="1" applyFont="1" applyBorder="1" applyAlignment="1">
      <alignment horizontal="center"/>
    </xf>
    <xf numFmtId="49" fontId="19" fillId="0" borderId="45" xfId="0" applyNumberFormat="1" applyFont="1" applyBorder="1" applyAlignment="1">
      <alignment horizontal="center"/>
    </xf>
    <xf numFmtId="49" fontId="19" fillId="0" borderId="46" xfId="0" applyNumberFormat="1" applyFont="1" applyBorder="1" applyAlignment="1">
      <alignment horizontal="center"/>
    </xf>
    <xf numFmtId="49" fontId="19" fillId="19" borderId="46" xfId="0" applyNumberFormat="1" applyFont="1" applyFill="1" applyBorder="1" applyAlignment="1">
      <alignment horizontal="center"/>
    </xf>
    <xf numFmtId="49" fontId="19" fillId="20" borderId="46" xfId="0" applyNumberFormat="1" applyFont="1" applyFill="1" applyBorder="1" applyAlignment="1">
      <alignment horizontal="center"/>
    </xf>
    <xf numFmtId="49" fontId="19" fillId="14" borderId="46" xfId="0" applyNumberFormat="1" applyFont="1" applyFill="1" applyBorder="1" applyAlignment="1">
      <alignment horizontal="center"/>
    </xf>
    <xf numFmtId="49" fontId="19" fillId="21" borderId="46" xfId="0" applyNumberFormat="1" applyFont="1" applyFill="1" applyBorder="1" applyAlignment="1">
      <alignment horizontal="center"/>
    </xf>
    <xf numFmtId="49" fontId="19" fillId="22" borderId="46" xfId="0" applyNumberFormat="1" applyFont="1" applyFill="1" applyBorder="1" applyAlignment="1">
      <alignment horizontal="center"/>
    </xf>
    <xf numFmtId="49" fontId="19" fillId="0" borderId="47" xfId="0" applyNumberFormat="1" applyFont="1" applyBorder="1" applyAlignment="1">
      <alignment horizontal="center"/>
    </xf>
    <xf numFmtId="0" fontId="20" fillId="0" borderId="48" xfId="0" applyFont="1" applyBorder="1"/>
    <xf numFmtId="170" fontId="20" fillId="23" borderId="45" xfId="0" applyNumberFormat="1" applyFont="1" applyFill="1" applyBorder="1"/>
    <xf numFmtId="170" fontId="20" fillId="23" borderId="46" xfId="0" applyNumberFormat="1" applyFont="1" applyFill="1" applyBorder="1"/>
    <xf numFmtId="0" fontId="21" fillId="23" borderId="46" xfId="0" applyFont="1" applyFill="1" applyBorder="1" applyAlignment="1">
      <alignment horizontal="center"/>
    </xf>
    <xf numFmtId="49" fontId="21" fillId="23" borderId="46" xfId="0" applyNumberFormat="1" applyFont="1" applyFill="1" applyBorder="1" applyAlignment="1">
      <alignment horizontal="center"/>
    </xf>
    <xf numFmtId="0" fontId="22" fillId="23" borderId="46" xfId="0" applyFont="1" applyFill="1" applyBorder="1" applyAlignment="1">
      <alignment horizontal="center"/>
    </xf>
    <xf numFmtId="0" fontId="21" fillId="23" borderId="47" xfId="0" applyFont="1" applyFill="1" applyBorder="1" applyAlignment="1">
      <alignment horizontal="center"/>
    </xf>
    <xf numFmtId="49" fontId="20" fillId="0" borderId="49" xfId="0" applyNumberFormat="1" applyFont="1" applyBorder="1"/>
    <xf numFmtId="170" fontId="20" fillId="0" borderId="50" xfId="0" applyNumberFormat="1" applyFont="1" applyBorder="1"/>
    <xf numFmtId="0" fontId="20" fillId="0" borderId="50" xfId="0" applyFont="1" applyBorder="1"/>
    <xf numFmtId="0" fontId="20" fillId="0" borderId="51" xfId="0" applyFont="1" applyBorder="1"/>
    <xf numFmtId="49" fontId="20" fillId="0" borderId="52" xfId="0" applyNumberFormat="1" applyFont="1" applyBorder="1"/>
    <xf numFmtId="170" fontId="20" fillId="0" borderId="37" xfId="0" applyNumberFormat="1" applyFont="1" applyBorder="1"/>
    <xf numFmtId="0" fontId="20" fillId="0" borderId="37" xfId="0" applyFont="1" applyBorder="1"/>
    <xf numFmtId="3" fontId="20" fillId="0" borderId="37" xfId="0" applyNumberFormat="1" applyFont="1" applyBorder="1"/>
    <xf numFmtId="0" fontId="19" fillId="0" borderId="37" xfId="0" applyFont="1" applyBorder="1"/>
    <xf numFmtId="3" fontId="19" fillId="0" borderId="53" xfId="0" applyNumberFormat="1" applyFont="1" applyBorder="1"/>
    <xf numFmtId="49" fontId="20" fillId="0" borderId="54" xfId="0" applyNumberFormat="1" applyFont="1" applyBorder="1"/>
    <xf numFmtId="170" fontId="20" fillId="0" borderId="55" xfId="0" applyNumberFormat="1" applyFont="1" applyBorder="1"/>
    <xf numFmtId="0" fontId="20" fillId="0" borderId="55" xfId="0" applyFont="1" applyBorder="1"/>
    <xf numFmtId="3" fontId="20" fillId="0" borderId="55" xfId="0" applyNumberFormat="1" applyFont="1" applyBorder="1"/>
    <xf numFmtId="0" fontId="19" fillId="0" borderId="55" xfId="0" applyFont="1" applyBorder="1"/>
    <xf numFmtId="3" fontId="19" fillId="0" borderId="56" xfId="0" applyNumberFormat="1" applyFont="1" applyBorder="1"/>
    <xf numFmtId="3" fontId="20" fillId="0" borderId="50" xfId="0" applyNumberFormat="1" applyFont="1" applyBorder="1"/>
    <xf numFmtId="0" fontId="19" fillId="0" borderId="50" xfId="0" applyFont="1" applyBorder="1"/>
    <xf numFmtId="3" fontId="19" fillId="0" borderId="51" xfId="0" applyNumberFormat="1" applyFont="1" applyBorder="1"/>
    <xf numFmtId="0" fontId="23" fillId="0" borderId="37" xfId="0" applyFont="1" applyBorder="1"/>
    <xf numFmtId="49" fontId="24" fillId="24" borderId="55" xfId="0" applyNumberFormat="1" applyFont="1" applyFill="1" applyBorder="1"/>
    <xf numFmtId="170" fontId="24" fillId="24" borderId="55" xfId="0" applyNumberFormat="1" applyFont="1" applyFill="1" applyBorder="1"/>
    <xf numFmtId="49" fontId="19" fillId="25" borderId="50" xfId="0" applyNumberFormat="1" applyFont="1" applyFill="1" applyBorder="1" applyAlignment="1">
      <alignment horizontal="center"/>
    </xf>
    <xf numFmtId="0" fontId="19" fillId="25" borderId="50" xfId="0" applyFont="1" applyFill="1" applyBorder="1" applyAlignment="1">
      <alignment horizontal="center"/>
    </xf>
    <xf numFmtId="3" fontId="19" fillId="25" borderId="50" xfId="0" applyNumberFormat="1" applyFont="1" applyFill="1" applyBorder="1" applyAlignment="1">
      <alignment horizontal="center"/>
    </xf>
    <xf numFmtId="3" fontId="19" fillId="25" borderId="51" xfId="0" applyNumberFormat="1" applyFont="1" applyFill="1" applyBorder="1"/>
    <xf numFmtId="49" fontId="19" fillId="25" borderId="37" xfId="0" applyNumberFormat="1" applyFont="1" applyFill="1" applyBorder="1" applyAlignment="1">
      <alignment horizontal="center"/>
    </xf>
    <xf numFmtId="0" fontId="19" fillId="25" borderId="37" xfId="0" applyFont="1" applyFill="1" applyBorder="1" applyAlignment="1">
      <alignment horizontal="center"/>
    </xf>
    <xf numFmtId="9" fontId="25" fillId="25" borderId="37" xfId="0" applyNumberFormat="1" applyFont="1" applyFill="1" applyBorder="1" applyAlignment="1">
      <alignment horizontal="center"/>
    </xf>
    <xf numFmtId="9" fontId="25" fillId="25" borderId="53" xfId="0" applyNumberFormat="1" applyFont="1" applyFill="1" applyBorder="1" applyAlignment="1">
      <alignment horizontal="center"/>
    </xf>
    <xf numFmtId="0" fontId="24" fillId="23" borderId="55" xfId="0" applyFont="1" applyFill="1" applyBorder="1"/>
    <xf numFmtId="0" fontId="21" fillId="23" borderId="55" xfId="0" applyFont="1" applyFill="1" applyBorder="1" applyAlignment="1">
      <alignment horizontal="center"/>
    </xf>
    <xf numFmtId="49" fontId="21" fillId="23" borderId="55" xfId="0" applyNumberFormat="1" applyFont="1" applyFill="1" applyBorder="1" applyAlignment="1">
      <alignment horizontal="center"/>
    </xf>
    <xf numFmtId="0" fontId="22" fillId="23" borderId="55" xfId="0" applyFont="1" applyFill="1" applyBorder="1" applyAlignment="1">
      <alignment horizontal="center"/>
    </xf>
    <xf numFmtId="0" fontId="21" fillId="23" borderId="56" xfId="0" applyFont="1" applyFill="1" applyBorder="1" applyAlignment="1">
      <alignment horizontal="center"/>
    </xf>
    <xf numFmtId="169" fontId="20" fillId="0" borderId="50" xfId="0" applyNumberFormat="1" applyFont="1" applyBorder="1"/>
    <xf numFmtId="0" fontId="19" fillId="0" borderId="51" xfId="0" applyFont="1" applyBorder="1"/>
    <xf numFmtId="0" fontId="19" fillId="0" borderId="53" xfId="0" applyFont="1" applyBorder="1"/>
    <xf numFmtId="0" fontId="19" fillId="0" borderId="56" xfId="0" applyFont="1" applyBorder="1"/>
    <xf numFmtId="1" fontId="20" fillId="0" borderId="37" xfId="0" applyNumberFormat="1" applyFont="1" applyBorder="1"/>
    <xf numFmtId="1" fontId="19" fillId="0" borderId="53" xfId="0" applyNumberFormat="1" applyFont="1" applyBorder="1"/>
    <xf numFmtId="0" fontId="20" fillId="26" borderId="37" xfId="0" applyFont="1" applyFill="1" applyBorder="1"/>
    <xf numFmtId="1" fontId="20" fillId="0" borderId="55" xfId="0" applyNumberFormat="1" applyFont="1" applyBorder="1"/>
    <xf numFmtId="1" fontId="19" fillId="0" borderId="56" xfId="0" applyNumberFormat="1" applyFont="1" applyBorder="1"/>
    <xf numFmtId="0" fontId="23" fillId="0" borderId="55" xfId="0" applyFont="1" applyBorder="1"/>
    <xf numFmtId="49" fontId="24" fillId="24" borderId="54" xfId="0" applyNumberFormat="1" applyFont="1" applyFill="1" applyBorder="1"/>
    <xf numFmtId="49" fontId="19" fillId="25" borderId="49" xfId="0" applyNumberFormat="1" applyFont="1" applyFill="1" applyBorder="1" applyAlignment="1">
      <alignment horizontal="center"/>
    </xf>
    <xf numFmtId="49" fontId="19" fillId="25" borderId="52" xfId="0" applyNumberFormat="1" applyFont="1" applyFill="1" applyBorder="1" applyAlignment="1">
      <alignment horizontal="center"/>
    </xf>
    <xf numFmtId="0" fontId="20" fillId="25" borderId="53" xfId="0" applyFont="1" applyFill="1" applyBorder="1" applyAlignment="1">
      <alignment horizontal="center"/>
    </xf>
    <xf numFmtId="49" fontId="19" fillId="25" borderId="54" xfId="0" applyNumberFormat="1" applyFont="1" applyFill="1" applyBorder="1" applyAlignment="1">
      <alignment horizontal="center"/>
    </xf>
    <xf numFmtId="0" fontId="19" fillId="25" borderId="55" xfId="0" applyFont="1" applyFill="1" applyBorder="1" applyAlignment="1">
      <alignment horizontal="center"/>
    </xf>
    <xf numFmtId="9" fontId="25" fillId="25" borderId="55" xfId="0" applyNumberFormat="1" applyFont="1" applyFill="1" applyBorder="1" applyAlignment="1">
      <alignment horizontal="center"/>
    </xf>
    <xf numFmtId="49" fontId="25" fillId="25" borderId="55" xfId="0" applyNumberFormat="1" applyFont="1" applyFill="1" applyBorder="1" applyAlignment="1">
      <alignment horizontal="center"/>
    </xf>
    <xf numFmtId="9" fontId="25" fillId="25" borderId="56" xfId="0" applyNumberFormat="1" applyFont="1" applyFill="1" applyBorder="1" applyAlignment="1">
      <alignment horizontal="center"/>
    </xf>
    <xf numFmtId="170" fontId="20" fillId="23" borderId="49" xfId="0" applyNumberFormat="1" applyFont="1" applyFill="1" applyBorder="1"/>
    <xf numFmtId="0" fontId="21" fillId="23" borderId="50" xfId="0" applyFont="1" applyFill="1" applyBorder="1" applyAlignment="1">
      <alignment horizontal="center"/>
    </xf>
    <xf numFmtId="49" fontId="21" fillId="23" borderId="50" xfId="0" applyNumberFormat="1" applyFont="1" applyFill="1" applyBorder="1" applyAlignment="1">
      <alignment horizontal="center"/>
    </xf>
    <xf numFmtId="0" fontId="22" fillId="23" borderId="50" xfId="0" applyFont="1" applyFill="1" applyBorder="1" applyAlignment="1">
      <alignment horizontal="center"/>
    </xf>
    <xf numFmtId="0" fontId="21" fillId="23" borderId="51" xfId="0" applyFont="1" applyFill="1" applyBorder="1" applyAlignment="1">
      <alignment horizontal="center"/>
    </xf>
    <xf numFmtId="170" fontId="20" fillId="23" borderId="50" xfId="0" applyNumberFormat="1" applyFont="1" applyFill="1" applyBorder="1"/>
    <xf numFmtId="49" fontId="24" fillId="24" borderId="46" xfId="0" applyNumberFormat="1" applyFont="1" applyFill="1" applyBorder="1"/>
    <xf numFmtId="170" fontId="24" fillId="24" borderId="46" xfId="0" applyNumberFormat="1" applyFont="1" applyFill="1" applyBorder="1"/>
    <xf numFmtId="0" fontId="20" fillId="0" borderId="46" xfId="0" applyFont="1" applyBorder="1"/>
    <xf numFmtId="0" fontId="20" fillId="0" borderId="0" xfId="0" applyFont="1"/>
    <xf numFmtId="49" fontId="19" fillId="0" borderId="57" xfId="0" applyNumberFormat="1" applyFont="1" applyBorder="1" applyAlignment="1">
      <alignment horizontal="center"/>
    </xf>
    <xf numFmtId="49" fontId="19" fillId="0" borderId="58" xfId="0" applyNumberFormat="1" applyFont="1" applyBorder="1" applyAlignment="1">
      <alignment horizontal="center"/>
    </xf>
    <xf numFmtId="0" fontId="20" fillId="27" borderId="59" xfId="0" applyFont="1" applyFill="1" applyBorder="1"/>
    <xf numFmtId="0" fontId="20" fillId="0" borderId="63" xfId="0" applyFont="1" applyBorder="1"/>
    <xf numFmtId="0" fontId="20" fillId="0" borderId="64" xfId="0" applyFont="1" applyBorder="1"/>
    <xf numFmtId="0" fontId="20" fillId="0" borderId="65" xfId="0" applyFont="1" applyBorder="1" applyAlignment="1">
      <alignment horizontal="center"/>
    </xf>
    <xf numFmtId="169" fontId="20" fillId="0" borderId="65" xfId="0" applyNumberFormat="1" applyFont="1" applyBorder="1"/>
    <xf numFmtId="169" fontId="19" fillId="0" borderId="65" xfId="0" applyNumberFormat="1" applyFont="1" applyBorder="1"/>
    <xf numFmtId="169" fontId="20" fillId="0" borderId="66" xfId="0" applyNumberFormat="1" applyFont="1" applyBorder="1"/>
    <xf numFmtId="169" fontId="20" fillId="28" borderId="67" xfId="0" applyNumberFormat="1" applyFont="1" applyFill="1" applyBorder="1" applyAlignment="1">
      <alignment horizontal="center" vertical="center"/>
    </xf>
    <xf numFmtId="169" fontId="20" fillId="28" borderId="68" xfId="0" applyNumberFormat="1" applyFont="1" applyFill="1" applyBorder="1" applyAlignment="1">
      <alignment horizontal="center" vertical="center"/>
    </xf>
    <xf numFmtId="0" fontId="20" fillId="0" borderId="69" xfId="0" applyFont="1" applyBorder="1"/>
    <xf numFmtId="9" fontId="24" fillId="20" borderId="70" xfId="0" applyNumberFormat="1" applyFont="1" applyFill="1" applyBorder="1" applyAlignment="1">
      <alignment horizontal="left"/>
    </xf>
    <xf numFmtId="49" fontId="19" fillId="0" borderId="66" xfId="0" applyNumberFormat="1" applyFont="1" applyBorder="1" applyAlignment="1">
      <alignment horizontal="center"/>
    </xf>
    <xf numFmtId="49" fontId="19" fillId="0" borderId="67" xfId="0" applyNumberFormat="1" applyFont="1" applyBorder="1" applyAlignment="1">
      <alignment horizontal="center"/>
    </xf>
    <xf numFmtId="49" fontId="19" fillId="0" borderId="71" xfId="0" applyNumberFormat="1" applyFont="1" applyBorder="1" applyAlignment="1">
      <alignment horizontal="center"/>
    </xf>
    <xf numFmtId="49" fontId="19" fillId="28" borderId="65" xfId="0" applyNumberFormat="1" applyFont="1" applyFill="1" applyBorder="1" applyAlignment="1">
      <alignment horizontal="center" vertical="center"/>
    </xf>
    <xf numFmtId="0" fontId="20" fillId="0" borderId="72" xfId="0" applyFont="1" applyBorder="1" applyAlignment="1">
      <alignment horizontal="center"/>
    </xf>
    <xf numFmtId="169" fontId="20" fillId="0" borderId="73" xfId="0" applyNumberFormat="1" applyFont="1" applyBorder="1"/>
    <xf numFmtId="169" fontId="19" fillId="0" borderId="73" xfId="0" applyNumberFormat="1" applyFont="1" applyBorder="1"/>
    <xf numFmtId="169" fontId="20" fillId="28" borderId="73" xfId="0" applyNumberFormat="1" applyFont="1" applyFill="1" applyBorder="1" applyAlignment="1">
      <alignment horizontal="center" vertical="center"/>
    </xf>
    <xf numFmtId="0" fontId="20" fillId="0" borderId="73" xfId="0" applyFont="1" applyBorder="1"/>
    <xf numFmtId="0" fontId="20" fillId="0" borderId="74" xfId="0" applyFont="1" applyBorder="1"/>
    <xf numFmtId="171" fontId="20" fillId="28" borderId="73" xfId="0" applyNumberFormat="1" applyFont="1" applyFill="1" applyBorder="1" applyAlignment="1">
      <alignment horizontal="center" vertical="center"/>
    </xf>
    <xf numFmtId="171" fontId="19" fillId="28" borderId="73" xfId="0" applyNumberFormat="1" applyFont="1" applyFill="1" applyBorder="1" applyAlignment="1">
      <alignment horizontal="center" vertical="center"/>
    </xf>
    <xf numFmtId="171" fontId="19" fillId="28" borderId="75" xfId="0" applyNumberFormat="1" applyFont="1" applyFill="1" applyBorder="1" applyAlignment="1">
      <alignment horizontal="center" vertical="center"/>
    </xf>
    <xf numFmtId="169" fontId="20" fillId="0" borderId="77" xfId="0" applyNumberFormat="1" applyFont="1" applyBorder="1"/>
    <xf numFmtId="169" fontId="19" fillId="0" borderId="78" xfId="0" applyNumberFormat="1" applyFont="1" applyBorder="1"/>
    <xf numFmtId="169" fontId="20" fillId="0" borderId="79" xfId="0" applyNumberFormat="1" applyFont="1" applyBorder="1"/>
    <xf numFmtId="169" fontId="20" fillId="28" borderId="77" xfId="0" applyNumberFormat="1" applyFont="1" applyFill="1" applyBorder="1" applyAlignment="1">
      <alignment horizontal="center" vertical="center"/>
    </xf>
    <xf numFmtId="169" fontId="20" fillId="0" borderId="80" xfId="0" applyNumberFormat="1" applyFont="1" applyBorder="1"/>
    <xf numFmtId="0" fontId="20" fillId="27" borderId="81" xfId="0" applyFont="1" applyFill="1" applyBorder="1"/>
    <xf numFmtId="171" fontId="20" fillId="28" borderId="79" xfId="0" applyNumberFormat="1" applyFont="1" applyFill="1" applyBorder="1" applyAlignment="1">
      <alignment horizontal="center" vertical="center"/>
    </xf>
    <xf numFmtId="171" fontId="20" fillId="28" borderId="77" xfId="0" applyNumberFormat="1" applyFont="1" applyFill="1" applyBorder="1" applyAlignment="1">
      <alignment horizontal="center" vertical="center"/>
    </xf>
    <xf numFmtId="171" fontId="20" fillId="28" borderId="78" xfId="0" applyNumberFormat="1" applyFont="1" applyFill="1" applyBorder="1" applyAlignment="1">
      <alignment horizontal="center" vertical="center"/>
    </xf>
    <xf numFmtId="171" fontId="20" fillId="28" borderId="82" xfId="0" applyNumberFormat="1" applyFont="1" applyFill="1" applyBorder="1" applyAlignment="1">
      <alignment horizontal="center" vertical="center"/>
    </xf>
    <xf numFmtId="171" fontId="19" fillId="28" borderId="69" xfId="0" applyNumberFormat="1" applyFont="1" applyFill="1" applyBorder="1" applyAlignment="1">
      <alignment horizontal="center" vertical="center"/>
    </xf>
    <xf numFmtId="169" fontId="20" fillId="0" borderId="37" xfId="0" applyNumberFormat="1" applyFont="1" applyBorder="1"/>
    <xf numFmtId="169" fontId="19" fillId="0" borderId="83" xfId="0" applyNumberFormat="1" applyFont="1" applyBorder="1"/>
    <xf numFmtId="169" fontId="20" fillId="0" borderId="84" xfId="0" applyNumberFormat="1" applyFont="1" applyBorder="1"/>
    <xf numFmtId="169" fontId="20" fillId="28" borderId="37" xfId="0" applyNumberFormat="1" applyFont="1" applyFill="1" applyBorder="1" applyAlignment="1">
      <alignment horizontal="center" vertical="center"/>
    </xf>
    <xf numFmtId="0" fontId="20" fillId="27" borderId="85" xfId="0" applyFont="1" applyFill="1" applyBorder="1"/>
    <xf numFmtId="0" fontId="20" fillId="0" borderId="84" xfId="0" applyFont="1" applyBorder="1"/>
    <xf numFmtId="171" fontId="20" fillId="28" borderId="37" xfId="0" applyNumberFormat="1" applyFont="1" applyFill="1" applyBorder="1" applyAlignment="1">
      <alignment horizontal="center" vertical="center"/>
    </xf>
    <xf numFmtId="171" fontId="20" fillId="28" borderId="83" xfId="0" applyNumberFormat="1" applyFont="1" applyFill="1" applyBorder="1" applyAlignment="1">
      <alignment horizontal="center" vertical="center"/>
    </xf>
    <xf numFmtId="171" fontId="20" fillId="28" borderId="84" xfId="0" applyNumberFormat="1" applyFont="1" applyFill="1" applyBorder="1" applyAlignment="1">
      <alignment horizontal="center" vertical="center"/>
    </xf>
    <xf numFmtId="171" fontId="20" fillId="28" borderId="86" xfId="0" applyNumberFormat="1" applyFont="1" applyFill="1" applyBorder="1" applyAlignment="1">
      <alignment horizontal="center" vertical="center"/>
    </xf>
    <xf numFmtId="171" fontId="19" fillId="28" borderId="87" xfId="0" applyNumberFormat="1" applyFont="1" applyFill="1" applyBorder="1" applyAlignment="1">
      <alignment horizontal="center" vertical="center"/>
    </xf>
    <xf numFmtId="169" fontId="20" fillId="0" borderId="55" xfId="0" applyNumberFormat="1" applyFont="1" applyBorder="1"/>
    <xf numFmtId="169" fontId="19" fillId="0" borderId="88" xfId="0" applyNumberFormat="1" applyFont="1" applyBorder="1"/>
    <xf numFmtId="169" fontId="20" fillId="0" borderId="89" xfId="0" applyNumberFormat="1" applyFont="1" applyBorder="1"/>
    <xf numFmtId="169" fontId="20" fillId="28" borderId="55" xfId="0" applyNumberFormat="1" applyFont="1" applyFill="1" applyBorder="1" applyAlignment="1">
      <alignment horizontal="center" vertical="center"/>
    </xf>
    <xf numFmtId="169" fontId="20" fillId="0" borderId="90" xfId="0" applyNumberFormat="1" applyFont="1" applyBorder="1"/>
    <xf numFmtId="0" fontId="20" fillId="27" borderId="91" xfId="0" applyFont="1" applyFill="1" applyBorder="1"/>
    <xf numFmtId="171" fontId="20" fillId="28" borderId="89" xfId="0" applyNumberFormat="1" applyFont="1" applyFill="1" applyBorder="1" applyAlignment="1">
      <alignment horizontal="center" vertical="center"/>
    </xf>
    <xf numFmtId="171" fontId="20" fillId="28" borderId="55" xfId="0" applyNumberFormat="1" applyFont="1" applyFill="1" applyBorder="1" applyAlignment="1">
      <alignment horizontal="center" vertical="center"/>
    </xf>
    <xf numFmtId="171" fontId="20" fillId="28" borderId="88" xfId="0" applyNumberFormat="1" applyFont="1" applyFill="1" applyBorder="1" applyAlignment="1">
      <alignment horizontal="center" vertical="center"/>
    </xf>
    <xf numFmtId="171" fontId="20" fillId="28" borderId="92" xfId="0" applyNumberFormat="1" applyFont="1" applyFill="1" applyBorder="1" applyAlignment="1">
      <alignment horizontal="center" vertical="center"/>
    </xf>
    <xf numFmtId="169" fontId="19" fillId="0" borderId="93" xfId="0" applyNumberFormat="1" applyFont="1" applyBorder="1"/>
    <xf numFmtId="169" fontId="20" fillId="0" borderId="94" xfId="0" applyNumberFormat="1" applyFont="1" applyBorder="1"/>
    <xf numFmtId="169" fontId="20" fillId="28" borderId="50" xfId="0" applyNumberFormat="1" applyFont="1" applyFill="1" applyBorder="1" applyAlignment="1">
      <alignment horizontal="center" vertical="center"/>
    </xf>
    <xf numFmtId="0" fontId="20" fillId="27" borderId="95" xfId="0" applyFont="1" applyFill="1" applyBorder="1"/>
    <xf numFmtId="171" fontId="20" fillId="28" borderId="94" xfId="0" applyNumberFormat="1" applyFont="1" applyFill="1" applyBorder="1" applyAlignment="1">
      <alignment horizontal="center" vertical="center"/>
    </xf>
    <xf numFmtId="171" fontId="20" fillId="28" borderId="50" xfId="0" applyNumberFormat="1" applyFont="1" applyFill="1" applyBorder="1" applyAlignment="1">
      <alignment horizontal="center" vertical="center"/>
    </xf>
    <xf numFmtId="171" fontId="20" fillId="28" borderId="93" xfId="0" applyNumberFormat="1" applyFont="1" applyFill="1" applyBorder="1" applyAlignment="1">
      <alignment horizontal="center" vertical="center"/>
    </xf>
    <xf numFmtId="171" fontId="20" fillId="28" borderId="96" xfId="0" applyNumberFormat="1" applyFont="1" applyFill="1" applyBorder="1" applyAlignment="1">
      <alignment horizontal="center" vertical="center"/>
    </xf>
    <xf numFmtId="0" fontId="20" fillId="27" borderId="68" xfId="0" applyFont="1" applyFill="1" applyBorder="1"/>
    <xf numFmtId="169" fontId="19" fillId="25" borderId="44" xfId="0" applyNumberFormat="1" applyFont="1" applyFill="1" applyBorder="1" applyAlignment="1">
      <alignment horizontal="center" vertical="center"/>
    </xf>
    <xf numFmtId="0" fontId="20" fillId="25" borderId="44" xfId="0" applyFont="1" applyFill="1" applyBorder="1"/>
    <xf numFmtId="171" fontId="19" fillId="25" borderId="44" xfId="0" applyNumberFormat="1" applyFont="1" applyFill="1" applyBorder="1" applyAlignment="1">
      <alignment horizontal="center" vertical="center"/>
    </xf>
    <xf numFmtId="171" fontId="27" fillId="25" borderId="44" xfId="0" applyNumberFormat="1" applyFont="1" applyFill="1" applyBorder="1" applyAlignment="1">
      <alignment horizontal="center" vertical="center"/>
    </xf>
    <xf numFmtId="0" fontId="20" fillId="25" borderId="44" xfId="0" applyFont="1" applyFill="1" applyBorder="1" applyAlignment="1">
      <alignment horizontal="center"/>
    </xf>
    <xf numFmtId="0" fontId="19" fillId="25" borderId="44" xfId="0" applyFont="1" applyFill="1" applyBorder="1"/>
    <xf numFmtId="9" fontId="28" fillId="25" borderId="44" xfId="0" applyNumberFormat="1" applyFont="1" applyFill="1" applyBorder="1" applyAlignment="1">
      <alignment horizontal="center"/>
    </xf>
    <xf numFmtId="169" fontId="19" fillId="20" borderId="44" xfId="0" applyNumberFormat="1" applyFont="1" applyFill="1" applyBorder="1" applyAlignment="1">
      <alignment horizontal="center" vertical="center"/>
    </xf>
    <xf numFmtId="0" fontId="20" fillId="0" borderId="72" xfId="0" applyFont="1" applyBorder="1"/>
    <xf numFmtId="0" fontId="19" fillId="0" borderId="73" xfId="0" applyFont="1" applyBorder="1"/>
    <xf numFmtId="0" fontId="20" fillId="0" borderId="75" xfId="0" applyFont="1" applyBorder="1"/>
    <xf numFmtId="49" fontId="24" fillId="20" borderId="44" xfId="0" applyNumberFormat="1" applyFont="1" applyFill="1" applyBorder="1"/>
    <xf numFmtId="3" fontId="24" fillId="20" borderId="44" xfId="0" applyNumberFormat="1" applyFont="1" applyFill="1" applyBorder="1"/>
    <xf numFmtId="0" fontId="20" fillId="0" borderId="73" xfId="0" applyFont="1" applyBorder="1" applyAlignment="1">
      <alignment horizontal="center"/>
    </xf>
    <xf numFmtId="0" fontId="19" fillId="0" borderId="64" xfId="0" applyFont="1" applyBorder="1"/>
    <xf numFmtId="0" fontId="20" fillId="0" borderId="64" xfId="0" applyFont="1" applyBorder="1" applyAlignment="1">
      <alignment horizontal="center"/>
    </xf>
    <xf numFmtId="9" fontId="28" fillId="20" borderId="44" xfId="0" applyNumberFormat="1" applyFont="1" applyFill="1" applyBorder="1" applyAlignment="1">
      <alignment horizontal="center"/>
    </xf>
    <xf numFmtId="169" fontId="29" fillId="29" borderId="44" xfId="0" applyNumberFormat="1" applyFont="1" applyFill="1" applyBorder="1" applyAlignment="1">
      <alignment horizontal="center" vertical="center"/>
    </xf>
    <xf numFmtId="9" fontId="24" fillId="30" borderId="70" xfId="0" applyNumberFormat="1" applyFont="1" applyFill="1" applyBorder="1" applyAlignment="1">
      <alignment horizontal="left"/>
    </xf>
    <xf numFmtId="169" fontId="20" fillId="31" borderId="50" xfId="0" applyNumberFormat="1" applyFont="1" applyFill="1" applyBorder="1"/>
    <xf numFmtId="169" fontId="19" fillId="0" borderId="50" xfId="0" applyNumberFormat="1" applyFont="1" applyBorder="1"/>
    <xf numFmtId="9" fontId="20" fillId="0" borderId="50" xfId="0" applyNumberFormat="1" applyFont="1" applyBorder="1"/>
    <xf numFmtId="169" fontId="20" fillId="0" borderId="98" xfId="0" applyNumberFormat="1" applyFont="1" applyBorder="1"/>
    <xf numFmtId="0" fontId="20" fillId="27" borderId="99" xfId="0" applyFont="1" applyFill="1" applyBorder="1"/>
    <xf numFmtId="171" fontId="20" fillId="28" borderId="49" xfId="0" applyNumberFormat="1" applyFont="1" applyFill="1" applyBorder="1" applyAlignment="1">
      <alignment horizontal="center" vertical="center"/>
    </xf>
    <xf numFmtId="171" fontId="20" fillId="28" borderId="100" xfId="0" applyNumberFormat="1" applyFont="1" applyFill="1" applyBorder="1" applyAlignment="1">
      <alignment horizontal="center" vertical="center"/>
    </xf>
    <xf numFmtId="169" fontId="20" fillId="31" borderId="37" xfId="0" applyNumberFormat="1" applyFont="1" applyFill="1" applyBorder="1"/>
    <xf numFmtId="169" fontId="19" fillId="0" borderId="37" xfId="0" applyNumberFormat="1" applyFont="1" applyBorder="1"/>
    <xf numFmtId="9" fontId="20" fillId="0" borderId="55" xfId="0" applyNumberFormat="1" applyFont="1" applyBorder="1"/>
    <xf numFmtId="0" fontId="20" fillId="27" borderId="101" xfId="0" applyFont="1" applyFill="1" applyBorder="1"/>
    <xf numFmtId="171" fontId="20" fillId="28" borderId="52" xfId="0" applyNumberFormat="1" applyFont="1" applyFill="1" applyBorder="1" applyAlignment="1">
      <alignment horizontal="center" vertical="center"/>
    </xf>
    <xf numFmtId="171" fontId="20" fillId="28" borderId="102" xfId="0" applyNumberFormat="1" applyFont="1" applyFill="1" applyBorder="1" applyAlignment="1">
      <alignment horizontal="center" vertical="center"/>
    </xf>
    <xf numFmtId="169" fontId="20" fillId="31" borderId="55" xfId="0" applyNumberFormat="1" applyFont="1" applyFill="1" applyBorder="1"/>
    <xf numFmtId="169" fontId="19" fillId="0" borderId="55" xfId="0" applyNumberFormat="1" applyFont="1" applyBorder="1"/>
    <xf numFmtId="0" fontId="20" fillId="27" borderId="103" xfId="0" applyFont="1" applyFill="1" applyBorder="1"/>
    <xf numFmtId="171" fontId="20" fillId="28" borderId="54" xfId="0" applyNumberFormat="1" applyFont="1" applyFill="1" applyBorder="1" applyAlignment="1">
      <alignment horizontal="center" vertical="center"/>
    </xf>
    <xf numFmtId="171" fontId="20" fillId="28" borderId="104" xfId="0" applyNumberFormat="1" applyFont="1" applyFill="1" applyBorder="1" applyAlignment="1">
      <alignment horizontal="center" vertical="center"/>
    </xf>
    <xf numFmtId="0" fontId="20" fillId="27" borderId="105" xfId="0" applyFont="1" applyFill="1" applyBorder="1"/>
    <xf numFmtId="169" fontId="19" fillId="33" borderId="37" xfId="0" applyNumberFormat="1" applyFont="1" applyFill="1" applyBorder="1"/>
    <xf numFmtId="9" fontId="20" fillId="0" borderId="37" xfId="0" applyNumberFormat="1" applyFont="1" applyBorder="1"/>
    <xf numFmtId="171" fontId="20" fillId="28" borderId="106" xfId="0" applyNumberFormat="1" applyFont="1" applyFill="1" applyBorder="1" applyAlignment="1">
      <alignment horizontal="center" vertical="center"/>
    </xf>
    <xf numFmtId="171" fontId="20" fillId="28" borderId="107" xfId="0" applyNumberFormat="1" applyFont="1" applyFill="1" applyBorder="1" applyAlignment="1">
      <alignment horizontal="center" vertical="center"/>
    </xf>
    <xf numFmtId="171" fontId="20" fillId="28" borderId="108" xfId="0" applyNumberFormat="1" applyFont="1" applyFill="1" applyBorder="1" applyAlignment="1">
      <alignment horizontal="center" vertical="center"/>
    </xf>
    <xf numFmtId="171" fontId="20" fillId="28" borderId="109" xfId="0" applyNumberFormat="1" applyFont="1" applyFill="1" applyBorder="1" applyAlignment="1">
      <alignment horizontal="center" vertical="center"/>
    </xf>
    <xf numFmtId="171" fontId="20" fillId="28" borderId="110" xfId="0" applyNumberFormat="1" applyFont="1" applyFill="1" applyBorder="1" applyAlignment="1">
      <alignment horizontal="center" vertical="center"/>
    </xf>
    <xf numFmtId="171" fontId="20" fillId="28" borderId="66" xfId="0" applyNumberFormat="1" applyFont="1" applyFill="1" applyBorder="1" applyAlignment="1">
      <alignment horizontal="center" vertical="center"/>
    </xf>
    <xf numFmtId="171" fontId="20" fillId="28" borderId="67" xfId="0" applyNumberFormat="1" applyFont="1" applyFill="1" applyBorder="1" applyAlignment="1">
      <alignment horizontal="center" vertical="center"/>
    </xf>
    <xf numFmtId="171" fontId="20" fillId="28" borderId="71" xfId="0" applyNumberFormat="1" applyFont="1" applyFill="1" applyBorder="1" applyAlignment="1">
      <alignment horizontal="center" vertical="center"/>
    </xf>
    <xf numFmtId="171" fontId="23" fillId="28" borderId="111" xfId="0" applyNumberFormat="1" applyFont="1" applyFill="1" applyBorder="1" applyAlignment="1">
      <alignment horizontal="center" vertical="center"/>
    </xf>
    <xf numFmtId="171" fontId="27" fillId="28" borderId="112" xfId="0" applyNumberFormat="1" applyFont="1" applyFill="1" applyBorder="1" applyAlignment="1">
      <alignment horizontal="center" vertical="center"/>
    </xf>
    <xf numFmtId="49" fontId="19" fillId="25" borderId="44" xfId="0" applyNumberFormat="1" applyFont="1" applyFill="1" applyBorder="1" applyAlignment="1">
      <alignment horizontal="center" vertical="center"/>
    </xf>
    <xf numFmtId="171" fontId="19" fillId="25" borderId="44" xfId="0" applyNumberFormat="1" applyFont="1" applyFill="1" applyBorder="1" applyAlignment="1">
      <alignment horizontal="center"/>
    </xf>
    <xf numFmtId="9" fontId="19" fillId="25" borderId="44" xfId="0" applyNumberFormat="1" applyFont="1" applyFill="1" applyBorder="1" applyAlignment="1">
      <alignment horizontal="center"/>
    </xf>
    <xf numFmtId="49" fontId="19" fillId="28" borderId="44" xfId="0" applyNumberFormat="1" applyFont="1" applyFill="1" applyBorder="1" applyAlignment="1">
      <alignment horizontal="center" vertical="center"/>
    </xf>
    <xf numFmtId="169" fontId="19" fillId="28" borderId="44" xfId="0" applyNumberFormat="1" applyFont="1" applyFill="1" applyBorder="1" applyAlignment="1">
      <alignment horizontal="center" vertical="center"/>
    </xf>
    <xf numFmtId="169" fontId="19" fillId="0" borderId="73" xfId="0" applyNumberFormat="1" applyFont="1" applyBorder="1" applyAlignment="1">
      <alignment horizontal="center"/>
    </xf>
    <xf numFmtId="169" fontId="20" fillId="0" borderId="73" xfId="0" applyNumberFormat="1" applyFont="1" applyBorder="1" applyAlignment="1">
      <alignment horizontal="center"/>
    </xf>
    <xf numFmtId="10" fontId="20" fillId="0" borderId="73" xfId="0" applyNumberFormat="1" applyFont="1" applyBorder="1"/>
    <xf numFmtId="0" fontId="20" fillId="0" borderId="48" xfId="0" applyFont="1" applyBorder="1" applyAlignment="1">
      <alignment horizontal="center"/>
    </xf>
    <xf numFmtId="169" fontId="19" fillId="0" borderId="64" xfId="0" applyNumberFormat="1" applyFont="1" applyBorder="1" applyAlignment="1">
      <alignment horizontal="center"/>
    </xf>
    <xf numFmtId="169" fontId="20" fillId="0" borderId="64" xfId="0" applyNumberFormat="1" applyFont="1" applyBorder="1" applyAlignment="1">
      <alignment horizontal="center"/>
    </xf>
    <xf numFmtId="169" fontId="20" fillId="0" borderId="64" xfId="0" applyNumberFormat="1" applyFont="1" applyBorder="1"/>
    <xf numFmtId="10" fontId="20" fillId="0" borderId="64" xfId="0" applyNumberFormat="1" applyFont="1" applyBorder="1"/>
    <xf numFmtId="0" fontId="20" fillId="0" borderId="113" xfId="0" applyFont="1" applyBorder="1"/>
    <xf numFmtId="0" fontId="24" fillId="20" borderId="44" xfId="0" applyFont="1" applyFill="1" applyBorder="1"/>
    <xf numFmtId="0" fontId="20" fillId="0" borderId="114" xfId="0" applyFont="1" applyBorder="1" applyAlignment="1">
      <alignment horizontal="center"/>
    </xf>
    <xf numFmtId="0" fontId="20" fillId="0" borderId="115" xfId="0" applyFont="1" applyBorder="1" applyAlignment="1">
      <alignment horizontal="center"/>
    </xf>
    <xf numFmtId="169" fontId="19" fillId="0" borderId="115" xfId="0" applyNumberFormat="1" applyFont="1" applyBorder="1" applyAlignment="1">
      <alignment horizontal="center"/>
    </xf>
    <xf numFmtId="169" fontId="20" fillId="0" borderId="115" xfId="0" applyNumberFormat="1" applyFont="1" applyBorder="1" applyAlignment="1">
      <alignment horizontal="center"/>
    </xf>
    <xf numFmtId="169" fontId="20" fillId="0" borderId="115" xfId="0" applyNumberFormat="1" applyFont="1" applyBorder="1"/>
    <xf numFmtId="10" fontId="20" fillId="0" borderId="115" xfId="0" applyNumberFormat="1" applyFont="1" applyBorder="1"/>
    <xf numFmtId="49" fontId="24" fillId="14" borderId="44" xfId="0" applyNumberFormat="1" applyFont="1" applyFill="1" applyBorder="1"/>
    <xf numFmtId="3" fontId="24" fillId="14" borderId="44" xfId="0" applyNumberFormat="1" applyFont="1" applyFill="1" applyBorder="1"/>
    <xf numFmtId="9" fontId="28" fillId="28" borderId="44" xfId="0" applyNumberFormat="1" applyFont="1" applyFill="1" applyBorder="1" applyAlignment="1">
      <alignment horizontal="center"/>
    </xf>
    <xf numFmtId="0" fontId="20" fillId="0" borderId="116" xfId="0" applyFont="1" applyBorder="1" applyAlignment="1">
      <alignment horizontal="center"/>
    </xf>
    <xf numFmtId="0" fontId="20" fillId="0" borderId="0" xfId="0" applyFont="1" applyAlignment="1">
      <alignment horizontal="center"/>
    </xf>
    <xf numFmtId="169" fontId="19" fillId="0" borderId="0" xfId="0" applyNumberFormat="1" applyFont="1" applyAlignment="1">
      <alignment horizontal="center"/>
    </xf>
    <xf numFmtId="169" fontId="20" fillId="0" borderId="0" xfId="0" applyNumberFormat="1" applyFont="1" applyAlignment="1">
      <alignment horizontal="center"/>
    </xf>
    <xf numFmtId="169" fontId="20" fillId="0" borderId="0" xfId="0" applyNumberFormat="1" applyFont="1"/>
    <xf numFmtId="10" fontId="20" fillId="0" borderId="0" xfId="0" applyNumberFormat="1" applyFont="1"/>
    <xf numFmtId="0" fontId="20" fillId="0" borderId="117" xfId="0" applyFont="1" applyBorder="1"/>
    <xf numFmtId="3" fontId="20" fillId="0" borderId="116" xfId="0" applyNumberFormat="1" applyFont="1" applyBorder="1" applyAlignment="1">
      <alignment horizontal="center"/>
    </xf>
    <xf numFmtId="0" fontId="19" fillId="0" borderId="119" xfId="0" applyFont="1" applyBorder="1"/>
    <xf numFmtId="0" fontId="20" fillId="0" borderId="120" xfId="0" applyFont="1" applyBorder="1"/>
    <xf numFmtId="0" fontId="19" fillId="0" borderId="120" xfId="0" applyFont="1" applyBorder="1"/>
    <xf numFmtId="169" fontId="20" fillId="0" borderId="121" xfId="0" applyNumberFormat="1" applyFont="1" applyBorder="1"/>
    <xf numFmtId="169" fontId="20" fillId="28" borderId="122" xfId="0" applyNumberFormat="1" applyFont="1" applyFill="1" applyBorder="1" applyAlignment="1">
      <alignment horizontal="center" vertical="center"/>
    </xf>
    <xf numFmtId="49" fontId="20" fillId="0" borderId="49" xfId="0" applyNumberFormat="1" applyFont="1" applyBorder="1" applyAlignment="1">
      <alignment horizontal="center"/>
    </xf>
    <xf numFmtId="169" fontId="20" fillId="29" borderId="50" xfId="0" applyNumberFormat="1" applyFont="1" applyFill="1" applyBorder="1"/>
    <xf numFmtId="169" fontId="20" fillId="34" borderId="50" xfId="0" applyNumberFormat="1" applyFont="1" applyFill="1" applyBorder="1" applyAlignment="1">
      <alignment horizontal="center" vertical="center"/>
    </xf>
    <xf numFmtId="0" fontId="20" fillId="27" borderId="50" xfId="0" applyFont="1" applyFill="1" applyBorder="1"/>
    <xf numFmtId="171" fontId="19" fillId="28" borderId="51" xfId="0" applyNumberFormat="1" applyFont="1" applyFill="1" applyBorder="1" applyAlignment="1">
      <alignment horizontal="center" vertical="center"/>
    </xf>
    <xf numFmtId="49" fontId="20" fillId="0" borderId="52" xfId="0" applyNumberFormat="1" applyFont="1" applyBorder="1" applyAlignment="1">
      <alignment horizontal="center"/>
    </xf>
    <xf numFmtId="169" fontId="20" fillId="34" borderId="37" xfId="0" applyNumberFormat="1" applyFont="1" applyFill="1" applyBorder="1" applyAlignment="1">
      <alignment horizontal="center" vertical="center"/>
    </xf>
    <xf numFmtId="0" fontId="20" fillId="27" borderId="37" xfId="0" applyFont="1" applyFill="1" applyBorder="1"/>
    <xf numFmtId="171" fontId="19" fillId="28" borderId="53" xfId="0" applyNumberFormat="1" applyFont="1" applyFill="1" applyBorder="1" applyAlignment="1">
      <alignment horizontal="center" vertical="center"/>
    </xf>
    <xf numFmtId="49" fontId="20" fillId="0" borderId="54" xfId="0" applyNumberFormat="1" applyFont="1" applyBorder="1" applyAlignment="1">
      <alignment horizontal="center"/>
    </xf>
    <xf numFmtId="169" fontId="20" fillId="29" borderId="55" xfId="0" applyNumberFormat="1" applyFont="1" applyFill="1" applyBorder="1"/>
    <xf numFmtId="0" fontId="20" fillId="27" borderId="55" xfId="0" applyFont="1" applyFill="1" applyBorder="1"/>
    <xf numFmtId="171" fontId="19" fillId="28" borderId="56" xfId="0" applyNumberFormat="1" applyFont="1" applyFill="1" applyBorder="1" applyAlignment="1">
      <alignment horizontal="center" vertical="center"/>
    </xf>
    <xf numFmtId="169" fontId="20" fillId="29" borderId="46" xfId="0" applyNumberFormat="1" applyFont="1" applyFill="1" applyBorder="1"/>
    <xf numFmtId="169" fontId="20" fillId="29" borderId="37" xfId="0" applyNumberFormat="1" applyFont="1" applyFill="1" applyBorder="1"/>
    <xf numFmtId="169" fontId="20" fillId="14" borderId="37" xfId="0" applyNumberFormat="1" applyFont="1" applyFill="1" applyBorder="1"/>
    <xf numFmtId="49" fontId="20" fillId="0" borderId="50" xfId="0" applyNumberFormat="1" applyFont="1" applyBorder="1" applyAlignment="1">
      <alignment horizontal="center"/>
    </xf>
    <xf numFmtId="171" fontId="19" fillId="28" borderId="50" xfId="0" applyNumberFormat="1" applyFont="1" applyFill="1" applyBorder="1" applyAlignment="1">
      <alignment horizontal="center" vertical="center"/>
    </xf>
    <xf numFmtId="0" fontId="20" fillId="0" borderId="123" xfId="0" applyFont="1" applyBorder="1"/>
    <xf numFmtId="49" fontId="20" fillId="0" borderId="37" xfId="0" applyNumberFormat="1" applyFont="1" applyBorder="1" applyAlignment="1">
      <alignment horizontal="center"/>
    </xf>
    <xf numFmtId="171" fontId="19" fillId="28" borderId="37" xfId="0" applyNumberFormat="1" applyFont="1" applyFill="1" applyBorder="1" applyAlignment="1">
      <alignment horizontal="center" vertical="center"/>
    </xf>
    <xf numFmtId="169" fontId="19" fillId="25" borderId="97" xfId="0" applyNumberFormat="1" applyFont="1" applyFill="1" applyBorder="1" applyAlignment="1">
      <alignment horizontal="center" vertical="center"/>
    </xf>
    <xf numFmtId="0" fontId="20" fillId="0" borderId="97" xfId="0" applyFont="1" applyBorder="1"/>
    <xf numFmtId="171" fontId="19" fillId="25" borderId="97" xfId="0" applyNumberFormat="1" applyFont="1" applyFill="1" applyBorder="1" applyAlignment="1">
      <alignment horizontal="center" vertical="center"/>
    </xf>
    <xf numFmtId="171" fontId="27" fillId="25" borderId="97" xfId="0" applyNumberFormat="1" applyFont="1" applyFill="1" applyBorder="1" applyAlignment="1">
      <alignment horizontal="center" vertical="center"/>
    </xf>
    <xf numFmtId="49" fontId="19" fillId="25" borderId="44" xfId="0" applyNumberFormat="1" applyFont="1" applyFill="1" applyBorder="1" applyAlignment="1">
      <alignment horizontal="center"/>
    </xf>
    <xf numFmtId="9" fontId="20" fillId="0" borderId="44" xfId="0" applyNumberFormat="1" applyFont="1" applyBorder="1" applyAlignment="1">
      <alignment horizontal="left"/>
    </xf>
    <xf numFmtId="3" fontId="19" fillId="25" borderId="44" xfId="0" applyNumberFormat="1" applyFont="1" applyFill="1" applyBorder="1" applyAlignment="1">
      <alignment horizontal="center"/>
    </xf>
    <xf numFmtId="169" fontId="19" fillId="0" borderId="72" xfId="0" applyNumberFormat="1" applyFont="1" applyBorder="1" applyAlignment="1">
      <alignment horizontal="center"/>
    </xf>
    <xf numFmtId="0" fontId="20" fillId="0" borderId="74" xfId="0" applyFont="1" applyBorder="1" applyAlignment="1">
      <alignment horizontal="center"/>
    </xf>
    <xf numFmtId="169" fontId="19" fillId="0" borderId="74" xfId="0" applyNumberFormat="1" applyFont="1" applyBorder="1" applyAlignment="1">
      <alignment horizontal="center"/>
    </xf>
    <xf numFmtId="169" fontId="20" fillId="0" borderId="74" xfId="0" applyNumberFormat="1" applyFont="1" applyBorder="1" applyAlignment="1">
      <alignment horizontal="center"/>
    </xf>
    <xf numFmtId="169" fontId="20" fillId="0" borderId="74" xfId="0" applyNumberFormat="1" applyFont="1" applyBorder="1"/>
    <xf numFmtId="10" fontId="20" fillId="0" borderId="75" xfId="0" applyNumberFormat="1" applyFont="1" applyBorder="1"/>
    <xf numFmtId="9" fontId="20" fillId="0" borderId="73" xfId="0" applyNumberFormat="1" applyFont="1" applyBorder="1"/>
    <xf numFmtId="9" fontId="20" fillId="0" borderId="75" xfId="0" applyNumberFormat="1" applyFont="1" applyBorder="1"/>
    <xf numFmtId="169" fontId="19" fillId="0" borderId="48" xfId="0" applyNumberFormat="1" applyFont="1" applyBorder="1" applyAlignment="1">
      <alignment horizontal="center"/>
    </xf>
    <xf numFmtId="0" fontId="20" fillId="0" borderId="124" xfId="0" applyFont="1" applyBorder="1" applyAlignment="1">
      <alignment horizontal="center"/>
    </xf>
    <xf numFmtId="10" fontId="20" fillId="0" borderId="117" xfId="0" applyNumberFormat="1" applyFont="1" applyBorder="1"/>
    <xf numFmtId="10" fontId="20" fillId="0" borderId="113" xfId="0" applyNumberFormat="1" applyFont="1" applyBorder="1"/>
    <xf numFmtId="169" fontId="19" fillId="0" borderId="114" xfId="0" applyNumberFormat="1" applyFont="1" applyBorder="1" applyAlignment="1">
      <alignment horizontal="center"/>
    </xf>
    <xf numFmtId="0" fontId="20" fillId="0" borderId="125" xfId="0" applyFont="1" applyBorder="1" applyAlignment="1">
      <alignment horizontal="center"/>
    </xf>
    <xf numFmtId="10" fontId="20" fillId="0" borderId="126" xfId="0" applyNumberFormat="1" applyFont="1" applyBorder="1"/>
    <xf numFmtId="10" fontId="20" fillId="0" borderId="127" xfId="0" applyNumberFormat="1" applyFont="1" applyBorder="1"/>
    <xf numFmtId="169" fontId="19" fillId="0" borderId="116" xfId="0" applyNumberFormat="1" applyFont="1" applyBorder="1" applyAlignment="1">
      <alignment horizontal="center"/>
    </xf>
    <xf numFmtId="0" fontId="20" fillId="0" borderId="124" xfId="0" applyFont="1" applyBorder="1"/>
    <xf numFmtId="10" fontId="20" fillId="0" borderId="128" xfId="0" applyNumberFormat="1" applyFont="1" applyBorder="1"/>
    <xf numFmtId="0" fontId="20" fillId="0" borderId="129" xfId="0" applyFont="1" applyBorder="1"/>
    <xf numFmtId="0" fontId="20" fillId="0" borderId="130" xfId="0" applyFont="1" applyBorder="1"/>
    <xf numFmtId="0" fontId="20" fillId="0" borderId="131" xfId="0" applyFont="1" applyBorder="1"/>
    <xf numFmtId="0" fontId="20" fillId="0" borderId="114" xfId="0" applyFont="1" applyBorder="1"/>
    <xf numFmtId="10" fontId="20" fillId="0" borderId="125" xfId="0" applyNumberFormat="1" applyFont="1" applyBorder="1"/>
    <xf numFmtId="3" fontId="20" fillId="0" borderId="117" xfId="0" applyNumberFormat="1" applyFont="1" applyBorder="1"/>
    <xf numFmtId="3" fontId="20" fillId="0" borderId="64" xfId="0" applyNumberFormat="1" applyFont="1" applyBorder="1"/>
    <xf numFmtId="3" fontId="20" fillId="0" borderId="132" xfId="0" applyNumberFormat="1" applyFont="1" applyBorder="1"/>
    <xf numFmtId="169" fontId="20" fillId="28" borderId="133" xfId="0" applyNumberFormat="1" applyFont="1" applyFill="1" applyBorder="1" applyAlignment="1">
      <alignment horizontal="center" vertical="center"/>
    </xf>
    <xf numFmtId="169" fontId="20" fillId="34" borderId="55" xfId="0" applyNumberFormat="1" applyFont="1" applyFill="1" applyBorder="1" applyAlignment="1">
      <alignment horizontal="center" vertical="center"/>
    </xf>
    <xf numFmtId="169" fontId="20" fillId="34" borderId="134" xfId="0" applyNumberFormat="1" applyFont="1" applyFill="1" applyBorder="1" applyAlignment="1">
      <alignment horizontal="center" vertical="center"/>
    </xf>
    <xf numFmtId="0" fontId="20" fillId="27" borderId="135" xfId="0" applyFont="1" applyFill="1" applyBorder="1"/>
    <xf numFmtId="0" fontId="20" fillId="27" borderId="136" xfId="0" applyFont="1" applyFill="1" applyBorder="1"/>
    <xf numFmtId="3" fontId="19" fillId="25" borderId="97" xfId="0" applyNumberFormat="1" applyFont="1" applyFill="1" applyBorder="1" applyAlignment="1">
      <alignment horizontal="center" vertical="center"/>
    </xf>
    <xf numFmtId="3" fontId="19" fillId="25" borderId="44" xfId="0" applyNumberFormat="1" applyFont="1" applyFill="1" applyBorder="1" applyAlignment="1">
      <alignment horizontal="center" vertical="center"/>
    </xf>
    <xf numFmtId="169" fontId="19" fillId="25" borderId="97" xfId="0" applyNumberFormat="1" applyFont="1" applyFill="1" applyBorder="1"/>
    <xf numFmtId="0" fontId="20" fillId="27" borderId="137" xfId="0" applyFont="1" applyFill="1" applyBorder="1"/>
    <xf numFmtId="0" fontId="20" fillId="27" borderId="138" xfId="0" applyFont="1" applyFill="1" applyBorder="1"/>
    <xf numFmtId="10" fontId="20" fillId="0" borderId="124" xfId="0" applyNumberFormat="1" applyFont="1" applyBorder="1"/>
    <xf numFmtId="0" fontId="20" fillId="0" borderId="139" xfId="0" applyFont="1" applyBorder="1"/>
    <xf numFmtId="49" fontId="20" fillId="0" borderId="116" xfId="0" applyNumberFormat="1" applyFont="1" applyBorder="1" applyAlignment="1">
      <alignment horizontal="center"/>
    </xf>
    <xf numFmtId="0" fontId="20" fillId="0" borderId="140" xfId="0" applyFont="1" applyBorder="1"/>
    <xf numFmtId="0" fontId="20" fillId="28" borderId="55" xfId="0" applyFont="1" applyFill="1" applyBorder="1" applyAlignment="1">
      <alignment horizontal="center" vertical="center"/>
    </xf>
    <xf numFmtId="169" fontId="19" fillId="25" borderId="44" xfId="0" applyNumberFormat="1" applyFont="1" applyFill="1" applyBorder="1"/>
    <xf numFmtId="0" fontId="20" fillId="27" borderId="141" xfId="0" applyFont="1" applyFill="1" applyBorder="1"/>
    <xf numFmtId="169" fontId="19" fillId="0" borderId="142" xfId="0" applyNumberFormat="1" applyFont="1" applyBorder="1" applyAlignment="1">
      <alignment horizontal="center"/>
    </xf>
    <xf numFmtId="0" fontId="20" fillId="0" borderId="117" xfId="0" applyFont="1" applyBorder="1" applyAlignment="1">
      <alignment horizontal="center"/>
    </xf>
    <xf numFmtId="0" fontId="20" fillId="0" borderId="126" xfId="0" applyFont="1" applyBorder="1" applyAlignment="1">
      <alignment horizontal="center"/>
    </xf>
    <xf numFmtId="49" fontId="19" fillId="0" borderId="37" xfId="0" applyNumberFormat="1" applyFont="1" applyBorder="1" applyAlignment="1">
      <alignment horizontal="center"/>
    </xf>
    <xf numFmtId="49" fontId="30" fillId="34" borderId="37" xfId="0" applyNumberFormat="1" applyFont="1" applyFill="1" applyBorder="1"/>
    <xf numFmtId="3" fontId="30" fillId="34" borderId="37" xfId="0" applyNumberFormat="1" applyFont="1" applyFill="1" applyBorder="1"/>
    <xf numFmtId="9" fontId="30" fillId="34" borderId="37" xfId="0" applyNumberFormat="1" applyFont="1" applyFill="1" applyBorder="1" applyAlignment="1">
      <alignment horizontal="center"/>
    </xf>
    <xf numFmtId="0" fontId="20" fillId="34" borderId="37" xfId="0" applyFont="1" applyFill="1" applyBorder="1"/>
    <xf numFmtId="49" fontId="20" fillId="29" borderId="37" xfId="0" applyNumberFormat="1" applyFont="1" applyFill="1" applyBorder="1"/>
    <xf numFmtId="3" fontId="30" fillId="0" borderId="37" xfId="0" applyNumberFormat="1" applyFont="1" applyBorder="1"/>
    <xf numFmtId="49" fontId="30" fillId="0" borderId="37" xfId="0" applyNumberFormat="1" applyFont="1" applyBorder="1"/>
    <xf numFmtId="49" fontId="20" fillId="23" borderId="37" xfId="0" applyNumberFormat="1" applyFont="1" applyFill="1" applyBorder="1"/>
    <xf numFmtId="0" fontId="30" fillId="0" borderId="37" xfId="0" applyFont="1" applyBorder="1"/>
    <xf numFmtId="4" fontId="20" fillId="0" borderId="37" xfId="0" applyNumberFormat="1" applyFont="1" applyBorder="1"/>
    <xf numFmtId="49" fontId="21" fillId="24" borderId="37" xfId="0" applyNumberFormat="1" applyFont="1" applyFill="1" applyBorder="1"/>
    <xf numFmtId="3" fontId="21" fillId="24" borderId="37" xfId="0" applyNumberFormat="1" applyFont="1" applyFill="1" applyBorder="1"/>
    <xf numFmtId="0" fontId="24" fillId="24" borderId="37" xfId="0" applyFont="1" applyFill="1" applyBorder="1"/>
    <xf numFmtId="49" fontId="26" fillId="0" borderId="37" xfId="0" applyNumberFormat="1" applyFont="1" applyBorder="1"/>
    <xf numFmtId="9" fontId="20" fillId="0" borderId="37" xfId="0" applyNumberFormat="1" applyFont="1" applyBorder="1" applyAlignment="1">
      <alignment horizontal="center"/>
    </xf>
    <xf numFmtId="49" fontId="26" fillId="0" borderId="37" xfId="0" applyNumberFormat="1" applyFont="1" applyBorder="1" applyAlignment="1">
      <alignment horizontal="left"/>
    </xf>
    <xf numFmtId="9" fontId="26" fillId="0" borderId="37" xfId="0" applyNumberFormat="1" applyFont="1" applyBorder="1" applyAlignment="1">
      <alignment horizontal="left"/>
    </xf>
    <xf numFmtId="49" fontId="20" fillId="0" borderId="37" xfId="0" applyNumberFormat="1" applyFont="1" applyBorder="1"/>
    <xf numFmtId="9" fontId="31" fillId="0" borderId="37" xfId="0" applyNumberFormat="1" applyFont="1" applyBorder="1"/>
    <xf numFmtId="14" fontId="19" fillId="0" borderId="57" xfId="0" applyNumberFormat="1" applyFont="1" applyBorder="1" applyAlignment="1">
      <alignment horizontal="center"/>
    </xf>
    <xf numFmtId="14" fontId="20" fillId="0" borderId="65" xfId="0" applyNumberFormat="1" applyFont="1" applyBorder="1" applyAlignment="1">
      <alignment horizontal="center"/>
    </xf>
    <xf numFmtId="14" fontId="20" fillId="0" borderId="72" xfId="0" applyNumberFormat="1" applyFont="1" applyBorder="1" applyAlignment="1">
      <alignment horizontal="center"/>
    </xf>
    <xf numFmtId="14" fontId="20" fillId="0" borderId="76" xfId="0" applyNumberFormat="1" applyFont="1" applyBorder="1" applyAlignment="1">
      <alignment horizontal="center"/>
    </xf>
    <xf numFmtId="14" fontId="20" fillId="0" borderId="52" xfId="0" applyNumberFormat="1" applyFont="1" applyBorder="1" applyAlignment="1">
      <alignment horizontal="center"/>
    </xf>
    <xf numFmtId="14" fontId="20" fillId="0" borderId="54" xfId="0" applyNumberFormat="1" applyFont="1" applyBorder="1" applyAlignment="1">
      <alignment horizontal="center"/>
    </xf>
    <xf numFmtId="14" fontId="20" fillId="0" borderId="50" xfId="0" applyNumberFormat="1" applyFont="1" applyBorder="1" applyAlignment="1">
      <alignment horizontal="center"/>
    </xf>
    <xf numFmtId="14" fontId="20" fillId="0" borderId="37" xfId="0" applyNumberFormat="1" applyFont="1" applyBorder="1" applyAlignment="1">
      <alignment horizontal="center"/>
    </xf>
    <xf numFmtId="14" fontId="19" fillId="25" borderId="97" xfId="0" applyNumberFormat="1" applyFont="1" applyFill="1" applyBorder="1" applyAlignment="1">
      <alignment horizontal="center" vertical="center"/>
    </xf>
    <xf numFmtId="14" fontId="20" fillId="25" borderId="44" xfId="0" applyNumberFormat="1" applyFont="1" applyFill="1" applyBorder="1" applyAlignment="1">
      <alignment horizontal="center"/>
    </xf>
    <xf numFmtId="14" fontId="19" fillId="20" borderId="44" xfId="0" applyNumberFormat="1" applyFont="1" applyFill="1" applyBorder="1" applyAlignment="1">
      <alignment horizontal="center" vertical="center"/>
    </xf>
    <xf numFmtId="14" fontId="20" fillId="0" borderId="73" xfId="0" applyNumberFormat="1" applyFont="1" applyBorder="1"/>
    <xf numFmtId="14" fontId="20" fillId="0" borderId="64" xfId="0" applyNumberFormat="1" applyFont="1" applyBorder="1"/>
    <xf numFmtId="14" fontId="20" fillId="0" borderId="0" xfId="0" applyNumberFormat="1" applyFont="1"/>
    <xf numFmtId="14" fontId="0" fillId="0" borderId="0" xfId="0" applyNumberFormat="1" applyFont="1" applyAlignment="1"/>
    <xf numFmtId="14" fontId="20" fillId="0" borderId="49" xfId="0" applyNumberFormat="1" applyFont="1" applyBorder="1" applyAlignment="1">
      <alignment horizontal="center"/>
    </xf>
    <xf numFmtId="14" fontId="20" fillId="32" borderId="52" xfId="0" applyNumberFormat="1" applyFont="1" applyFill="1" applyBorder="1" applyAlignment="1">
      <alignment horizontal="center"/>
    </xf>
    <xf numFmtId="14" fontId="19" fillId="25" borderId="44" xfId="0" applyNumberFormat="1" applyFont="1" applyFill="1" applyBorder="1" applyAlignment="1">
      <alignment horizontal="center" vertical="center"/>
    </xf>
    <xf numFmtId="14" fontId="19" fillId="28" borderId="44" xfId="0" applyNumberFormat="1" applyFont="1" applyFill="1" applyBorder="1" applyAlignment="1">
      <alignment horizontal="center" vertical="center"/>
    </xf>
    <xf numFmtId="14" fontId="19" fillId="0" borderId="118" xfId="0" applyNumberFormat="1" applyFont="1" applyBorder="1"/>
    <xf numFmtId="14" fontId="20" fillId="0" borderId="120" xfId="0" applyNumberFormat="1" applyFont="1" applyBorder="1"/>
    <xf numFmtId="14" fontId="20" fillId="0" borderId="55" xfId="0" applyNumberFormat="1" applyFont="1" applyBorder="1" applyAlignment="1">
      <alignment horizontal="center"/>
    </xf>
    <xf numFmtId="14" fontId="19" fillId="25" borderId="44" xfId="0" applyNumberFormat="1" applyFont="1" applyFill="1" applyBorder="1" applyAlignment="1">
      <alignment horizontal="center"/>
    </xf>
    <xf numFmtId="14" fontId="28" fillId="28" borderId="44" xfId="0" applyNumberFormat="1" applyFont="1" applyFill="1" applyBorder="1" applyAlignment="1">
      <alignment horizontal="center"/>
    </xf>
    <xf numFmtId="14" fontId="29" fillId="29" borderId="44" xfId="0" applyNumberFormat="1" applyFont="1" applyFill="1" applyBorder="1" applyAlignment="1">
      <alignment horizontal="center" vertical="center"/>
    </xf>
    <xf numFmtId="0" fontId="1" fillId="2" borderId="1" xfId="0" applyFont="1" applyFill="1" applyBorder="1" applyAlignment="1">
      <alignment horizontal="left" vertical="center" readingOrder="1"/>
    </xf>
    <xf numFmtId="0" fontId="3" fillId="0" borderId="6" xfId="0" applyFont="1" applyBorder="1"/>
    <xf numFmtId="37" fontId="2" fillId="3" borderId="2" xfId="0" applyNumberFormat="1" applyFont="1" applyFill="1" applyBorder="1" applyAlignment="1">
      <alignment horizontal="center" vertical="center"/>
    </xf>
    <xf numFmtId="0" fontId="3" fillId="0" borderId="3" xfId="0" applyFont="1" applyBorder="1"/>
    <xf numFmtId="0" fontId="3" fillId="0" borderId="4" xfId="0" applyFont="1" applyBorder="1"/>
    <xf numFmtId="0" fontId="13" fillId="0" borderId="0" xfId="0" applyFont="1" applyAlignment="1">
      <alignment horizontal="center"/>
    </xf>
    <xf numFmtId="0" fontId="0" fillId="0" borderId="0" xfId="0" applyFont="1" applyAlignment="1"/>
    <xf numFmtId="49" fontId="19" fillId="0" borderId="60" xfId="0" applyNumberFormat="1" applyFont="1" applyBorder="1" applyAlignment="1">
      <alignment horizontal="center"/>
    </xf>
    <xf numFmtId="0" fontId="3" fillId="0" borderId="61" xfId="0" applyFont="1" applyBorder="1"/>
    <xf numFmtId="0" fontId="3" fillId="0" borderId="62" xfId="0" applyFont="1" applyBorder="1"/>
    <xf numFmtId="173" fontId="19" fillId="0" borderId="37"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600" b="1" i="0">
                <a:solidFill>
                  <a:srgbClr val="000000"/>
                </a:solidFill>
                <a:latin typeface="Calibri"/>
              </a:defRPr>
            </a:pPr>
            <a:r>
              <a:rPr sz="1600" b="1" i="0">
                <a:solidFill>
                  <a:srgbClr val="000000"/>
                </a:solidFill>
                <a:latin typeface="Calibri"/>
              </a:rPr>
              <a:t>Chiffres d'affaires et Marge brute</a:t>
            </a:r>
          </a:p>
        </c:rich>
      </c:tx>
      <c:layout>
        <c:manualLayout>
          <c:xMode val="edge"/>
          <c:yMode val="edge"/>
          <c:x val="0.24682998765961006"/>
          <c:y val="2.7777749447994163E-2"/>
        </c:manualLayout>
      </c:layout>
      <c:overlay val="0"/>
    </c:title>
    <c:autoTitleDeleted val="0"/>
    <c:plotArea>
      <c:layout>
        <c:manualLayout>
          <c:xMode val="edge"/>
          <c:yMode val="edge"/>
          <c:x val="0.13478958880139982"/>
          <c:y val="0.1301729386710436"/>
          <c:w val="0.76808770778652669"/>
          <c:h val="0.65652438634091559"/>
        </c:manualLayout>
      </c:layout>
      <c:barChart>
        <c:barDir val="col"/>
        <c:grouping val="clustered"/>
        <c:varyColors val="1"/>
        <c:ser>
          <c:idx val="0"/>
          <c:order val="0"/>
          <c:tx>
            <c:v> Chiffre d'affaires </c:v>
          </c:tx>
          <c:spPr>
            <a:solidFill>
              <a:srgbClr val="4472C4"/>
            </a:solidFill>
            <a:ln cmpd="sng">
              <a:solidFill>
                <a:srgbClr val="000000"/>
              </a:solidFill>
            </a:ln>
          </c:spPr>
          <c:invertIfNegative val="1"/>
          <c:dPt>
            <c:idx val="0"/>
            <c:invertIfNegative val="1"/>
            <c:bubble3D val="0"/>
            <c:extLst>
              <c:ext xmlns:c16="http://schemas.microsoft.com/office/drawing/2014/chart" uri="{C3380CC4-5D6E-409C-BE32-E72D297353CC}">
                <c16:uniqueId val="{00000000-7942-4BBC-A511-25ADCC96CC49}"/>
              </c:ext>
            </c:extLst>
          </c:dPt>
          <c:dPt>
            <c:idx val="1"/>
            <c:invertIfNegative val="1"/>
            <c:bubble3D val="0"/>
            <c:extLst>
              <c:ext xmlns:c16="http://schemas.microsoft.com/office/drawing/2014/chart" uri="{C3380CC4-5D6E-409C-BE32-E72D297353CC}">
                <c16:uniqueId val="{00000001-7942-4BBC-A511-25ADCC96CC49}"/>
              </c:ext>
            </c:extLst>
          </c:dPt>
          <c:dPt>
            <c:idx val="2"/>
            <c:invertIfNegative val="1"/>
            <c:bubble3D val="0"/>
            <c:extLst>
              <c:ext xmlns:c16="http://schemas.microsoft.com/office/drawing/2014/chart" uri="{C3380CC4-5D6E-409C-BE32-E72D297353CC}">
                <c16:uniqueId val="{00000002-7942-4BBC-A511-25ADCC96CC49}"/>
              </c:ext>
            </c:extLst>
          </c:dPt>
          <c:dPt>
            <c:idx val="3"/>
            <c:invertIfNegative val="1"/>
            <c:bubble3D val="0"/>
            <c:extLst>
              <c:ext xmlns:c16="http://schemas.microsoft.com/office/drawing/2014/chart" uri="{C3380CC4-5D6E-409C-BE32-E72D297353CC}">
                <c16:uniqueId val="{00000003-7942-4BBC-A511-25ADCC96CC49}"/>
              </c:ext>
            </c:extLst>
          </c:dPt>
          <c:dPt>
            <c:idx val="4"/>
            <c:invertIfNegative val="1"/>
            <c:bubble3D val="0"/>
            <c:extLst>
              <c:ext xmlns:c16="http://schemas.microsoft.com/office/drawing/2014/chart" uri="{C3380CC4-5D6E-409C-BE32-E72D297353CC}">
                <c16:uniqueId val="{00000004-7942-4BBC-A511-25ADCC96CC49}"/>
              </c:ext>
            </c:extLst>
          </c:dPt>
          <c:dLbls>
            <c:spPr>
              <a:noFill/>
              <a:ln>
                <a:noFill/>
              </a:ln>
              <a:effectLst/>
            </c:spPr>
            <c:txPr>
              <a:bodyPr/>
              <a:lstStyle/>
              <a:p>
                <a:pPr lvl="0">
                  <a:defRPr sz="1400">
                    <a:solidFill>
                      <a:srgbClr val="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Globale'!$C$63:$G$63</c:f>
              <c:numCache>
                <c:formatCode>_-* #\ ##0_-;\(#\ ##0\)_-;_-* "-"_-;_-@</c:formatCode>
                <c:ptCount val="5"/>
                <c:pt idx="0">
                  <c:v>3527300</c:v>
                </c:pt>
                <c:pt idx="1">
                  <c:v>12225050</c:v>
                </c:pt>
                <c:pt idx="2">
                  <c:v>20471000</c:v>
                </c:pt>
                <c:pt idx="3">
                  <c:v>28821750</c:v>
                </c:pt>
                <c:pt idx="4">
                  <c:v>7057250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7942-4BBC-A511-25ADCC96CC49}"/>
            </c:ext>
          </c:extLst>
        </c:ser>
        <c:dLbls>
          <c:showLegendKey val="0"/>
          <c:showVal val="0"/>
          <c:showCatName val="0"/>
          <c:showSerName val="0"/>
          <c:showPercent val="0"/>
          <c:showBubbleSize val="0"/>
        </c:dLbls>
        <c:gapWidth val="150"/>
        <c:axId val="29237914"/>
        <c:axId val="695618981"/>
      </c:barChart>
      <c:lineChart>
        <c:grouping val="standard"/>
        <c:varyColors val="0"/>
        <c:ser>
          <c:idx val="1"/>
          <c:order val="1"/>
          <c:tx>
            <c:v> Marge brute </c:v>
          </c:tx>
          <c:spPr>
            <a:ln w="38100" cmpd="sng">
              <a:solidFill>
                <a:schemeClr val="accent2"/>
              </a:solidFill>
              <a:prstDash val="dash"/>
            </a:ln>
          </c:spPr>
          <c:marker>
            <c:symbol val="none"/>
          </c:marker>
          <c:cat>
            <c:strRef>
              <c:f>'Analyse Globale'!$C$3:$G$3</c:f>
              <c:strCache>
                <c:ptCount val="5"/>
                <c:pt idx="0">
                  <c:v>Avril</c:v>
                </c:pt>
                <c:pt idx="1">
                  <c:v>Mai</c:v>
                </c:pt>
                <c:pt idx="2">
                  <c:v>Juin</c:v>
                </c:pt>
                <c:pt idx="3">
                  <c:v>Juillet</c:v>
                </c:pt>
                <c:pt idx="4">
                  <c:v>Aout</c:v>
                </c:pt>
              </c:strCache>
            </c:strRef>
          </c:cat>
          <c:val>
            <c:numRef>
              <c:f>'Analyse Globale'!$C$64:$G$64</c:f>
              <c:numCache>
                <c:formatCode>0%</c:formatCode>
                <c:ptCount val="5"/>
                <c:pt idx="0">
                  <c:v>0.15701811583931052</c:v>
                </c:pt>
                <c:pt idx="1">
                  <c:v>0.49455830446501242</c:v>
                </c:pt>
                <c:pt idx="2">
                  <c:v>0.59110204679790923</c:v>
                </c:pt>
                <c:pt idx="3">
                  <c:v>0.46323089333576206</c:v>
                </c:pt>
                <c:pt idx="4">
                  <c:v>0</c:v>
                </c:pt>
              </c:numCache>
            </c:numRef>
          </c:val>
          <c:smooth val="0"/>
          <c:extLst>
            <c:ext xmlns:c16="http://schemas.microsoft.com/office/drawing/2014/chart" uri="{C3380CC4-5D6E-409C-BE32-E72D297353CC}">
              <c16:uniqueId val="{00000006-7942-4BBC-A511-25ADCC96CC49}"/>
            </c:ext>
          </c:extLst>
        </c:ser>
        <c:dLbls>
          <c:showLegendKey val="0"/>
          <c:showVal val="0"/>
          <c:showCatName val="0"/>
          <c:showSerName val="0"/>
          <c:showPercent val="0"/>
          <c:showBubbleSize val="0"/>
        </c:dLbls>
        <c:marker val="1"/>
        <c:smooth val="0"/>
        <c:axId val="797523605"/>
        <c:axId val="1301592353"/>
      </c:lineChart>
      <c:catAx>
        <c:axId val="2923791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Calibri"/>
              </a:defRPr>
            </a:pPr>
            <a:endParaRPr lang="fr-FR"/>
          </a:p>
        </c:txPr>
        <c:crossAx val="695618981"/>
        <c:crosses val="autoZero"/>
        <c:auto val="1"/>
        <c:lblAlgn val="ctr"/>
        <c:lblOffset val="100"/>
        <c:noMultiLvlLbl val="1"/>
      </c:catAx>
      <c:valAx>
        <c:axId val="695618981"/>
        <c:scaling>
          <c:orientation val="minMax"/>
          <c:max val="30000000"/>
        </c:scaling>
        <c:delete val="0"/>
        <c:axPos val="l"/>
        <c:title>
          <c:tx>
            <c:rich>
              <a:bodyPr/>
              <a:lstStyle/>
              <a:p>
                <a:pPr lvl="0">
                  <a:defRPr b="0">
                    <a:solidFill>
                      <a:srgbClr val="000000"/>
                    </a:solidFill>
                    <a:latin typeface="+mn-lt"/>
                  </a:defRPr>
                </a:pPr>
                <a:endParaRPr/>
              </a:p>
            </c:rich>
          </c:tx>
          <c:overlay val="0"/>
        </c:title>
        <c:numFmt formatCode="_-* #\ ##0_-;\(#\ ##0\)_-;_-* &quot;-&quot;_-;_-@" sourceLinked="1"/>
        <c:majorTickMark val="none"/>
        <c:minorTickMark val="none"/>
        <c:tickLblPos val="nextTo"/>
        <c:spPr>
          <a:ln/>
        </c:spPr>
        <c:txPr>
          <a:bodyPr/>
          <a:lstStyle/>
          <a:p>
            <a:pPr lvl="0">
              <a:defRPr sz="1400" b="1" i="0">
                <a:solidFill>
                  <a:srgbClr val="000000"/>
                </a:solidFill>
                <a:latin typeface="Calibri"/>
              </a:defRPr>
            </a:pPr>
            <a:endParaRPr lang="fr-FR"/>
          </a:p>
        </c:txPr>
        <c:crossAx val="29237914"/>
        <c:crosses val="autoZero"/>
        <c:crossBetween val="between"/>
      </c:valAx>
      <c:catAx>
        <c:axId val="797523605"/>
        <c:scaling>
          <c:orientation val="minMax"/>
        </c:scaling>
        <c:delete val="1"/>
        <c:axPos val="b"/>
        <c:numFmt formatCode="General" sourceLinked="1"/>
        <c:majorTickMark val="none"/>
        <c:minorTickMark val="none"/>
        <c:tickLblPos val="nextTo"/>
        <c:crossAx val="1301592353"/>
        <c:crosses val="autoZero"/>
        <c:auto val="1"/>
        <c:lblAlgn val="ctr"/>
        <c:lblOffset val="100"/>
        <c:noMultiLvlLbl val="1"/>
      </c:catAx>
      <c:valAx>
        <c:axId val="1301592353"/>
        <c:scaling>
          <c:orientation val="minMax"/>
          <c:max val="1"/>
        </c:scaling>
        <c:delete val="0"/>
        <c:axPos val="r"/>
        <c:title>
          <c:tx>
            <c:rich>
              <a:bodyPr/>
              <a:lstStyle/>
              <a:p>
                <a:pPr lvl="0">
                  <a:defRPr b="0">
                    <a:solidFill>
                      <a:srgbClr val="000000"/>
                    </a:solidFill>
                    <a:latin typeface="+mn-lt"/>
                  </a:defRPr>
                </a:pPr>
                <a:endParaRPr/>
              </a:p>
            </c:rich>
          </c:tx>
          <c:overlay val="0"/>
        </c:title>
        <c:numFmt formatCode="0.00%" sourceLinked="0"/>
        <c:majorTickMark val="none"/>
        <c:minorTickMark val="none"/>
        <c:tickLblPos val="nextTo"/>
        <c:spPr>
          <a:ln/>
        </c:spPr>
        <c:txPr>
          <a:bodyPr/>
          <a:lstStyle/>
          <a:p>
            <a:pPr lvl="0">
              <a:defRPr sz="1400" b="0" i="0">
                <a:solidFill>
                  <a:srgbClr val="000000"/>
                </a:solidFill>
                <a:latin typeface="Calibri"/>
              </a:defRPr>
            </a:pPr>
            <a:endParaRPr lang="fr-FR"/>
          </a:p>
        </c:txPr>
        <c:crossAx val="797523605"/>
        <c:crosses val="max"/>
        <c:crossBetween val="between"/>
      </c:valAx>
    </c:plotArea>
    <c:legend>
      <c:legendPos val="b"/>
      <c:layout>
        <c:manualLayout>
          <c:xMode val="edge"/>
          <c:yMode val="edge"/>
          <c:x val="0.23753590967970389"/>
          <c:y val="0.93425308706398502"/>
        </c:manualLayout>
      </c:layout>
      <c:overlay val="0"/>
      <c:txPr>
        <a:bodyPr/>
        <a:lstStyle/>
        <a:p>
          <a:pPr lvl="0">
            <a:defRPr sz="1400" b="1" i="0">
              <a:solidFill>
                <a:srgbClr val="000000"/>
              </a:solidFill>
              <a:latin typeface="Calibri"/>
            </a:defRPr>
          </a:pPr>
          <a:endParaRPr lang="fr-FR"/>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600" b="1" i="0">
                <a:solidFill>
                  <a:srgbClr val="000000"/>
                </a:solidFill>
                <a:latin typeface="Calibri"/>
              </a:defRPr>
            </a:pPr>
            <a:r>
              <a:rPr sz="1600" b="1" i="0">
                <a:solidFill>
                  <a:srgbClr val="000000"/>
                </a:solidFill>
                <a:latin typeface="Calibri"/>
              </a:rPr>
              <a:t>Flux de Trésorerie</a:t>
            </a:r>
          </a:p>
        </c:rich>
      </c:tx>
      <c:layout>
        <c:manualLayout>
          <c:xMode val="edge"/>
          <c:yMode val="edge"/>
          <c:x val="0.43003054139663427"/>
          <c:y val="1.3888888888888888E-2"/>
        </c:manualLayout>
      </c:layout>
      <c:overlay val="0"/>
    </c:title>
    <c:autoTitleDeleted val="0"/>
    <c:plotArea>
      <c:layout>
        <c:manualLayout>
          <c:xMode val="edge"/>
          <c:yMode val="edge"/>
          <c:x val="0.10752002289078114"/>
          <c:y val="5.5972222222222236E-2"/>
          <c:w val="0.86810618042367138"/>
          <c:h val="0.73072506561679795"/>
        </c:manualLayout>
      </c:layout>
      <c:barChart>
        <c:barDir val="col"/>
        <c:grouping val="stacked"/>
        <c:varyColors val="1"/>
        <c:ser>
          <c:idx val="0"/>
          <c:order val="0"/>
          <c:tx>
            <c:v>Tresorerie net d'exploitation</c:v>
          </c:tx>
          <c:spPr>
            <a:solidFill>
              <a:srgbClr val="4472C4"/>
            </a:solidFill>
            <a:ln cmpd="sng">
              <a:solidFill>
                <a:srgbClr val="000000"/>
              </a:solidFill>
            </a:ln>
          </c:spPr>
          <c:invertIfNegative val="1"/>
          <c:dPt>
            <c:idx val="0"/>
            <c:invertIfNegative val="1"/>
            <c:bubble3D val="0"/>
            <c:extLst>
              <c:ext xmlns:c16="http://schemas.microsoft.com/office/drawing/2014/chart" uri="{C3380CC4-5D6E-409C-BE32-E72D297353CC}">
                <c16:uniqueId val="{00000000-2393-4667-ADF7-C96E1AD33636}"/>
              </c:ext>
            </c:extLst>
          </c:dPt>
          <c:dPt>
            <c:idx val="1"/>
            <c:invertIfNegative val="1"/>
            <c:bubble3D val="0"/>
            <c:extLst>
              <c:ext xmlns:c16="http://schemas.microsoft.com/office/drawing/2014/chart" uri="{C3380CC4-5D6E-409C-BE32-E72D297353CC}">
                <c16:uniqueId val="{00000001-2393-4667-ADF7-C96E1AD33636}"/>
              </c:ext>
            </c:extLst>
          </c:dPt>
          <c:dPt>
            <c:idx val="2"/>
            <c:invertIfNegative val="1"/>
            <c:bubble3D val="0"/>
            <c:extLst>
              <c:ext xmlns:c16="http://schemas.microsoft.com/office/drawing/2014/chart" uri="{C3380CC4-5D6E-409C-BE32-E72D297353CC}">
                <c16:uniqueId val="{00000002-2393-4667-ADF7-C96E1AD33636}"/>
              </c:ext>
            </c:extLst>
          </c:dPt>
          <c:dPt>
            <c:idx val="3"/>
            <c:invertIfNegative val="1"/>
            <c:bubble3D val="0"/>
            <c:extLst>
              <c:ext xmlns:c16="http://schemas.microsoft.com/office/drawing/2014/chart" uri="{C3380CC4-5D6E-409C-BE32-E72D297353CC}">
                <c16:uniqueId val="{00000003-2393-4667-ADF7-C96E1AD33636}"/>
              </c:ext>
            </c:extLst>
          </c:dPt>
          <c:dPt>
            <c:idx val="4"/>
            <c:invertIfNegative val="1"/>
            <c:bubble3D val="0"/>
            <c:extLst>
              <c:ext xmlns:c16="http://schemas.microsoft.com/office/drawing/2014/chart" uri="{C3380CC4-5D6E-409C-BE32-E72D297353CC}">
                <c16:uniqueId val="{00000004-2393-4667-ADF7-C96E1AD33636}"/>
              </c:ext>
            </c:extLst>
          </c:dPt>
          <c:dLbls>
            <c:dLbl>
              <c:idx val="0"/>
              <c:tx>
                <c:rich>
                  <a:bodyPr/>
                  <a:lstStyle/>
                  <a:p>
                    <a:pPr lvl="0">
                      <a:defRPr b="0">
                        <a:solidFill>
                          <a:srgbClr val="000000"/>
                        </a:solidFill>
                        <a:latin typeface="Roboto"/>
                      </a:defRPr>
                    </a:pPr>
                    <a:r>
                      <a:rPr b="0">
                        <a:solidFill>
                          <a:srgbClr val="000000"/>
                        </a:solidFill>
                        <a:latin typeface="Roboto"/>
                      </a:rPr>
                      <a:t>[PLAGECELL]</a:t>
                    </a:r>
                  </a:p>
                </c:rich>
              </c:tx>
              <c:sp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393-4667-ADF7-C96E1AD33636}"/>
                </c:ext>
              </c:extLst>
            </c:dLbl>
            <c:dLbl>
              <c:idx val="1"/>
              <c:tx>
                <c:rich>
                  <a:bodyPr/>
                  <a:lstStyle/>
                  <a:p>
                    <a:pPr lvl="0">
                      <a:defRPr b="0">
                        <a:solidFill>
                          <a:srgbClr val="000000"/>
                        </a:solidFill>
                        <a:latin typeface="Roboto"/>
                      </a:defRPr>
                    </a:pPr>
                    <a:r>
                      <a:rPr b="0">
                        <a:solidFill>
                          <a:srgbClr val="000000"/>
                        </a:solidFill>
                        <a:latin typeface="Roboto"/>
                      </a:rPr>
                      <a:t>[PLAGECELL]</a:t>
                    </a:r>
                  </a:p>
                </c:rich>
              </c:tx>
              <c:sp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393-4667-ADF7-C96E1AD33636}"/>
                </c:ext>
              </c:extLst>
            </c:dLbl>
            <c:dLbl>
              <c:idx val="2"/>
              <c:tx>
                <c:rich>
                  <a:bodyPr/>
                  <a:lstStyle/>
                  <a:p>
                    <a:pPr lvl="0">
                      <a:defRPr b="0">
                        <a:solidFill>
                          <a:srgbClr val="000000"/>
                        </a:solidFill>
                        <a:latin typeface="Roboto"/>
                      </a:defRPr>
                    </a:pPr>
                    <a:r>
                      <a:rPr b="0">
                        <a:solidFill>
                          <a:srgbClr val="000000"/>
                        </a:solidFill>
                        <a:latin typeface="Roboto"/>
                      </a:rPr>
                      <a:t>[PLAGECELL]</a:t>
                    </a:r>
                  </a:p>
                </c:rich>
              </c:tx>
              <c:sp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393-4667-ADF7-C96E1AD33636}"/>
                </c:ext>
              </c:extLst>
            </c:dLbl>
            <c:dLbl>
              <c:idx val="3"/>
              <c:tx>
                <c:rich>
                  <a:bodyPr/>
                  <a:lstStyle/>
                  <a:p>
                    <a:pPr lvl="0">
                      <a:defRPr b="0">
                        <a:solidFill>
                          <a:srgbClr val="000000"/>
                        </a:solidFill>
                        <a:latin typeface="Roboto"/>
                      </a:defRPr>
                    </a:pPr>
                    <a:r>
                      <a:rPr b="0">
                        <a:solidFill>
                          <a:srgbClr val="000000"/>
                        </a:solidFill>
                        <a:latin typeface="Roboto"/>
                      </a:rPr>
                      <a:t>[PLAGECELL]</a:t>
                    </a:r>
                  </a:p>
                </c:rich>
              </c:tx>
              <c:sp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393-4667-ADF7-C96E1AD33636}"/>
                </c:ext>
              </c:extLst>
            </c:dLbl>
            <c:dLbl>
              <c:idx val="4"/>
              <c:tx>
                <c:rich>
                  <a:bodyPr/>
                  <a:lstStyle/>
                  <a:p>
                    <a:pPr lvl="0">
                      <a:defRPr b="0">
                        <a:solidFill>
                          <a:srgbClr val="000000"/>
                        </a:solidFill>
                        <a:latin typeface="Roboto"/>
                      </a:defRPr>
                    </a:pPr>
                    <a:r>
                      <a:rPr b="0">
                        <a:solidFill>
                          <a:srgbClr val="000000"/>
                        </a:solidFill>
                        <a:latin typeface="Roboto"/>
                      </a:rPr>
                      <a:t>[PLAGECELL]</a:t>
                    </a:r>
                  </a:p>
                </c:rich>
              </c:tx>
              <c:sp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393-4667-ADF7-C96E1AD33636}"/>
                </c:ext>
              </c:extLst>
            </c:dLbl>
            <c:spPr>
              <a:noFill/>
              <a:ln>
                <a:noFill/>
              </a:ln>
              <a:effectLst/>
            </c:spPr>
            <c:txPr>
              <a:bodyPr/>
              <a:lstStyle/>
              <a:p>
                <a:pPr lvl="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Globale'!$C$66:$G$66</c:f>
              <c:numCache>
                <c:formatCode>#\ ##0_);\(#\ ##0\);\-</c:formatCode>
                <c:ptCount val="5"/>
                <c:pt idx="0">
                  <c:v>-292750</c:v>
                </c:pt>
                <c:pt idx="1">
                  <c:v>2827027.74</c:v>
                </c:pt>
                <c:pt idx="2">
                  <c:v>8525150</c:v>
                </c:pt>
                <c:pt idx="3">
                  <c:v>9556300</c:v>
                </c:pt>
                <c:pt idx="4">
                  <c:v>4957950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2393-4667-ADF7-C96E1AD33636}"/>
            </c:ext>
          </c:extLst>
        </c:ser>
        <c:ser>
          <c:idx val="1"/>
          <c:order val="1"/>
          <c:tx>
            <c:v>Tresorerie net d'investissement</c:v>
          </c:tx>
          <c:spPr>
            <a:solidFill>
              <a:srgbClr val="ED7D31"/>
            </a:solidFill>
            <a:ln cmpd="sng">
              <a:solidFill>
                <a:srgbClr val="000000"/>
              </a:solidFill>
            </a:ln>
          </c:spPr>
          <c:invertIfNegative val="1"/>
          <c:dPt>
            <c:idx val="0"/>
            <c:invertIfNegative val="1"/>
            <c:bubble3D val="0"/>
            <c:extLst>
              <c:ext xmlns:c16="http://schemas.microsoft.com/office/drawing/2014/chart" uri="{C3380CC4-5D6E-409C-BE32-E72D297353CC}">
                <c16:uniqueId val="{00000006-2393-4667-ADF7-C96E1AD33636}"/>
              </c:ext>
            </c:extLst>
          </c:dPt>
          <c:dPt>
            <c:idx val="1"/>
            <c:invertIfNegative val="1"/>
            <c:bubble3D val="0"/>
            <c:extLst>
              <c:ext xmlns:c16="http://schemas.microsoft.com/office/drawing/2014/chart" uri="{C3380CC4-5D6E-409C-BE32-E72D297353CC}">
                <c16:uniqueId val="{00000007-2393-4667-ADF7-C96E1AD33636}"/>
              </c:ext>
            </c:extLst>
          </c:dPt>
          <c:dPt>
            <c:idx val="2"/>
            <c:invertIfNegative val="1"/>
            <c:bubble3D val="0"/>
            <c:extLst>
              <c:ext xmlns:c16="http://schemas.microsoft.com/office/drawing/2014/chart" uri="{C3380CC4-5D6E-409C-BE32-E72D297353CC}">
                <c16:uniqueId val="{00000008-2393-4667-ADF7-C96E1AD33636}"/>
              </c:ext>
            </c:extLst>
          </c:dPt>
          <c:dPt>
            <c:idx val="3"/>
            <c:invertIfNegative val="1"/>
            <c:bubble3D val="0"/>
            <c:extLst>
              <c:ext xmlns:c16="http://schemas.microsoft.com/office/drawing/2014/chart" uri="{C3380CC4-5D6E-409C-BE32-E72D297353CC}">
                <c16:uniqueId val="{00000009-2393-4667-ADF7-C96E1AD33636}"/>
              </c:ext>
            </c:extLst>
          </c:dPt>
          <c:dPt>
            <c:idx val="4"/>
            <c:invertIfNegative val="1"/>
            <c:bubble3D val="0"/>
            <c:extLst>
              <c:ext xmlns:c16="http://schemas.microsoft.com/office/drawing/2014/chart" uri="{C3380CC4-5D6E-409C-BE32-E72D297353CC}">
                <c16:uniqueId val="{0000000A-2393-4667-ADF7-C96E1AD33636}"/>
              </c:ext>
            </c:extLst>
          </c:dPt>
          <c:cat>
            <c:strRef>
              <c:f>'Analyse Globale'!$C$3:$G$3</c:f>
              <c:strCache>
                <c:ptCount val="5"/>
                <c:pt idx="0">
                  <c:v>Avril</c:v>
                </c:pt>
                <c:pt idx="1">
                  <c:v>Mai</c:v>
                </c:pt>
                <c:pt idx="2">
                  <c:v>Juin</c:v>
                </c:pt>
                <c:pt idx="3">
                  <c:v>Juillet</c:v>
                </c:pt>
                <c:pt idx="4">
                  <c:v>Aout</c:v>
                </c:pt>
              </c:strCache>
            </c:strRef>
          </c:cat>
          <c:val>
            <c:numRef>
              <c:f>'Analyse Globale'!$C$67:$G$67</c:f>
              <c:numCache>
                <c:formatCode>#\ ##0_);\(#\ ##0\);\-</c:formatCode>
                <c:ptCount val="5"/>
                <c:pt idx="0">
                  <c:v>-114000</c:v>
                </c:pt>
                <c:pt idx="1">
                  <c:v>-3087027.3962300001</c:v>
                </c:pt>
                <c:pt idx="2">
                  <c:v>-1972000</c:v>
                </c:pt>
                <c:pt idx="3">
                  <c:v>-1159300</c:v>
                </c:pt>
                <c:pt idx="4">
                  <c:v>-6000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B-2393-4667-ADF7-C96E1AD33636}"/>
            </c:ext>
          </c:extLst>
        </c:ser>
        <c:dLbls>
          <c:showLegendKey val="0"/>
          <c:showVal val="0"/>
          <c:showCatName val="0"/>
          <c:showSerName val="0"/>
          <c:showPercent val="0"/>
          <c:showBubbleSize val="0"/>
        </c:dLbls>
        <c:gapWidth val="150"/>
        <c:overlap val="100"/>
        <c:axId val="1421808795"/>
        <c:axId val="2056181938"/>
      </c:barChart>
      <c:catAx>
        <c:axId val="142180879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Calibri"/>
              </a:defRPr>
            </a:pPr>
            <a:endParaRPr lang="fr-FR"/>
          </a:p>
        </c:txPr>
        <c:crossAx val="2056181938"/>
        <c:crosses val="autoZero"/>
        <c:auto val="1"/>
        <c:lblAlgn val="ctr"/>
        <c:lblOffset val="100"/>
        <c:noMultiLvlLbl val="1"/>
      </c:catAx>
      <c:valAx>
        <c:axId val="2056181938"/>
        <c:scaling>
          <c:orientation val="minMax"/>
        </c:scaling>
        <c:delete val="0"/>
        <c:axPos val="l"/>
        <c:title>
          <c:tx>
            <c:rich>
              <a:bodyPr/>
              <a:lstStyle/>
              <a:p>
                <a:pPr lvl="0">
                  <a:defRPr b="0">
                    <a:solidFill>
                      <a:srgbClr val="000000"/>
                    </a:solidFill>
                    <a:latin typeface="+mn-lt"/>
                  </a:defRPr>
                </a:pPr>
                <a:endParaRPr/>
              </a:p>
            </c:rich>
          </c:tx>
          <c:overlay val="0"/>
        </c:title>
        <c:numFmt formatCode="#\ ##0_);\(#\ ##0\);\-" sourceLinked="1"/>
        <c:majorTickMark val="none"/>
        <c:minorTickMark val="none"/>
        <c:tickLblPos val="nextTo"/>
        <c:spPr>
          <a:ln/>
        </c:spPr>
        <c:txPr>
          <a:bodyPr/>
          <a:lstStyle/>
          <a:p>
            <a:pPr lvl="0">
              <a:defRPr sz="1400" b="1" i="0">
                <a:solidFill>
                  <a:srgbClr val="000000"/>
                </a:solidFill>
                <a:latin typeface="Calibri"/>
              </a:defRPr>
            </a:pPr>
            <a:endParaRPr lang="fr-FR"/>
          </a:p>
        </c:txPr>
        <c:crossAx val="1421808795"/>
        <c:crosses val="autoZero"/>
        <c:crossBetween val="between"/>
        <c:majorUnit val="2000000"/>
      </c:valAx>
    </c:plotArea>
    <c:legend>
      <c:legendPos val="b"/>
      <c:layout>
        <c:manualLayout>
          <c:xMode val="edge"/>
          <c:yMode val="edge"/>
          <c:x val="0.2484676793224565"/>
          <c:y val="0.93411625587637959"/>
        </c:manualLayout>
      </c:layout>
      <c:overlay val="0"/>
      <c:txPr>
        <a:bodyPr/>
        <a:lstStyle/>
        <a:p>
          <a:pPr lvl="0">
            <a:defRPr sz="1400" b="1" i="0">
              <a:solidFill>
                <a:srgbClr val="000000"/>
              </a:solidFill>
              <a:latin typeface="Calibri"/>
            </a:defRPr>
          </a:pPr>
          <a:endParaRPr lang="fr-FR"/>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600" b="1" i="0">
                <a:solidFill>
                  <a:srgbClr val="000000"/>
                </a:solidFill>
                <a:latin typeface="Calibri"/>
              </a:defRPr>
            </a:pPr>
            <a:r>
              <a:rPr sz="1600" b="1" i="0">
                <a:solidFill>
                  <a:srgbClr val="000000"/>
                </a:solidFill>
                <a:latin typeface="Calibri"/>
              </a:rPr>
              <a:t>Evolution des charges opérationelles</a:t>
            </a:r>
          </a:p>
        </c:rich>
      </c:tx>
      <c:overlay val="0"/>
    </c:title>
    <c:autoTitleDeleted val="0"/>
    <c:plotArea>
      <c:layout>
        <c:manualLayout>
          <c:xMode val="edge"/>
          <c:yMode val="edge"/>
          <c:x val="7.6200957222898449E-2"/>
          <c:y val="6.3396078260300567E-2"/>
          <c:w val="0.90877353221358681"/>
          <c:h val="0.83839335180055397"/>
        </c:manualLayout>
      </c:layout>
      <c:barChart>
        <c:barDir val="col"/>
        <c:grouping val="stacked"/>
        <c:varyColors val="1"/>
        <c:ser>
          <c:idx val="0"/>
          <c:order val="0"/>
          <c:tx>
            <c:v>Cachet</c:v>
          </c:tx>
          <c:spPr>
            <a:solidFill>
              <a:srgbClr val="4472C4"/>
            </a:solidFill>
            <a:ln cmpd="sng">
              <a:solidFill>
                <a:srgbClr val="000000"/>
              </a:solidFill>
            </a:ln>
          </c:spPr>
          <c:invertIfNegative val="1"/>
          <c:dLbls>
            <c:spPr>
              <a:noFill/>
              <a:ln>
                <a:noFill/>
              </a:ln>
              <a:effectLst/>
            </c:spPr>
            <c:txPr>
              <a:bodyPr/>
              <a:lstStyle/>
              <a:p>
                <a:pPr lvl="0">
                  <a:defRPr sz="16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Globale'!$C$15:$G$15</c:f>
              <c:numCache>
                <c:formatCode>#\ ##0_);\(#\ ##0\);\-</c:formatCode>
                <c:ptCount val="5"/>
                <c:pt idx="0">
                  <c:v>20000</c:v>
                </c:pt>
                <c:pt idx="1">
                  <c:v>335000</c:v>
                </c:pt>
                <c:pt idx="2">
                  <c:v>480000</c:v>
                </c:pt>
                <c:pt idx="3">
                  <c:v>630000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A2C-4DBD-88B2-103606DD4846}"/>
            </c:ext>
          </c:extLst>
        </c:ser>
        <c:ser>
          <c:idx val="1"/>
          <c:order val="1"/>
          <c:tx>
            <c:v>Cash Power</c:v>
          </c:tx>
          <c:spPr>
            <a:solidFill>
              <a:srgbClr val="ED7D31"/>
            </a:solidFill>
            <a:ln cmpd="sng">
              <a:solidFill>
                <a:srgbClr val="000000"/>
              </a:solidFill>
            </a:ln>
          </c:spPr>
          <c:invertIfNegative val="1"/>
          <c:dLbls>
            <c:spPr>
              <a:noFill/>
              <a:ln>
                <a:noFill/>
              </a:ln>
              <a:effectLst/>
            </c:spPr>
            <c:txPr>
              <a:bodyPr/>
              <a:lstStyle/>
              <a:p>
                <a:pPr lvl="0">
                  <a:defRPr sz="16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Globale'!$C$17:$G$17</c:f>
              <c:numCache>
                <c:formatCode>#\ ##0_);\(#\ ##0\);\-</c:formatCode>
                <c:ptCount val="5"/>
                <c:pt idx="0">
                  <c:v>0</c:v>
                </c:pt>
                <c:pt idx="1">
                  <c:v>470000</c:v>
                </c:pt>
                <c:pt idx="2">
                  <c:v>550000</c:v>
                </c:pt>
                <c:pt idx="3">
                  <c:v>500000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A2C-4DBD-88B2-103606DD4846}"/>
            </c:ext>
          </c:extLst>
        </c:ser>
        <c:ser>
          <c:idx val="2"/>
          <c:order val="2"/>
          <c:tx>
            <c:v>Marketing et Administration</c:v>
          </c:tx>
          <c:spPr>
            <a:solidFill>
              <a:srgbClr val="A5A5A5"/>
            </a:solidFill>
            <a:ln cmpd="sng">
              <a:solidFill>
                <a:srgbClr val="000000"/>
              </a:solidFill>
            </a:ln>
          </c:spPr>
          <c:invertIfNegative val="1"/>
          <c:cat>
            <c:strRef>
              <c:f>'Analyse Globale'!$C$3:$G$3</c:f>
              <c:strCache>
                <c:ptCount val="5"/>
                <c:pt idx="0">
                  <c:v>Avril</c:v>
                </c:pt>
                <c:pt idx="1">
                  <c:v>Mai</c:v>
                </c:pt>
                <c:pt idx="2">
                  <c:v>Juin</c:v>
                </c:pt>
                <c:pt idx="3">
                  <c:v>Juillet</c:v>
                </c:pt>
                <c:pt idx="4">
                  <c:v>Aout</c:v>
                </c:pt>
              </c:strCache>
            </c:strRef>
          </c:cat>
          <c:val>
            <c:numRef>
              <c:f>'Analyse Globale'!$C$19:$G$19</c:f>
              <c:numCache>
                <c:formatCode>#\ ##0_);\(#\ ##0\);\-</c:formatCode>
                <c:ptCount val="5"/>
                <c:pt idx="0">
                  <c:v>145100</c:v>
                </c:pt>
                <c:pt idx="1">
                  <c:v>227700</c:v>
                </c:pt>
                <c:pt idx="2">
                  <c:v>48300</c:v>
                </c:pt>
                <c:pt idx="3">
                  <c:v>177600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3A2C-4DBD-88B2-103606DD4846}"/>
            </c:ext>
          </c:extLst>
        </c:ser>
        <c:ser>
          <c:idx val="3"/>
          <c:order val="3"/>
          <c:tx>
            <c:v>Charges du personnel</c:v>
          </c:tx>
          <c:spPr>
            <a:solidFill>
              <a:srgbClr val="FFC000"/>
            </a:solidFill>
            <a:ln cmpd="sng">
              <a:solidFill>
                <a:srgbClr val="000000"/>
              </a:solidFill>
            </a:ln>
          </c:spPr>
          <c:invertIfNegative val="1"/>
          <c:dLbls>
            <c:spPr>
              <a:noFill/>
              <a:ln>
                <a:noFill/>
              </a:ln>
              <a:effectLst/>
            </c:spPr>
            <c:txPr>
              <a:bodyPr/>
              <a:lstStyle/>
              <a:p>
                <a:pPr lvl="0">
                  <a:defRPr sz="16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Globale'!$C$21:$G$21</c:f>
              <c:numCache>
                <c:formatCode>#\ ##0_);\(#\ ##0\);\-</c:formatCode>
                <c:ptCount val="5"/>
                <c:pt idx="0">
                  <c:v>549500</c:v>
                </c:pt>
                <c:pt idx="1">
                  <c:v>1399000</c:v>
                </c:pt>
                <c:pt idx="2">
                  <c:v>1736000</c:v>
                </c:pt>
                <c:pt idx="3">
                  <c:v>1809500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3A2C-4DBD-88B2-103606DD4846}"/>
            </c:ext>
          </c:extLst>
        </c:ser>
        <c:ser>
          <c:idx val="4"/>
          <c:order val="4"/>
          <c:tx>
            <c:v>Autres</c:v>
          </c:tx>
          <c:spPr>
            <a:solidFill>
              <a:srgbClr val="5B9BD5"/>
            </a:solidFill>
            <a:ln cmpd="sng">
              <a:solidFill>
                <a:srgbClr val="000000"/>
              </a:solidFill>
            </a:ln>
          </c:spPr>
          <c:invertIfNegative val="1"/>
          <c:dLbls>
            <c:spPr>
              <a:noFill/>
              <a:ln>
                <a:noFill/>
              </a:ln>
              <a:effectLst/>
            </c:spPr>
            <c:txPr>
              <a:bodyPr/>
              <a:lstStyle/>
              <a:p>
                <a:pPr lvl="0">
                  <a:defRPr sz="16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Globale'!$C$23:$G$23</c:f>
              <c:numCache>
                <c:formatCode>#\ ##0_);\(#\ ##0\);\-</c:formatCode>
                <c:ptCount val="5"/>
                <c:pt idx="0">
                  <c:v>132000</c:v>
                </c:pt>
                <c:pt idx="1">
                  <c:v>787272.26</c:v>
                </c:pt>
                <c:pt idx="2">
                  <c:v>761000</c:v>
                </c:pt>
                <c:pt idx="3">
                  <c:v>677725</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3A2C-4DBD-88B2-103606DD4846}"/>
            </c:ext>
          </c:extLst>
        </c:ser>
        <c:dLbls>
          <c:showLegendKey val="0"/>
          <c:showVal val="0"/>
          <c:showCatName val="0"/>
          <c:showSerName val="0"/>
          <c:showPercent val="0"/>
          <c:showBubbleSize val="0"/>
        </c:dLbls>
        <c:gapWidth val="150"/>
        <c:overlap val="100"/>
        <c:axId val="2117699447"/>
        <c:axId val="1923677090"/>
      </c:barChart>
      <c:catAx>
        <c:axId val="211769944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Calibri"/>
              </a:defRPr>
            </a:pPr>
            <a:endParaRPr lang="fr-FR"/>
          </a:p>
        </c:txPr>
        <c:crossAx val="1923677090"/>
        <c:crosses val="autoZero"/>
        <c:auto val="1"/>
        <c:lblAlgn val="ctr"/>
        <c:lblOffset val="100"/>
        <c:noMultiLvlLbl val="1"/>
      </c:catAx>
      <c:valAx>
        <c:axId val="1923677090"/>
        <c:scaling>
          <c:orientation val="minMax"/>
          <c:max val="4000000"/>
        </c:scaling>
        <c:delete val="0"/>
        <c:axPos val="l"/>
        <c:title>
          <c:tx>
            <c:rich>
              <a:bodyPr/>
              <a:lstStyle/>
              <a:p>
                <a:pPr lvl="0">
                  <a:defRPr b="0">
                    <a:solidFill>
                      <a:srgbClr val="000000"/>
                    </a:solidFill>
                    <a:latin typeface="+mn-lt"/>
                  </a:defRPr>
                </a:pPr>
                <a:endParaRPr/>
              </a:p>
            </c:rich>
          </c:tx>
          <c:overlay val="0"/>
        </c:title>
        <c:numFmt formatCode="#\ ##0_);\(#\ ##0\);\-" sourceLinked="1"/>
        <c:majorTickMark val="none"/>
        <c:minorTickMark val="none"/>
        <c:tickLblPos val="nextTo"/>
        <c:spPr>
          <a:ln/>
        </c:spPr>
        <c:txPr>
          <a:bodyPr/>
          <a:lstStyle/>
          <a:p>
            <a:pPr lvl="0">
              <a:defRPr sz="1000" b="1" i="0">
                <a:solidFill>
                  <a:srgbClr val="000000"/>
                </a:solidFill>
                <a:latin typeface="Calibri"/>
              </a:defRPr>
            </a:pPr>
            <a:endParaRPr lang="fr-FR"/>
          </a:p>
        </c:txPr>
        <c:crossAx val="2117699447"/>
        <c:crosses val="autoZero"/>
        <c:crossBetween val="between"/>
      </c:valAx>
    </c:plotArea>
    <c:legend>
      <c:legendPos val="b"/>
      <c:overlay val="0"/>
      <c:txPr>
        <a:bodyPr/>
        <a:lstStyle/>
        <a:p>
          <a:pPr lvl="0">
            <a:defRPr sz="1400" b="1" i="0">
              <a:solidFill>
                <a:srgbClr val="000000"/>
              </a:solidFill>
              <a:latin typeface="Calibri"/>
            </a:defRPr>
          </a:pPr>
          <a:endParaRPr lang="fr-FR"/>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600" b="1" i="0">
                <a:solidFill>
                  <a:srgbClr val="757575"/>
                </a:solidFill>
                <a:latin typeface="Calibri"/>
              </a:defRPr>
            </a:pPr>
            <a:r>
              <a:rPr sz="1600" b="1" i="0">
                <a:solidFill>
                  <a:srgbClr val="757575"/>
                </a:solidFill>
                <a:latin typeface="Calibri"/>
              </a:rPr>
              <a:t>Répartition du CA Avril-Juillet</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FDE2-4C9F-93EF-C9B7422F6429}"/>
              </c:ext>
            </c:extLst>
          </c:dPt>
          <c:dPt>
            <c:idx val="1"/>
            <c:bubble3D val="0"/>
            <c:spPr>
              <a:solidFill>
                <a:schemeClr val="accent2"/>
              </a:solidFill>
            </c:spPr>
            <c:extLst>
              <c:ext xmlns:c16="http://schemas.microsoft.com/office/drawing/2014/chart" uri="{C3380CC4-5D6E-409C-BE32-E72D297353CC}">
                <c16:uniqueId val="{00000003-FDE2-4C9F-93EF-C9B7422F6429}"/>
              </c:ext>
            </c:extLst>
          </c:dPt>
          <c:dPt>
            <c:idx val="2"/>
            <c:bubble3D val="0"/>
            <c:spPr>
              <a:solidFill>
                <a:schemeClr val="accent3"/>
              </a:solidFill>
            </c:spPr>
            <c:extLst>
              <c:ext xmlns:c16="http://schemas.microsoft.com/office/drawing/2014/chart" uri="{C3380CC4-5D6E-409C-BE32-E72D297353CC}">
                <c16:uniqueId val="{00000005-FDE2-4C9F-93EF-C9B7422F6429}"/>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'Analyse Globale'!$I$64:$I$66</c:f>
              <c:strCache>
                <c:ptCount val="3"/>
                <c:pt idx="0">
                  <c:v>DRINK</c:v>
                </c:pt>
                <c:pt idx="1">
                  <c:v>EAT</c:v>
                </c:pt>
                <c:pt idx="2">
                  <c:v>SMOKE</c:v>
                </c:pt>
              </c:strCache>
            </c:strRef>
          </c:cat>
          <c:val>
            <c:numRef>
              <c:f>'Analyse Globale'!$K$64:$K$66</c:f>
              <c:numCache>
                <c:formatCode>0%</c:formatCode>
                <c:ptCount val="3"/>
                <c:pt idx="0">
                  <c:v>0.70786452088889151</c:v>
                </c:pt>
                <c:pt idx="1">
                  <c:v>0.1789266616268701</c:v>
                </c:pt>
                <c:pt idx="2">
                  <c:v>0.11320881748423849</c:v>
                </c:pt>
              </c:numCache>
            </c:numRef>
          </c:val>
          <c:extLst>
            <c:ext xmlns:c16="http://schemas.microsoft.com/office/drawing/2014/chart" uri="{C3380CC4-5D6E-409C-BE32-E72D297353CC}">
              <c16:uniqueId val="{00000006-FDE2-4C9F-93EF-C9B7422F6429}"/>
            </c:ext>
          </c:extLst>
        </c:ser>
        <c:dLbls>
          <c:showLegendKey val="0"/>
          <c:showVal val="0"/>
          <c:showCatName val="0"/>
          <c:showSerName val="0"/>
          <c:showPercent val="0"/>
          <c:showBubbleSize val="0"/>
          <c:showLeaderLines val="1"/>
        </c:dLbls>
        <c:firstSliceAng val="0"/>
      </c:pieChart>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600" b="1" i="0">
                <a:solidFill>
                  <a:srgbClr val="000000"/>
                </a:solidFill>
                <a:latin typeface="Calibri"/>
              </a:defRPr>
            </a:pPr>
            <a:r>
              <a:rPr sz="1600" b="1" i="0">
                <a:solidFill>
                  <a:srgbClr val="000000"/>
                </a:solidFill>
                <a:latin typeface="Calibri"/>
              </a:rPr>
              <a:t>Evolution des couts de produits</a:t>
            </a:r>
          </a:p>
        </c:rich>
      </c:tx>
      <c:overlay val="0"/>
    </c:title>
    <c:autoTitleDeleted val="0"/>
    <c:plotArea>
      <c:layout/>
      <c:areaChart>
        <c:grouping val="stacked"/>
        <c:varyColors val="1"/>
        <c:ser>
          <c:idx val="0"/>
          <c:order val="0"/>
          <c:tx>
            <c:v>Coûts des produits vendus</c:v>
          </c:tx>
          <c:spPr>
            <a:solidFill>
              <a:srgbClr val="000000">
                <a:alpha val="30000"/>
              </a:srgbClr>
            </a:solidFill>
            <a:ln w="28575" cmpd="sng">
              <a:solidFill>
                <a:srgbClr val="000000">
                  <a:alpha val="0"/>
                </a:srgbClr>
              </a:solidFill>
              <a:prstDash val="solid"/>
            </a:ln>
          </c:spPr>
          <c:cat>
            <c:strRef>
              <c:f>'Analyse Globale'!$C$3:$G$3</c:f>
              <c:strCache>
                <c:ptCount val="5"/>
                <c:pt idx="0">
                  <c:v>Avril</c:v>
                </c:pt>
                <c:pt idx="1">
                  <c:v>Mai</c:v>
                </c:pt>
                <c:pt idx="2">
                  <c:v>Juin</c:v>
                </c:pt>
                <c:pt idx="3">
                  <c:v>Juillet</c:v>
                </c:pt>
                <c:pt idx="4">
                  <c:v>Aout</c:v>
                </c:pt>
              </c:strCache>
            </c:strRef>
          </c:cat>
          <c:val>
            <c:numRef>
              <c:f>'Analyse Globale'!$C$10:$G$10</c:f>
              <c:numCache>
                <c:formatCode>#\ ##0_);\(#\ ##0\);\-</c:formatCode>
                <c:ptCount val="5"/>
                <c:pt idx="0">
                  <c:v>2973450</c:v>
                </c:pt>
                <c:pt idx="1">
                  <c:v>6179050</c:v>
                </c:pt>
                <c:pt idx="2">
                  <c:v>8370550</c:v>
                </c:pt>
                <c:pt idx="3">
                  <c:v>15470625</c:v>
                </c:pt>
                <c:pt idx="4">
                  <c:v>0</c:v>
                </c:pt>
              </c:numCache>
            </c:numRef>
          </c:val>
          <c:extLst>
            <c:ext xmlns:c16="http://schemas.microsoft.com/office/drawing/2014/chart" uri="{C3380CC4-5D6E-409C-BE32-E72D297353CC}">
              <c16:uniqueId val="{00000000-9E8B-4306-A21A-50267ED65415}"/>
            </c:ext>
          </c:extLst>
        </c:ser>
        <c:dLbls>
          <c:showLegendKey val="0"/>
          <c:showVal val="0"/>
          <c:showCatName val="0"/>
          <c:showSerName val="0"/>
          <c:showPercent val="0"/>
          <c:showBubbleSize val="0"/>
        </c:dLbls>
        <c:axId val="1746140775"/>
        <c:axId val="1285584024"/>
      </c:areaChart>
      <c:lineChart>
        <c:grouping val="standard"/>
        <c:varyColors val="0"/>
        <c:ser>
          <c:idx val="1"/>
          <c:order val="1"/>
          <c:tx>
            <c:v>Coûts des produits vendus</c:v>
          </c:tx>
          <c:spPr>
            <a:ln w="47625" cmpd="sng">
              <a:solidFill>
                <a:schemeClr val="accent2"/>
              </a:solidFill>
            </a:ln>
          </c:spPr>
          <c:marker>
            <c:symbol val="none"/>
          </c:marker>
          <c:dPt>
            <c:idx val="0"/>
            <c:bubble3D val="0"/>
            <c:extLst>
              <c:ext xmlns:c16="http://schemas.microsoft.com/office/drawing/2014/chart" uri="{C3380CC4-5D6E-409C-BE32-E72D297353CC}">
                <c16:uniqueId val="{00000001-9E8B-4306-A21A-50267ED65415}"/>
              </c:ext>
            </c:extLst>
          </c:dPt>
          <c:dPt>
            <c:idx val="1"/>
            <c:bubble3D val="0"/>
            <c:extLst>
              <c:ext xmlns:c16="http://schemas.microsoft.com/office/drawing/2014/chart" uri="{C3380CC4-5D6E-409C-BE32-E72D297353CC}">
                <c16:uniqueId val="{00000002-9E8B-4306-A21A-50267ED65415}"/>
              </c:ext>
            </c:extLst>
          </c:dPt>
          <c:dPt>
            <c:idx val="2"/>
            <c:bubble3D val="0"/>
            <c:extLst>
              <c:ext xmlns:c16="http://schemas.microsoft.com/office/drawing/2014/chart" uri="{C3380CC4-5D6E-409C-BE32-E72D297353CC}">
                <c16:uniqueId val="{00000003-9E8B-4306-A21A-50267ED65415}"/>
              </c:ext>
            </c:extLst>
          </c:dPt>
          <c:dPt>
            <c:idx val="3"/>
            <c:bubble3D val="0"/>
            <c:extLst>
              <c:ext xmlns:c16="http://schemas.microsoft.com/office/drawing/2014/chart" uri="{C3380CC4-5D6E-409C-BE32-E72D297353CC}">
                <c16:uniqueId val="{00000004-9E8B-4306-A21A-50267ED65415}"/>
              </c:ext>
            </c:extLst>
          </c:dPt>
          <c:dPt>
            <c:idx val="4"/>
            <c:bubble3D val="0"/>
            <c:extLst>
              <c:ext xmlns:c16="http://schemas.microsoft.com/office/drawing/2014/chart" uri="{C3380CC4-5D6E-409C-BE32-E72D297353CC}">
                <c16:uniqueId val="{00000005-9E8B-4306-A21A-50267ED65415}"/>
              </c:ext>
            </c:extLst>
          </c:dPt>
          <c:dLbls>
            <c:spPr>
              <a:noFill/>
              <a:ln>
                <a:noFill/>
              </a:ln>
              <a:effectLst/>
            </c:spPr>
            <c:txPr>
              <a:bodyPr/>
              <a:lstStyle/>
              <a:p>
                <a:pPr lvl="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Globale'!$C$10:$G$10</c:f>
              <c:numCache>
                <c:formatCode>#\ ##0_);\(#\ ##0\);\-</c:formatCode>
                <c:ptCount val="5"/>
                <c:pt idx="0">
                  <c:v>2973450</c:v>
                </c:pt>
                <c:pt idx="1">
                  <c:v>6179050</c:v>
                </c:pt>
                <c:pt idx="2">
                  <c:v>8370550</c:v>
                </c:pt>
                <c:pt idx="3">
                  <c:v>15470625</c:v>
                </c:pt>
                <c:pt idx="4">
                  <c:v>0</c:v>
                </c:pt>
              </c:numCache>
            </c:numRef>
          </c:val>
          <c:smooth val="0"/>
          <c:extLst>
            <c:ext xmlns:c16="http://schemas.microsoft.com/office/drawing/2014/chart" uri="{C3380CC4-5D6E-409C-BE32-E72D297353CC}">
              <c16:uniqueId val="{00000006-9E8B-4306-A21A-50267ED65415}"/>
            </c:ext>
          </c:extLst>
        </c:ser>
        <c:dLbls>
          <c:showLegendKey val="0"/>
          <c:showVal val="0"/>
          <c:showCatName val="0"/>
          <c:showSerName val="0"/>
          <c:showPercent val="0"/>
          <c:showBubbleSize val="0"/>
        </c:dLbls>
        <c:marker val="1"/>
        <c:smooth val="0"/>
        <c:axId val="1746140775"/>
        <c:axId val="1285584024"/>
      </c:lineChart>
      <c:catAx>
        <c:axId val="174614077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Calibri"/>
              </a:defRPr>
            </a:pPr>
            <a:endParaRPr lang="fr-FR"/>
          </a:p>
        </c:txPr>
        <c:crossAx val="1285584024"/>
        <c:crosses val="autoZero"/>
        <c:auto val="1"/>
        <c:lblAlgn val="ctr"/>
        <c:lblOffset val="100"/>
        <c:noMultiLvlLbl val="1"/>
      </c:catAx>
      <c:valAx>
        <c:axId val="1285584024"/>
        <c:scaling>
          <c:orientation val="minMax"/>
        </c:scaling>
        <c:delete val="0"/>
        <c:axPos val="l"/>
        <c:title>
          <c:tx>
            <c:rich>
              <a:bodyPr/>
              <a:lstStyle/>
              <a:p>
                <a:pPr lvl="0">
                  <a:defRPr b="0">
                    <a:solidFill>
                      <a:srgbClr val="000000"/>
                    </a:solidFill>
                    <a:latin typeface="+mn-lt"/>
                  </a:defRPr>
                </a:pPr>
                <a:endParaRPr/>
              </a:p>
            </c:rich>
          </c:tx>
          <c:overlay val="0"/>
        </c:title>
        <c:numFmt formatCode="#\ ##0_);\(#\ ##0\);\-" sourceLinked="1"/>
        <c:majorTickMark val="none"/>
        <c:minorTickMark val="none"/>
        <c:tickLblPos val="nextTo"/>
        <c:spPr>
          <a:ln/>
        </c:spPr>
        <c:txPr>
          <a:bodyPr/>
          <a:lstStyle/>
          <a:p>
            <a:pPr lvl="0">
              <a:defRPr b="0">
                <a:solidFill>
                  <a:srgbClr val="000000"/>
                </a:solidFill>
                <a:latin typeface="+mn-lt"/>
              </a:defRPr>
            </a:pPr>
            <a:endParaRPr lang="fr-FR"/>
          </a:p>
        </c:txPr>
        <c:crossAx val="1746140775"/>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400" b="1" i="0">
                <a:solidFill>
                  <a:srgbClr val="757575"/>
                </a:solidFill>
                <a:latin typeface="Calibri"/>
              </a:defRPr>
            </a:pPr>
            <a:r>
              <a:rPr lang="fr-FR" sz="1400" b="1" i="0">
                <a:solidFill>
                  <a:srgbClr val="757575"/>
                </a:solidFill>
                <a:latin typeface="Calibri"/>
              </a:rPr>
              <a:t>Variation OPEX</a:t>
            </a:r>
          </a:p>
        </c:rich>
      </c:tx>
      <c:layout>
        <c:manualLayout>
          <c:xMode val="edge"/>
          <c:yMode val="edge"/>
          <c:x val="0.3995660803220939"/>
          <c:y val="2.7278586951630067E-2"/>
        </c:manualLayout>
      </c:layout>
      <c:overlay val="0"/>
    </c:title>
    <c:autoTitleDeleted val="0"/>
    <c:plotArea>
      <c:layout>
        <c:manualLayout>
          <c:xMode val="edge"/>
          <c:yMode val="edge"/>
          <c:x val="0.12427473586696021"/>
          <c:y val="0.13190148567525697"/>
          <c:w val="0.85623941106694168"/>
          <c:h val="0.67970942196918005"/>
        </c:manualLayout>
      </c:layout>
      <c:lineChart>
        <c:grouping val="standard"/>
        <c:varyColors val="1"/>
        <c:ser>
          <c:idx val="0"/>
          <c:order val="0"/>
          <c:tx>
            <c:v>DRINK</c:v>
          </c:tx>
          <c:spPr>
            <a:ln w="28575" cmpd="sng">
              <a:solidFill>
                <a:srgbClr val="4472C4"/>
              </a:solidFill>
            </a:ln>
          </c:spPr>
          <c:marker>
            <c:symbol val="none"/>
          </c:marker>
          <c:cat>
            <c:strRef>
              <c:f>'Analyse Catégorielle'!$D$2:$G$2</c:f>
              <c:strCache>
                <c:ptCount val="4"/>
                <c:pt idx="0">
                  <c:v>Avril</c:v>
                </c:pt>
                <c:pt idx="1">
                  <c:v>Mai</c:v>
                </c:pt>
                <c:pt idx="2">
                  <c:v>Juin</c:v>
                </c:pt>
                <c:pt idx="3">
                  <c:v>Juillet</c:v>
                </c:pt>
              </c:strCache>
            </c:strRef>
          </c:cat>
          <c:val>
            <c:numRef>
              <c:f>'Analyse Catégorielle'!$D$23:$G$23</c:f>
              <c:numCache>
                <c:formatCode>#,##0</c:formatCode>
                <c:ptCount val="4"/>
                <c:pt idx="0">
                  <c:v>-427594.54343245935</c:v>
                </c:pt>
                <c:pt idx="1">
                  <c:v>2100045.2782558077</c:v>
                </c:pt>
                <c:pt idx="2">
                  <c:v>6916734.4266531644</c:v>
                </c:pt>
                <c:pt idx="3">
                  <c:v>6386795.5069000982</c:v>
                </c:pt>
              </c:numCache>
            </c:numRef>
          </c:val>
          <c:smooth val="0"/>
          <c:extLst>
            <c:ext xmlns:c16="http://schemas.microsoft.com/office/drawing/2014/chart" uri="{C3380CC4-5D6E-409C-BE32-E72D297353CC}">
              <c16:uniqueId val="{00000000-551F-4470-8CB1-80CAC9871057}"/>
            </c:ext>
          </c:extLst>
        </c:ser>
        <c:ser>
          <c:idx val="1"/>
          <c:order val="1"/>
          <c:tx>
            <c:v>EAT</c:v>
          </c:tx>
          <c:spPr>
            <a:ln w="28575" cmpd="sng">
              <a:solidFill>
                <a:srgbClr val="ED7D31"/>
              </a:solidFill>
            </a:ln>
          </c:spPr>
          <c:marker>
            <c:symbol val="none"/>
          </c:marker>
          <c:cat>
            <c:strRef>
              <c:f>'Analyse Catégorielle'!$D$2:$G$2</c:f>
              <c:strCache>
                <c:ptCount val="4"/>
                <c:pt idx="0">
                  <c:v>Avril</c:v>
                </c:pt>
                <c:pt idx="1">
                  <c:v>Mai</c:v>
                </c:pt>
                <c:pt idx="2">
                  <c:v>Juin</c:v>
                </c:pt>
                <c:pt idx="3">
                  <c:v>Juillet</c:v>
                </c:pt>
              </c:strCache>
            </c:strRef>
          </c:cat>
          <c:val>
            <c:numRef>
              <c:f>'Analyse Catégorielle'!$D$51:$G$51</c:f>
              <c:numCache>
                <c:formatCode>#,##0</c:formatCode>
                <c:ptCount val="4"/>
                <c:pt idx="0">
                  <c:v>87310.236665128832</c:v>
                </c:pt>
                <c:pt idx="1">
                  <c:v>331991.91416109673</c:v>
                </c:pt>
                <c:pt idx="2">
                  <c:v>368722.34420738072</c:v>
                </c:pt>
                <c:pt idx="3">
                  <c:v>391364.9405380793</c:v>
                </c:pt>
              </c:numCache>
            </c:numRef>
          </c:val>
          <c:smooth val="0"/>
          <c:extLst>
            <c:ext xmlns:c16="http://schemas.microsoft.com/office/drawing/2014/chart" uri="{C3380CC4-5D6E-409C-BE32-E72D297353CC}">
              <c16:uniqueId val="{00000001-551F-4470-8CB1-80CAC9871057}"/>
            </c:ext>
          </c:extLst>
        </c:ser>
        <c:ser>
          <c:idx val="2"/>
          <c:order val="2"/>
          <c:tx>
            <c:v>SMOKE</c:v>
          </c:tx>
          <c:spPr>
            <a:ln w="28575" cmpd="sng">
              <a:solidFill>
                <a:srgbClr val="A5A5A5"/>
              </a:solidFill>
            </a:ln>
          </c:spPr>
          <c:marker>
            <c:symbol val="none"/>
          </c:marker>
          <c:cat>
            <c:strRef>
              <c:f>'Analyse Catégorielle'!$D$2:$G$2</c:f>
              <c:strCache>
                <c:ptCount val="4"/>
                <c:pt idx="0">
                  <c:v>Avril</c:v>
                </c:pt>
                <c:pt idx="1">
                  <c:v>Mai</c:v>
                </c:pt>
                <c:pt idx="2">
                  <c:v>Juin</c:v>
                </c:pt>
                <c:pt idx="3">
                  <c:v>Juillet</c:v>
                </c:pt>
              </c:strCache>
            </c:strRef>
          </c:cat>
          <c:val>
            <c:numRef>
              <c:f>'Analyse Catégorielle'!$D$80:$G$80</c:f>
              <c:numCache>
                <c:formatCode>#,##0</c:formatCode>
                <c:ptCount val="4"/>
                <c:pt idx="0">
                  <c:v>149156.24790319506</c:v>
                </c:pt>
                <c:pt idx="1">
                  <c:v>567144.9906635579</c:v>
                </c:pt>
                <c:pt idx="2">
                  <c:v>629905.95391616679</c:v>
                </c:pt>
                <c:pt idx="3">
                  <c:v>668585.33930549573</c:v>
                </c:pt>
              </c:numCache>
            </c:numRef>
          </c:val>
          <c:smooth val="0"/>
          <c:extLst>
            <c:ext xmlns:c16="http://schemas.microsoft.com/office/drawing/2014/chart" uri="{C3380CC4-5D6E-409C-BE32-E72D297353CC}">
              <c16:uniqueId val="{00000002-551F-4470-8CB1-80CAC9871057}"/>
            </c:ext>
          </c:extLst>
        </c:ser>
        <c:dLbls>
          <c:showLegendKey val="0"/>
          <c:showVal val="0"/>
          <c:showCatName val="0"/>
          <c:showSerName val="0"/>
          <c:showPercent val="0"/>
          <c:showBubbleSize val="0"/>
        </c:dLbls>
        <c:smooth val="0"/>
        <c:axId val="392672241"/>
        <c:axId val="252120779"/>
      </c:lineChart>
      <c:catAx>
        <c:axId val="392672241"/>
        <c:scaling>
          <c:orientation val="minMax"/>
        </c:scaling>
        <c:delete val="0"/>
        <c:axPos val="b"/>
        <c:title>
          <c:tx>
            <c:rich>
              <a:bodyPr/>
              <a:lstStyle/>
              <a:p>
                <a:pPr lvl="0">
                  <a:defRPr b="0">
                    <a:solidFill>
                      <a:srgbClr val="000000"/>
                    </a:solidFill>
                    <a:latin typeface="+mn-lt"/>
                  </a:defRPr>
                </a:pPr>
                <a:endParaRPr lang="fr-F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fr-FR"/>
          </a:p>
        </c:txPr>
        <c:crossAx val="252120779"/>
        <c:crosses val="autoZero"/>
        <c:auto val="1"/>
        <c:lblAlgn val="ctr"/>
        <c:lblOffset val="100"/>
        <c:noMultiLvlLbl val="1"/>
      </c:catAx>
      <c:valAx>
        <c:axId val="25212077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fr-FR"/>
              </a:p>
            </c:rich>
          </c:tx>
          <c:overlay val="0"/>
        </c:title>
        <c:numFmt formatCode="#,##0" sourceLinked="1"/>
        <c:majorTickMark val="none"/>
        <c:minorTickMark val="none"/>
        <c:tickLblPos val="nextTo"/>
        <c:spPr>
          <a:ln/>
        </c:spPr>
        <c:txPr>
          <a:bodyPr/>
          <a:lstStyle/>
          <a:p>
            <a:pPr lvl="0">
              <a:defRPr sz="1000" b="1" i="0">
                <a:solidFill>
                  <a:srgbClr val="000000"/>
                </a:solidFill>
                <a:latin typeface="Calibri"/>
              </a:defRPr>
            </a:pPr>
            <a:endParaRPr lang="fr-FR"/>
          </a:p>
        </c:txPr>
        <c:crossAx val="392672241"/>
        <c:crosses val="autoZero"/>
        <c:crossBetween val="between"/>
      </c:valAx>
    </c:plotArea>
    <c:legend>
      <c:legendPos val="b"/>
      <c:layout>
        <c:manualLayout>
          <c:xMode val="edge"/>
          <c:yMode val="edge"/>
          <c:x val="0.16651058866867122"/>
          <c:y val="0.90183406451636139"/>
        </c:manualLayout>
      </c:layout>
      <c:overlay val="0"/>
      <c:txPr>
        <a:bodyPr/>
        <a:lstStyle/>
        <a:p>
          <a:pPr lvl="0">
            <a:defRPr sz="1100" b="1" i="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400" b="1" i="0">
                <a:solidFill>
                  <a:srgbClr val="757575"/>
                </a:solidFill>
                <a:latin typeface="Calibri"/>
              </a:defRPr>
            </a:pPr>
            <a:r>
              <a:rPr lang="fr-FR" sz="1400" b="1" i="0">
                <a:solidFill>
                  <a:srgbClr val="757575"/>
                </a:solidFill>
                <a:latin typeface="Calibri"/>
              </a:rPr>
              <a:t>Variation marge brute</a:t>
            </a:r>
          </a:p>
        </c:rich>
      </c:tx>
      <c:overlay val="0"/>
    </c:title>
    <c:autoTitleDeleted val="0"/>
    <c:plotArea>
      <c:layout>
        <c:manualLayout>
          <c:xMode val="edge"/>
          <c:yMode val="edge"/>
          <c:x val="0.11999038808040108"/>
          <c:y val="0.11552927320571335"/>
          <c:w val="0.85618446699467032"/>
          <c:h val="0.65932669014811662"/>
        </c:manualLayout>
      </c:layout>
      <c:lineChart>
        <c:grouping val="standard"/>
        <c:varyColors val="1"/>
        <c:ser>
          <c:idx val="0"/>
          <c:order val="0"/>
          <c:tx>
            <c:v>DRINK</c:v>
          </c:tx>
          <c:spPr>
            <a:ln w="28575" cmpd="sng">
              <a:solidFill>
                <a:srgbClr val="4472C4"/>
              </a:solidFill>
            </a:ln>
          </c:spPr>
          <c:marker>
            <c:symbol val="none"/>
          </c:marker>
          <c:cat>
            <c:strRef>
              <c:f>'Analyse Catégorielle'!$D$2:$G$2</c:f>
              <c:strCache>
                <c:ptCount val="4"/>
                <c:pt idx="0">
                  <c:v>Avril</c:v>
                </c:pt>
                <c:pt idx="1">
                  <c:v>Mai</c:v>
                </c:pt>
                <c:pt idx="2">
                  <c:v>Juin</c:v>
                </c:pt>
                <c:pt idx="3">
                  <c:v>Juillet</c:v>
                </c:pt>
              </c:strCache>
            </c:strRef>
          </c:cat>
          <c:val>
            <c:numRef>
              <c:f>'Analyse Catégorielle'!$D$10:$G$10</c:f>
              <c:numCache>
                <c:formatCode>#,##0</c:formatCode>
                <c:ptCount val="4"/>
                <c:pt idx="0">
                  <c:v>182538.97199921682</c:v>
                </c:pt>
                <c:pt idx="1">
                  <c:v>4419934.2290714793</c:v>
                </c:pt>
                <c:pt idx="2">
                  <c:v>9493406.2966980562</c:v>
                </c:pt>
                <c:pt idx="3">
                  <c:v>9121679.0499012806</c:v>
                </c:pt>
              </c:numCache>
            </c:numRef>
          </c:val>
          <c:smooth val="0"/>
          <c:extLst>
            <c:ext xmlns:c16="http://schemas.microsoft.com/office/drawing/2014/chart" uri="{C3380CC4-5D6E-409C-BE32-E72D297353CC}">
              <c16:uniqueId val="{00000000-B566-462E-BC92-DCEA149245E8}"/>
            </c:ext>
          </c:extLst>
        </c:ser>
        <c:ser>
          <c:idx val="1"/>
          <c:order val="1"/>
          <c:tx>
            <c:v>EAT</c:v>
          </c:tx>
          <c:spPr>
            <a:ln w="28575" cmpd="sng">
              <a:solidFill>
                <a:srgbClr val="ED7D31"/>
              </a:solidFill>
            </a:ln>
          </c:spPr>
          <c:marker>
            <c:symbol val="none"/>
          </c:marker>
          <c:cat>
            <c:strRef>
              <c:f>'Analyse Catégorielle'!$D$2:$G$2</c:f>
              <c:strCache>
                <c:ptCount val="4"/>
                <c:pt idx="0">
                  <c:v>Avril</c:v>
                </c:pt>
                <c:pt idx="1">
                  <c:v>Mai</c:v>
                </c:pt>
                <c:pt idx="2">
                  <c:v>Juin</c:v>
                </c:pt>
                <c:pt idx="3">
                  <c:v>Juillet</c:v>
                </c:pt>
              </c:strCache>
            </c:strRef>
          </c:cat>
          <c:val>
            <c:numRef>
              <c:f>'Analyse Catégorielle'!$D$38:$G$38</c:f>
              <c:numCache>
                <c:formatCode>#,##0</c:formatCode>
                <c:ptCount val="4"/>
                <c:pt idx="0">
                  <c:v>333069.90796945372</c:v>
                </c:pt>
                <c:pt idx="1">
                  <c:v>492040.65747696115</c:v>
                </c:pt>
                <c:pt idx="2">
                  <c:v>974897.47888943972</c:v>
                </c:pt>
                <c:pt idx="3">
                  <c:v>1522429.5538500734</c:v>
                </c:pt>
              </c:numCache>
            </c:numRef>
          </c:val>
          <c:smooth val="0"/>
          <c:extLst>
            <c:ext xmlns:c16="http://schemas.microsoft.com/office/drawing/2014/chart" uri="{C3380CC4-5D6E-409C-BE32-E72D297353CC}">
              <c16:uniqueId val="{00000001-B566-462E-BC92-DCEA149245E8}"/>
            </c:ext>
          </c:extLst>
        </c:ser>
        <c:ser>
          <c:idx val="2"/>
          <c:order val="2"/>
          <c:tx>
            <c:v>SMOKE</c:v>
          </c:tx>
          <c:spPr>
            <a:ln w="28575" cmpd="sng">
              <a:solidFill>
                <a:srgbClr val="A5A5A5"/>
              </a:solidFill>
            </a:ln>
          </c:spPr>
          <c:marker>
            <c:symbol val="none"/>
          </c:marker>
          <c:cat>
            <c:strRef>
              <c:f>'Analyse Catégorielle'!$D$2:$G$2</c:f>
              <c:strCache>
                <c:ptCount val="4"/>
                <c:pt idx="0">
                  <c:v>Avril</c:v>
                </c:pt>
                <c:pt idx="1">
                  <c:v>Mai</c:v>
                </c:pt>
                <c:pt idx="2">
                  <c:v>Juin</c:v>
                </c:pt>
                <c:pt idx="3">
                  <c:v>Juillet</c:v>
                </c:pt>
              </c:strCache>
            </c:strRef>
          </c:cat>
          <c:val>
            <c:numRef>
              <c:f>'Analyse Catégorielle'!$D$67:$G$67</c:f>
              <c:numCache>
                <c:formatCode>#,##0</c:formatCode>
                <c:ptCount val="4"/>
                <c:pt idx="0">
                  <c:v>38241.120031329541</c:v>
                </c:pt>
                <c:pt idx="1">
                  <c:v>1176475.1134515605</c:v>
                </c:pt>
                <c:pt idx="2">
                  <c:v>1652146.2244125046</c:v>
                </c:pt>
                <c:pt idx="3">
                  <c:v>2809016.3962486465</c:v>
                </c:pt>
              </c:numCache>
            </c:numRef>
          </c:val>
          <c:smooth val="0"/>
          <c:extLst>
            <c:ext xmlns:c16="http://schemas.microsoft.com/office/drawing/2014/chart" uri="{C3380CC4-5D6E-409C-BE32-E72D297353CC}">
              <c16:uniqueId val="{00000002-B566-462E-BC92-DCEA149245E8}"/>
            </c:ext>
          </c:extLst>
        </c:ser>
        <c:dLbls>
          <c:showLegendKey val="0"/>
          <c:showVal val="0"/>
          <c:showCatName val="0"/>
          <c:showSerName val="0"/>
          <c:showPercent val="0"/>
          <c:showBubbleSize val="0"/>
        </c:dLbls>
        <c:smooth val="0"/>
        <c:axId val="1231002140"/>
        <c:axId val="1346106677"/>
      </c:lineChart>
      <c:catAx>
        <c:axId val="1231002140"/>
        <c:scaling>
          <c:orientation val="minMax"/>
        </c:scaling>
        <c:delete val="0"/>
        <c:axPos val="b"/>
        <c:title>
          <c:tx>
            <c:rich>
              <a:bodyPr/>
              <a:lstStyle/>
              <a:p>
                <a:pPr lvl="0">
                  <a:defRPr b="0">
                    <a:solidFill>
                      <a:srgbClr val="000000"/>
                    </a:solidFill>
                    <a:latin typeface="+mn-lt"/>
                  </a:defRPr>
                </a:pPr>
                <a:endParaRPr lang="fr-F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fr-FR"/>
          </a:p>
        </c:txPr>
        <c:crossAx val="1346106677"/>
        <c:crosses val="autoZero"/>
        <c:auto val="1"/>
        <c:lblAlgn val="ctr"/>
        <c:lblOffset val="100"/>
        <c:noMultiLvlLbl val="1"/>
      </c:catAx>
      <c:valAx>
        <c:axId val="134610667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fr-FR"/>
              </a:p>
            </c:rich>
          </c:tx>
          <c:overlay val="0"/>
        </c:title>
        <c:numFmt formatCode="#,##0" sourceLinked="1"/>
        <c:majorTickMark val="none"/>
        <c:minorTickMark val="none"/>
        <c:tickLblPos val="nextTo"/>
        <c:spPr>
          <a:ln/>
        </c:spPr>
        <c:txPr>
          <a:bodyPr/>
          <a:lstStyle/>
          <a:p>
            <a:pPr lvl="0">
              <a:defRPr sz="1000" b="1" i="0">
                <a:solidFill>
                  <a:srgbClr val="000000"/>
                </a:solidFill>
                <a:latin typeface="Calibri"/>
              </a:defRPr>
            </a:pPr>
            <a:endParaRPr lang="fr-FR"/>
          </a:p>
        </c:txPr>
        <c:crossAx val="1231002140"/>
        <c:crosses val="autoZero"/>
        <c:crossBetween val="between"/>
      </c:valAx>
    </c:plotArea>
    <c:legend>
      <c:legendPos val="b"/>
      <c:layout>
        <c:manualLayout>
          <c:xMode val="edge"/>
          <c:yMode val="edge"/>
          <c:x val="0.20785128061433059"/>
          <c:y val="0.9249856705273467"/>
        </c:manualLayout>
      </c:layout>
      <c:overlay val="0"/>
      <c:txPr>
        <a:bodyPr/>
        <a:lstStyle/>
        <a:p>
          <a:pPr lvl="0">
            <a:defRPr sz="1000" b="1" i="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400" b="1" i="0">
                <a:solidFill>
                  <a:srgbClr val="757575"/>
                </a:solidFill>
                <a:latin typeface="Calibri"/>
              </a:defRPr>
            </a:pPr>
            <a:r>
              <a:rPr lang="fr-FR" sz="1400" b="1" i="0">
                <a:solidFill>
                  <a:srgbClr val="757575"/>
                </a:solidFill>
                <a:latin typeface="Calibri"/>
              </a:rPr>
              <a:t>Variation résultat d'exploitation</a:t>
            </a:r>
          </a:p>
        </c:rich>
      </c:tx>
      <c:overlay val="0"/>
    </c:title>
    <c:autoTitleDeleted val="0"/>
    <c:plotArea>
      <c:layout>
        <c:manualLayout>
          <c:xMode val="edge"/>
          <c:yMode val="edge"/>
          <c:x val="0.11013934719299538"/>
          <c:y val="0.11741481659660226"/>
          <c:w val="0.86602997650025793"/>
          <c:h val="0.69175466780996486"/>
        </c:manualLayout>
      </c:layout>
      <c:lineChart>
        <c:grouping val="standard"/>
        <c:varyColors val="1"/>
        <c:ser>
          <c:idx val="0"/>
          <c:order val="0"/>
          <c:tx>
            <c:v>DRINK</c:v>
          </c:tx>
          <c:spPr>
            <a:ln w="28575" cmpd="sng">
              <a:solidFill>
                <a:srgbClr val="4472C4"/>
              </a:solidFill>
            </a:ln>
          </c:spPr>
          <c:marker>
            <c:symbol val="none"/>
          </c:marker>
          <c:cat>
            <c:strRef>
              <c:f>'Analyse Catégorielle'!$D$2:$G$2</c:f>
              <c:strCache>
                <c:ptCount val="4"/>
                <c:pt idx="0">
                  <c:v>Avril</c:v>
                </c:pt>
                <c:pt idx="1">
                  <c:v>Mai</c:v>
                </c:pt>
                <c:pt idx="2">
                  <c:v>Juin</c:v>
                </c:pt>
                <c:pt idx="3">
                  <c:v>Juillet</c:v>
                </c:pt>
              </c:strCache>
            </c:strRef>
          </c:cat>
          <c:val>
            <c:numRef>
              <c:f>'Analyse Catégorielle'!$D$26:$G$26</c:f>
              <c:numCache>
                <c:formatCode>#,##0</c:formatCode>
                <c:ptCount val="4"/>
                <c:pt idx="0">
                  <c:v>610133.51543167618</c:v>
                </c:pt>
                <c:pt idx="1">
                  <c:v>2319888.9508156716</c:v>
                </c:pt>
                <c:pt idx="2">
                  <c:v>2576671.8700448917</c:v>
                </c:pt>
                <c:pt idx="3">
                  <c:v>2734883.5430011824</c:v>
                </c:pt>
              </c:numCache>
            </c:numRef>
          </c:val>
          <c:smooth val="0"/>
          <c:extLst>
            <c:ext xmlns:c16="http://schemas.microsoft.com/office/drawing/2014/chart" uri="{C3380CC4-5D6E-409C-BE32-E72D297353CC}">
              <c16:uniqueId val="{00000000-DC35-4797-B6D1-77245EA43BA5}"/>
            </c:ext>
          </c:extLst>
        </c:ser>
        <c:ser>
          <c:idx val="1"/>
          <c:order val="1"/>
          <c:tx>
            <c:v>EAT</c:v>
          </c:tx>
          <c:spPr>
            <a:ln w="28575" cmpd="sng">
              <a:solidFill>
                <a:srgbClr val="ED7D31"/>
              </a:solidFill>
            </a:ln>
          </c:spPr>
          <c:marker>
            <c:symbol val="none"/>
          </c:marker>
          <c:cat>
            <c:strRef>
              <c:f>'Analyse Catégorielle'!$D$2:$G$2</c:f>
              <c:strCache>
                <c:ptCount val="4"/>
                <c:pt idx="0">
                  <c:v>Avril</c:v>
                </c:pt>
                <c:pt idx="1">
                  <c:v>Mai</c:v>
                </c:pt>
                <c:pt idx="2">
                  <c:v>Juin</c:v>
                </c:pt>
                <c:pt idx="3">
                  <c:v>Juillet</c:v>
                </c:pt>
              </c:strCache>
            </c:strRef>
          </c:cat>
          <c:val>
            <c:numRef>
              <c:f>'Analyse Catégorielle'!$D$54:$G$54</c:f>
              <c:numCache>
                <c:formatCode>#,##0</c:formatCode>
                <c:ptCount val="4"/>
                <c:pt idx="0">
                  <c:v>245759.67130432487</c:v>
                </c:pt>
                <c:pt idx="1">
                  <c:v>160048.74331586441</c:v>
                </c:pt>
                <c:pt idx="2">
                  <c:v>606175.13468205906</c:v>
                </c:pt>
                <c:pt idx="3">
                  <c:v>1131064.6133119941</c:v>
                </c:pt>
              </c:numCache>
            </c:numRef>
          </c:val>
          <c:smooth val="0"/>
          <c:extLst>
            <c:ext xmlns:c16="http://schemas.microsoft.com/office/drawing/2014/chart" uri="{C3380CC4-5D6E-409C-BE32-E72D297353CC}">
              <c16:uniqueId val="{00000001-DC35-4797-B6D1-77245EA43BA5}"/>
            </c:ext>
          </c:extLst>
        </c:ser>
        <c:ser>
          <c:idx val="2"/>
          <c:order val="2"/>
          <c:tx>
            <c:v>SMOKE</c:v>
          </c:tx>
          <c:spPr>
            <a:ln w="28575" cmpd="sng">
              <a:solidFill>
                <a:srgbClr val="A5A5A5"/>
              </a:solidFill>
            </a:ln>
          </c:spPr>
          <c:marker>
            <c:symbol val="none"/>
          </c:marker>
          <c:cat>
            <c:strRef>
              <c:f>'Analyse Catégorielle'!$D$2:$G$2</c:f>
              <c:strCache>
                <c:ptCount val="4"/>
                <c:pt idx="0">
                  <c:v>Avril</c:v>
                </c:pt>
                <c:pt idx="1">
                  <c:v>Mai</c:v>
                </c:pt>
                <c:pt idx="2">
                  <c:v>Juin</c:v>
                </c:pt>
                <c:pt idx="3">
                  <c:v>Juillet</c:v>
                </c:pt>
              </c:strCache>
            </c:strRef>
          </c:cat>
          <c:val>
            <c:numRef>
              <c:f>'Analyse Catégorielle'!$D$83:$G$83</c:f>
              <c:numCache>
                <c:formatCode>#,##0</c:formatCode>
                <c:ptCount val="4"/>
                <c:pt idx="0">
                  <c:v>-110915.12787186552</c:v>
                </c:pt>
                <c:pt idx="1">
                  <c:v>609330.1227880026</c:v>
                </c:pt>
                <c:pt idx="2">
                  <c:v>1022240.2704963378</c:v>
                </c:pt>
                <c:pt idx="3">
                  <c:v>2140431.0569431507</c:v>
                </c:pt>
              </c:numCache>
            </c:numRef>
          </c:val>
          <c:smooth val="0"/>
          <c:extLst>
            <c:ext xmlns:c16="http://schemas.microsoft.com/office/drawing/2014/chart" uri="{C3380CC4-5D6E-409C-BE32-E72D297353CC}">
              <c16:uniqueId val="{00000002-DC35-4797-B6D1-77245EA43BA5}"/>
            </c:ext>
          </c:extLst>
        </c:ser>
        <c:dLbls>
          <c:showLegendKey val="0"/>
          <c:showVal val="0"/>
          <c:showCatName val="0"/>
          <c:showSerName val="0"/>
          <c:showPercent val="0"/>
          <c:showBubbleSize val="0"/>
        </c:dLbls>
        <c:smooth val="0"/>
        <c:axId val="845078732"/>
        <c:axId val="59058385"/>
      </c:lineChart>
      <c:catAx>
        <c:axId val="845078732"/>
        <c:scaling>
          <c:orientation val="minMax"/>
        </c:scaling>
        <c:delete val="0"/>
        <c:axPos val="b"/>
        <c:title>
          <c:tx>
            <c:rich>
              <a:bodyPr/>
              <a:lstStyle/>
              <a:p>
                <a:pPr lvl="0">
                  <a:defRPr b="0">
                    <a:solidFill>
                      <a:srgbClr val="000000"/>
                    </a:solidFill>
                    <a:latin typeface="+mn-lt"/>
                  </a:defRPr>
                </a:pPr>
                <a:endParaRPr lang="fr-F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fr-FR"/>
          </a:p>
        </c:txPr>
        <c:crossAx val="59058385"/>
        <c:crosses val="autoZero"/>
        <c:auto val="1"/>
        <c:lblAlgn val="ctr"/>
        <c:lblOffset val="100"/>
        <c:noMultiLvlLbl val="1"/>
      </c:catAx>
      <c:valAx>
        <c:axId val="590583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fr-FR"/>
              </a:p>
            </c:rich>
          </c:tx>
          <c:overlay val="0"/>
        </c:title>
        <c:numFmt formatCode="#,##0" sourceLinked="1"/>
        <c:majorTickMark val="none"/>
        <c:minorTickMark val="none"/>
        <c:tickLblPos val="nextTo"/>
        <c:spPr>
          <a:ln/>
        </c:spPr>
        <c:txPr>
          <a:bodyPr/>
          <a:lstStyle/>
          <a:p>
            <a:pPr lvl="0">
              <a:defRPr sz="1000" b="1" i="0">
                <a:solidFill>
                  <a:srgbClr val="000000"/>
                </a:solidFill>
                <a:latin typeface="Calibri"/>
              </a:defRPr>
            </a:pPr>
            <a:endParaRPr lang="fr-FR"/>
          </a:p>
        </c:txPr>
        <c:crossAx val="845078732"/>
        <c:crosses val="autoZero"/>
        <c:crossBetween val="between"/>
      </c:valAx>
    </c:plotArea>
    <c:legend>
      <c:legendPos val="b"/>
      <c:layout>
        <c:manualLayout>
          <c:xMode val="edge"/>
          <c:yMode val="edge"/>
          <c:x val="0.12033341846232429"/>
          <c:y val="0.92097377135250447"/>
        </c:manualLayout>
      </c:layout>
      <c:overlay val="0"/>
      <c:txPr>
        <a:bodyPr/>
        <a:lstStyle/>
        <a:p>
          <a:pPr lvl="0">
            <a:defRPr sz="1100" b="1" i="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400" b="1" i="0">
                <a:solidFill>
                  <a:srgbClr val="757575"/>
                </a:solidFill>
                <a:latin typeface="Calibri"/>
              </a:defRPr>
            </a:pPr>
            <a:r>
              <a:rPr lang="fr-FR" sz="1400" b="1" i="0">
                <a:solidFill>
                  <a:srgbClr val="757575"/>
                </a:solidFill>
                <a:latin typeface="Calibri"/>
              </a:rPr>
              <a:t>Répartition du chiffres d'affaires</a:t>
            </a:r>
          </a:p>
        </c:rich>
      </c:tx>
      <c:overlay val="0"/>
    </c:title>
    <c:autoTitleDeleted val="0"/>
    <c:plotArea>
      <c:layout/>
      <c:barChart>
        <c:barDir val="col"/>
        <c:grouping val="clustered"/>
        <c:varyColors val="1"/>
        <c:ser>
          <c:idx val="0"/>
          <c:order val="0"/>
          <c:tx>
            <c:v>DRINK</c:v>
          </c:tx>
          <c:spPr>
            <a:solidFill>
              <a:srgbClr val="4472C4"/>
            </a:solidFill>
            <a:ln cmpd="sng">
              <a:solidFill>
                <a:srgbClr val="000000"/>
              </a:solidFill>
            </a:ln>
          </c:spPr>
          <c:invertIfNegative val="1"/>
          <c:dLbls>
            <c:spPr>
              <a:noFill/>
              <a:ln>
                <a:noFill/>
              </a:ln>
              <a:effectLst/>
            </c:spPr>
            <c:txPr>
              <a:bodyPr/>
              <a:lstStyle/>
              <a:p>
                <a:pPr lvl="0">
                  <a:defRPr sz="14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Catégorielle'!$K$101:$N$101</c:f>
              <c:strCache>
                <c:ptCount val="4"/>
                <c:pt idx="0">
                  <c:v>Avril</c:v>
                </c:pt>
                <c:pt idx="1">
                  <c:v>Mai</c:v>
                </c:pt>
                <c:pt idx="2">
                  <c:v>Juin</c:v>
                </c:pt>
                <c:pt idx="3">
                  <c:v>Juillet</c:v>
                </c:pt>
              </c:strCache>
            </c:strRef>
          </c:cat>
          <c:val>
            <c:numRef>
              <c:f>'Analyse Catégorielle'!$K$102:$N$102</c:f>
              <c:numCache>
                <c:formatCode>0%</c:formatCode>
                <c:ptCount val="4"/>
                <c:pt idx="0">
                  <c:v>0.69855100841981599</c:v>
                </c:pt>
                <c:pt idx="1">
                  <c:v>0.64694493920854956</c:v>
                </c:pt>
                <c:pt idx="2">
                  <c:v>0.72822315943031879</c:v>
                </c:pt>
                <c:pt idx="3">
                  <c:v>0.72038405197121202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006-465D-804F-79545AAA11E3}"/>
            </c:ext>
          </c:extLst>
        </c:ser>
        <c:ser>
          <c:idx val="1"/>
          <c:order val="1"/>
          <c:tx>
            <c:v>EAT</c:v>
          </c:tx>
          <c:spPr>
            <a:solidFill>
              <a:srgbClr val="ED7D31"/>
            </a:solidFill>
            <a:ln cmpd="sng">
              <a:solidFill>
                <a:srgbClr val="000000"/>
              </a:solidFill>
            </a:ln>
          </c:spPr>
          <c:invertIfNegative val="1"/>
          <c:dLbls>
            <c:spPr>
              <a:noFill/>
              <a:ln>
                <a:noFill/>
              </a:ln>
              <a:effectLst/>
            </c:spPr>
            <c:txPr>
              <a:bodyPr/>
              <a:lstStyle/>
              <a:p>
                <a:pPr lvl="0">
                  <a:defRPr sz="14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Catégorielle'!$K$101:$N$101</c:f>
              <c:strCache>
                <c:ptCount val="4"/>
                <c:pt idx="0">
                  <c:v>Avril</c:v>
                </c:pt>
                <c:pt idx="1">
                  <c:v>Mai</c:v>
                </c:pt>
                <c:pt idx="2">
                  <c:v>Juin</c:v>
                </c:pt>
                <c:pt idx="3">
                  <c:v>Juillet</c:v>
                </c:pt>
              </c:strCache>
            </c:strRef>
          </c:cat>
          <c:val>
            <c:numRef>
              <c:f>'Analyse Catégorielle'!$K$103:$N$103</c:f>
              <c:numCache>
                <c:formatCode>0%</c:formatCode>
                <c:ptCount val="4"/>
                <c:pt idx="0">
                  <c:v>0.24348932837282161</c:v>
                </c:pt>
                <c:pt idx="1">
                  <c:v>0.23048091071013707</c:v>
                </c:pt>
                <c:pt idx="2">
                  <c:v>0.17067058174439156</c:v>
                </c:pt>
                <c:pt idx="3">
                  <c:v>0.15502197312273103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006-465D-804F-79545AAA11E3}"/>
            </c:ext>
          </c:extLst>
        </c:ser>
        <c:ser>
          <c:idx val="2"/>
          <c:order val="2"/>
          <c:tx>
            <c:v>SMOKE</c:v>
          </c:tx>
          <c:spPr>
            <a:solidFill>
              <a:srgbClr val="A5A5A5"/>
            </a:solidFill>
            <a:ln cmpd="sng">
              <a:solidFill>
                <a:srgbClr val="000000"/>
              </a:solidFill>
            </a:ln>
          </c:spPr>
          <c:invertIfNegative val="1"/>
          <c:dLbls>
            <c:spPr>
              <a:noFill/>
              <a:ln>
                <a:noFill/>
              </a:ln>
              <a:effectLst/>
            </c:spPr>
            <c:txPr>
              <a:bodyPr/>
              <a:lstStyle/>
              <a:p>
                <a:pPr lvl="0">
                  <a:defRPr sz="14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Catégorielle'!$K$101:$N$101</c:f>
              <c:strCache>
                <c:ptCount val="4"/>
                <c:pt idx="0">
                  <c:v>Avril</c:v>
                </c:pt>
                <c:pt idx="1">
                  <c:v>Mai</c:v>
                </c:pt>
                <c:pt idx="2">
                  <c:v>Juin</c:v>
                </c:pt>
                <c:pt idx="3">
                  <c:v>Juillet</c:v>
                </c:pt>
              </c:strCache>
            </c:strRef>
          </c:cat>
          <c:val>
            <c:numRef>
              <c:f>'Analyse Catégorielle'!$K$104:$N$104</c:f>
              <c:numCache>
                <c:formatCode>0%</c:formatCode>
                <c:ptCount val="4"/>
                <c:pt idx="0">
                  <c:v>5.7959663207362441E-2</c:v>
                </c:pt>
                <c:pt idx="1">
                  <c:v>0.12257415008131341</c:v>
                </c:pt>
                <c:pt idx="2">
                  <c:v>0.10110625882528966</c:v>
                </c:pt>
                <c:pt idx="3">
                  <c:v>0.12459397490605693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F006-465D-804F-79545AAA11E3}"/>
            </c:ext>
          </c:extLst>
        </c:ser>
        <c:dLbls>
          <c:showLegendKey val="0"/>
          <c:showVal val="0"/>
          <c:showCatName val="0"/>
          <c:showSerName val="0"/>
          <c:showPercent val="0"/>
          <c:showBubbleSize val="0"/>
        </c:dLbls>
        <c:gapWidth val="150"/>
        <c:axId val="312859081"/>
        <c:axId val="550942821"/>
      </c:barChart>
      <c:lineChart>
        <c:grouping val="standard"/>
        <c:varyColors val="1"/>
        <c:ser>
          <c:idx val="3"/>
          <c:order val="3"/>
          <c:tx>
            <c:v>CA DRINK</c:v>
          </c:tx>
          <c:spPr>
            <a:ln w="28575" cmpd="sng">
              <a:solidFill>
                <a:schemeClr val="accent1"/>
              </a:solidFill>
              <a:prstDash val="dash"/>
            </a:ln>
          </c:spPr>
          <c:marker>
            <c:symbol val="none"/>
          </c:marker>
          <c:cat>
            <c:strRef>
              <c:f>'Analyse Catégorielle'!$K$101:$N$101</c:f>
              <c:strCache>
                <c:ptCount val="4"/>
                <c:pt idx="0">
                  <c:v>Avril</c:v>
                </c:pt>
                <c:pt idx="1">
                  <c:v>Mai</c:v>
                </c:pt>
                <c:pt idx="2">
                  <c:v>Juin</c:v>
                </c:pt>
                <c:pt idx="3">
                  <c:v>Juillet</c:v>
                </c:pt>
              </c:strCache>
            </c:strRef>
          </c:cat>
          <c:val>
            <c:numRef>
              <c:f>'Analyse Catégorielle'!$J$105:$N$105</c:f>
              <c:numCache>
                <c:formatCode>0%</c:formatCode>
                <c:ptCount val="5"/>
                <c:pt idx="0" formatCode="General">
                  <c:v>0</c:v>
                </c:pt>
                <c:pt idx="1">
                  <c:v>0.69855100841981599</c:v>
                </c:pt>
                <c:pt idx="2">
                  <c:v>0.64694493920854956</c:v>
                </c:pt>
                <c:pt idx="3">
                  <c:v>0.72822315943031879</c:v>
                </c:pt>
                <c:pt idx="4">
                  <c:v>0.72038405197121202</c:v>
                </c:pt>
              </c:numCache>
            </c:numRef>
          </c:val>
          <c:smooth val="0"/>
          <c:extLst>
            <c:ext xmlns:c16="http://schemas.microsoft.com/office/drawing/2014/chart" uri="{C3380CC4-5D6E-409C-BE32-E72D297353CC}">
              <c16:uniqueId val="{00000003-F006-465D-804F-79545AAA11E3}"/>
            </c:ext>
          </c:extLst>
        </c:ser>
        <c:ser>
          <c:idx val="4"/>
          <c:order val="4"/>
          <c:tx>
            <c:v>CA EAT</c:v>
          </c:tx>
          <c:spPr>
            <a:ln w="28575" cmpd="sng">
              <a:solidFill>
                <a:schemeClr val="accent2"/>
              </a:solidFill>
              <a:prstDash val="dash"/>
            </a:ln>
          </c:spPr>
          <c:marker>
            <c:symbol val="none"/>
          </c:marker>
          <c:cat>
            <c:strRef>
              <c:f>'Analyse Catégorielle'!$K$101:$N$101</c:f>
              <c:strCache>
                <c:ptCount val="4"/>
                <c:pt idx="0">
                  <c:v>Avril</c:v>
                </c:pt>
                <c:pt idx="1">
                  <c:v>Mai</c:v>
                </c:pt>
                <c:pt idx="2">
                  <c:v>Juin</c:v>
                </c:pt>
                <c:pt idx="3">
                  <c:v>Juillet</c:v>
                </c:pt>
              </c:strCache>
            </c:strRef>
          </c:cat>
          <c:val>
            <c:numRef>
              <c:f>'Analyse Catégorielle'!$J$106:$N$106</c:f>
              <c:numCache>
                <c:formatCode>0%</c:formatCode>
                <c:ptCount val="5"/>
                <c:pt idx="0" formatCode="General">
                  <c:v>0</c:v>
                </c:pt>
                <c:pt idx="1">
                  <c:v>0.24348932837282161</c:v>
                </c:pt>
                <c:pt idx="2">
                  <c:v>0.23048091071013707</c:v>
                </c:pt>
                <c:pt idx="3">
                  <c:v>0.17067058174439156</c:v>
                </c:pt>
                <c:pt idx="4">
                  <c:v>0.15502197312273103</c:v>
                </c:pt>
              </c:numCache>
            </c:numRef>
          </c:val>
          <c:smooth val="0"/>
          <c:extLst>
            <c:ext xmlns:c16="http://schemas.microsoft.com/office/drawing/2014/chart" uri="{C3380CC4-5D6E-409C-BE32-E72D297353CC}">
              <c16:uniqueId val="{00000004-F006-465D-804F-79545AAA11E3}"/>
            </c:ext>
          </c:extLst>
        </c:ser>
        <c:ser>
          <c:idx val="5"/>
          <c:order val="5"/>
          <c:tx>
            <c:v>CA SMOKE</c:v>
          </c:tx>
          <c:spPr>
            <a:ln w="28575" cmpd="sng">
              <a:solidFill>
                <a:schemeClr val="accent3"/>
              </a:solidFill>
              <a:prstDash val="dash"/>
            </a:ln>
          </c:spPr>
          <c:marker>
            <c:symbol val="none"/>
          </c:marker>
          <c:cat>
            <c:strRef>
              <c:f>'Analyse Catégorielle'!$K$101:$N$101</c:f>
              <c:strCache>
                <c:ptCount val="4"/>
                <c:pt idx="0">
                  <c:v>Avril</c:v>
                </c:pt>
                <c:pt idx="1">
                  <c:v>Mai</c:v>
                </c:pt>
                <c:pt idx="2">
                  <c:v>Juin</c:v>
                </c:pt>
                <c:pt idx="3">
                  <c:v>Juillet</c:v>
                </c:pt>
              </c:strCache>
            </c:strRef>
          </c:cat>
          <c:val>
            <c:numRef>
              <c:f>'Analyse Catégorielle'!$J$107:$N$107</c:f>
              <c:numCache>
                <c:formatCode>0%</c:formatCode>
                <c:ptCount val="5"/>
                <c:pt idx="0" formatCode="General">
                  <c:v>0</c:v>
                </c:pt>
                <c:pt idx="1">
                  <c:v>5.7959663207362441E-2</c:v>
                </c:pt>
                <c:pt idx="2">
                  <c:v>0.12257415008131341</c:v>
                </c:pt>
                <c:pt idx="3">
                  <c:v>0.10110625882528966</c:v>
                </c:pt>
                <c:pt idx="4">
                  <c:v>0.12459397490605693</c:v>
                </c:pt>
              </c:numCache>
            </c:numRef>
          </c:val>
          <c:smooth val="0"/>
          <c:extLst>
            <c:ext xmlns:c16="http://schemas.microsoft.com/office/drawing/2014/chart" uri="{C3380CC4-5D6E-409C-BE32-E72D297353CC}">
              <c16:uniqueId val="{00000005-F006-465D-804F-79545AAA11E3}"/>
            </c:ext>
          </c:extLst>
        </c:ser>
        <c:dLbls>
          <c:showLegendKey val="0"/>
          <c:showVal val="0"/>
          <c:showCatName val="0"/>
          <c:showSerName val="0"/>
          <c:showPercent val="0"/>
          <c:showBubbleSize val="0"/>
        </c:dLbls>
        <c:marker val="1"/>
        <c:smooth val="0"/>
        <c:axId val="312859081"/>
        <c:axId val="550942821"/>
      </c:lineChart>
      <c:catAx>
        <c:axId val="312859081"/>
        <c:scaling>
          <c:orientation val="minMax"/>
        </c:scaling>
        <c:delete val="0"/>
        <c:axPos val="b"/>
        <c:title>
          <c:tx>
            <c:rich>
              <a:bodyPr/>
              <a:lstStyle/>
              <a:p>
                <a:pPr lvl="0">
                  <a:defRPr b="0">
                    <a:solidFill>
                      <a:srgbClr val="000000"/>
                    </a:solidFill>
                    <a:latin typeface="+mn-lt"/>
                  </a:defRPr>
                </a:pPr>
                <a:endParaRPr lang="fr-FR"/>
              </a:p>
            </c:rich>
          </c:tx>
          <c:overlay val="0"/>
        </c:title>
        <c:numFmt formatCode="General" sourceLinked="1"/>
        <c:majorTickMark val="none"/>
        <c:minorTickMark val="none"/>
        <c:tickLblPos val="nextTo"/>
        <c:txPr>
          <a:bodyPr/>
          <a:lstStyle/>
          <a:p>
            <a:pPr lvl="0">
              <a:defRPr sz="1100" b="1" i="0">
                <a:solidFill>
                  <a:srgbClr val="000000"/>
                </a:solidFill>
                <a:latin typeface="Calibri"/>
              </a:defRPr>
            </a:pPr>
            <a:endParaRPr lang="fr-FR"/>
          </a:p>
        </c:txPr>
        <c:crossAx val="550942821"/>
        <c:crosses val="autoZero"/>
        <c:auto val="1"/>
        <c:lblAlgn val="ctr"/>
        <c:lblOffset val="100"/>
        <c:noMultiLvlLbl val="1"/>
      </c:catAx>
      <c:valAx>
        <c:axId val="550942821"/>
        <c:scaling>
          <c:orientation val="minMax"/>
        </c:scaling>
        <c:delete val="0"/>
        <c:axPos val="l"/>
        <c:title>
          <c:tx>
            <c:rich>
              <a:bodyPr/>
              <a:lstStyle/>
              <a:p>
                <a:pPr lvl="0">
                  <a:defRPr b="0">
                    <a:solidFill>
                      <a:srgbClr val="000000"/>
                    </a:solidFill>
                    <a:latin typeface="+mn-lt"/>
                  </a:defRPr>
                </a:pPr>
                <a:endParaRPr lang="fr-F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fr-FR"/>
          </a:p>
        </c:txPr>
        <c:crossAx val="312859081"/>
        <c:crosses val="autoZero"/>
        <c:crossBetween val="between"/>
      </c:valAx>
    </c:plotArea>
    <c:legend>
      <c:legendPos val="b"/>
      <c:layout>
        <c:manualLayout>
          <c:xMode val="edge"/>
          <c:yMode val="edge"/>
          <c:x val="0.15463076789371413"/>
          <c:y val="0.91773766084117536"/>
        </c:manualLayout>
      </c:layout>
      <c:overlay val="0"/>
      <c:txPr>
        <a:bodyPr/>
        <a:lstStyle/>
        <a:p>
          <a:pPr lvl="0">
            <a:defRPr sz="1100" b="1" i="0">
              <a:solidFill>
                <a:srgbClr val="1A1A1A"/>
              </a:solidFill>
              <a:latin typeface="Calibri"/>
            </a:defRPr>
          </a:pPr>
          <a:endParaRPr lang="fr-FR"/>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1</xdr:col>
      <xdr:colOff>47625</xdr:colOff>
      <xdr:row>68</xdr:row>
      <xdr:rowOff>28575</xdr:rowOff>
    </xdr:from>
    <xdr:ext cx="11058525" cy="5534025"/>
    <xdr:graphicFrame macro="">
      <xdr:nvGraphicFramePr>
        <xdr:cNvPr id="856014115"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9</xdr:col>
      <xdr:colOff>571500</xdr:colOff>
      <xdr:row>69</xdr:row>
      <xdr:rowOff>152400</xdr:rowOff>
    </xdr:from>
    <xdr:ext cx="9839325" cy="4838700"/>
    <xdr:graphicFrame macro="">
      <xdr:nvGraphicFramePr>
        <xdr:cNvPr id="1596997873" name="Chart 2" title="Graphiqu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57150</xdr:colOff>
      <xdr:row>105</xdr:row>
      <xdr:rowOff>142875</xdr:rowOff>
    </xdr:from>
    <xdr:ext cx="10801350" cy="7686675"/>
    <xdr:graphicFrame macro="">
      <xdr:nvGraphicFramePr>
        <xdr:cNvPr id="802195253"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20</xdr:col>
      <xdr:colOff>781050</xdr:colOff>
      <xdr:row>69</xdr:row>
      <xdr:rowOff>95250</xdr:rowOff>
    </xdr:from>
    <xdr:ext cx="6343650" cy="3943350"/>
    <xdr:graphicFrame macro="">
      <xdr:nvGraphicFramePr>
        <xdr:cNvPr id="1204806711" name="Chart 4" title="Graphiqu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9</xdr:col>
      <xdr:colOff>161925</xdr:colOff>
      <xdr:row>106</xdr:row>
      <xdr:rowOff>95250</xdr:rowOff>
    </xdr:from>
    <xdr:ext cx="14516100" cy="7219950"/>
    <xdr:graphicFrame macro="">
      <xdr:nvGraphicFramePr>
        <xdr:cNvPr id="1188672412" name="Chart 5"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142875</xdr:colOff>
      <xdr:row>122</xdr:row>
      <xdr:rowOff>114300</xdr:rowOff>
    </xdr:from>
    <xdr:ext cx="6848475" cy="4410075"/>
    <xdr:graphicFrame macro="">
      <xdr:nvGraphicFramePr>
        <xdr:cNvPr id="717494066"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28575</xdr:colOff>
      <xdr:row>123</xdr:row>
      <xdr:rowOff>0</xdr:rowOff>
    </xdr:from>
    <xdr:ext cx="6629400" cy="4286250"/>
    <xdr:graphicFrame macro="">
      <xdr:nvGraphicFramePr>
        <xdr:cNvPr id="1879348945"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57150</xdr:colOff>
      <xdr:row>151</xdr:row>
      <xdr:rowOff>0</xdr:rowOff>
    </xdr:from>
    <xdr:ext cx="6858000" cy="4152900"/>
    <xdr:graphicFrame macro="">
      <xdr:nvGraphicFramePr>
        <xdr:cNvPr id="1586903264"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247650</xdr:colOff>
      <xdr:row>150</xdr:row>
      <xdr:rowOff>104775</xdr:rowOff>
    </xdr:from>
    <xdr:ext cx="10563225" cy="4848225"/>
    <xdr:graphicFrame macro="">
      <xdr:nvGraphicFramePr>
        <xdr:cNvPr id="1717799507"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1000"/>
  <sheetViews>
    <sheetView showGridLines="0" workbookViewId="0">
      <pane xSplit="1" ySplit="3" topLeftCell="B10" activePane="bottomRight" state="frozen"/>
      <selection pane="topRight" activeCell="B1" sqref="B1"/>
      <selection pane="bottomLeft" activeCell="A4" sqref="A4"/>
      <selection pane="bottomRight" activeCell="B30" sqref="B30"/>
    </sheetView>
  </sheetViews>
  <sheetFormatPr baseColWidth="10" defaultColWidth="12.5703125" defaultRowHeight="15" customHeight="1" outlineLevelCol="1" x14ac:dyDescent="0.2"/>
  <cols>
    <col min="1" max="1" width="3.5703125" customWidth="1"/>
    <col min="2" max="2" width="46.140625" customWidth="1"/>
    <col min="3" max="3" width="10.5703125" customWidth="1"/>
    <col min="4" max="4" width="12.5703125" customWidth="1"/>
    <col min="5" max="6" width="12.28515625" customWidth="1"/>
    <col min="7" max="7" width="11.140625" customWidth="1"/>
    <col min="8" max="8" width="20.28515625" customWidth="1" outlineLevel="1"/>
    <col min="9" max="9" width="15.42578125" customWidth="1" outlineLevel="1"/>
    <col min="10" max="10" width="18.7109375" customWidth="1" outlineLevel="1"/>
    <col min="11" max="12" width="10.5703125" customWidth="1"/>
    <col min="13" max="13" width="16" customWidth="1"/>
    <col min="14" max="29" width="10.5703125" customWidth="1"/>
  </cols>
  <sheetData>
    <row r="1" spans="2:14" ht="12.75" customHeight="1" x14ac:dyDescent="0.2"/>
    <row r="2" spans="2:14" ht="23.25" customHeight="1" x14ac:dyDescent="0.2">
      <c r="B2" s="546" t="s">
        <v>0</v>
      </c>
      <c r="C2" s="548" t="s">
        <v>1</v>
      </c>
      <c r="D2" s="549"/>
      <c r="E2" s="549"/>
      <c r="F2" s="549"/>
      <c r="G2" s="550"/>
      <c r="H2" s="1"/>
      <c r="I2" s="1"/>
      <c r="J2" s="1"/>
      <c r="K2" s="2"/>
      <c r="L2" s="2"/>
      <c r="M2" s="2"/>
      <c r="N2" s="2"/>
    </row>
    <row r="3" spans="2:14" ht="12.75" customHeight="1" x14ac:dyDescent="0.25">
      <c r="B3" s="547"/>
      <c r="C3" s="3" t="s">
        <v>2</v>
      </c>
      <c r="D3" s="3" t="s">
        <v>3</v>
      </c>
      <c r="E3" s="3" t="s">
        <v>4</v>
      </c>
      <c r="F3" s="4" t="s">
        <v>5</v>
      </c>
      <c r="G3" s="4" t="s">
        <v>6</v>
      </c>
      <c r="H3" s="5" t="s">
        <v>7</v>
      </c>
      <c r="I3" s="5" t="s">
        <v>8</v>
      </c>
      <c r="J3" s="5" t="s">
        <v>9</v>
      </c>
    </row>
    <row r="4" spans="2:14" ht="12.75" customHeight="1" x14ac:dyDescent="0.2"/>
    <row r="5" spans="2:14" ht="12.75" customHeight="1" x14ac:dyDescent="0.2"/>
    <row r="6" spans="2:14" ht="12.75" customHeight="1" x14ac:dyDescent="0.2">
      <c r="B6" s="6" t="s">
        <v>10</v>
      </c>
      <c r="C6" s="6"/>
      <c r="D6" s="6"/>
      <c r="E6" s="6"/>
      <c r="F6" s="7"/>
      <c r="G6" s="7"/>
      <c r="H6" s="7"/>
      <c r="I6" s="7"/>
      <c r="J6" s="7"/>
    </row>
    <row r="7" spans="2:14" ht="12.75" customHeight="1" x14ac:dyDescent="0.3">
      <c r="B7" s="8"/>
      <c r="C7" s="9"/>
      <c r="D7" s="9"/>
      <c r="E7" s="9"/>
      <c r="F7" s="10"/>
      <c r="G7" s="10"/>
      <c r="H7" s="10"/>
      <c r="I7" s="10"/>
      <c r="J7" s="10"/>
    </row>
    <row r="8" spans="2:14" ht="12.75" customHeight="1" x14ac:dyDescent="0.3">
      <c r="B8" s="11" t="s">
        <v>11</v>
      </c>
      <c r="C8" s="12">
        <f>'Analyse CA Initial'!C45</f>
        <v>3527300</v>
      </c>
      <c r="D8" s="12">
        <f>'Analyse CA Initial'!F45</f>
        <v>12225050</v>
      </c>
      <c r="E8" s="12">
        <f>'Analyse CA Initial'!I45</f>
        <v>20471000</v>
      </c>
      <c r="F8" s="12">
        <f>'Analyse CA Initial'!L45</f>
        <v>28821750</v>
      </c>
      <c r="G8" s="12">
        <f>'Analyse CA Initial'!O45</f>
        <v>7057250</v>
      </c>
      <c r="H8" s="13"/>
    </row>
    <row r="9" spans="2:14" ht="12.75" customHeight="1" x14ac:dyDescent="0.25">
      <c r="B9" s="14" t="s">
        <v>12</v>
      </c>
      <c r="C9" s="15" t="str">
        <f t="shared" ref="C9:G9" si="0">IFERROR((C8-B8)/ABS(B8),"")</f>
        <v/>
      </c>
      <c r="D9" s="15">
        <f t="shared" si="0"/>
        <v>2.4658378930059821</v>
      </c>
      <c r="E9" s="15">
        <f t="shared" si="0"/>
        <v>0.67451257868065984</v>
      </c>
      <c r="F9" s="15">
        <f t="shared" si="0"/>
        <v>0.4079307312783938</v>
      </c>
      <c r="G9" s="15">
        <f t="shared" si="0"/>
        <v>-0.7551415163895322</v>
      </c>
      <c r="I9" s="15"/>
    </row>
    <row r="10" spans="2:14" ht="12.75" customHeight="1" x14ac:dyDescent="0.3">
      <c r="B10" s="16" t="s">
        <v>13</v>
      </c>
      <c r="C10" s="17">
        <f>SUM('Détail Dépenses'!$D$13:$J$13)</f>
        <v>2973450</v>
      </c>
      <c r="D10" s="17">
        <f>SUM('Détail Dépenses'!$D$47:$J$47)</f>
        <v>6179050</v>
      </c>
      <c r="E10" s="17">
        <f>SUM('Détail Dépenses'!$D$81:$J$81)</f>
        <v>8370550</v>
      </c>
      <c r="F10" s="17">
        <f>SUM('Détail Dépenses'!$D$116:$J$116)</f>
        <v>15470625</v>
      </c>
      <c r="G10" s="17" t="e">
        <f>SUM('Détail Dépenses'!#REF!)</f>
        <v>#REF!</v>
      </c>
      <c r="H10" s="10"/>
      <c r="I10" s="10"/>
      <c r="J10" s="10"/>
    </row>
    <row r="11" spans="2:14" ht="12.75" customHeight="1" x14ac:dyDescent="0.25">
      <c r="B11" s="18" t="s">
        <v>12</v>
      </c>
      <c r="C11" s="19" t="str">
        <f t="shared" ref="C11:G11" si="1">IFERROR((C10-B10)/ABS(B10),"")</f>
        <v/>
      </c>
      <c r="D11" s="19">
        <f t="shared" si="1"/>
        <v>1.0780742908069751</v>
      </c>
      <c r="E11" s="19">
        <f t="shared" si="1"/>
        <v>0.35466617036599479</v>
      </c>
      <c r="F11" s="19">
        <f t="shared" si="1"/>
        <v>0.84822084570308998</v>
      </c>
      <c r="G11" s="19" t="str">
        <f t="shared" si="1"/>
        <v/>
      </c>
      <c r="I11" s="15"/>
    </row>
    <row r="12" spans="2:14" ht="12.75" customHeight="1" x14ac:dyDescent="0.3">
      <c r="B12" s="11" t="s">
        <v>14</v>
      </c>
      <c r="C12" s="20">
        <f t="shared" ref="C12:G12" si="2">C8-C10</f>
        <v>553850</v>
      </c>
      <c r="D12" s="20">
        <f t="shared" si="2"/>
        <v>6046000</v>
      </c>
      <c r="E12" s="20">
        <f t="shared" si="2"/>
        <v>12100450</v>
      </c>
      <c r="F12" s="20">
        <f t="shared" si="2"/>
        <v>13351125</v>
      </c>
      <c r="G12" s="20" t="e">
        <f t="shared" si="2"/>
        <v>#REF!</v>
      </c>
      <c r="H12" s="20"/>
      <c r="I12" s="20"/>
      <c r="J12" s="20"/>
    </row>
    <row r="13" spans="2:14" ht="12.75" customHeight="1" x14ac:dyDescent="0.25">
      <c r="B13" s="14" t="s">
        <v>12</v>
      </c>
      <c r="C13" s="15" t="str">
        <f t="shared" ref="C13:G13" si="3">IFERROR((C12-B12)/ABS(B12),"")</f>
        <v/>
      </c>
      <c r="D13" s="15">
        <f t="shared" si="3"/>
        <v>9.9163130811591582</v>
      </c>
      <c r="E13" s="15">
        <f t="shared" si="3"/>
        <v>1.0013976182600066</v>
      </c>
      <c r="F13" s="15">
        <f t="shared" si="3"/>
        <v>0.10335772636554839</v>
      </c>
      <c r="G13" s="15" t="str">
        <f t="shared" si="3"/>
        <v/>
      </c>
      <c r="I13" s="15"/>
    </row>
    <row r="14" spans="2:14" ht="12.75" customHeight="1" x14ac:dyDescent="0.3">
      <c r="B14" s="11"/>
      <c r="C14" s="20"/>
      <c r="D14" s="20"/>
      <c r="E14" s="20"/>
      <c r="F14" s="20"/>
      <c r="G14" s="20"/>
      <c r="H14" s="20"/>
      <c r="I14" s="20"/>
      <c r="J14" s="20"/>
    </row>
    <row r="15" spans="2:14" ht="12.75" customHeight="1" x14ac:dyDescent="0.3">
      <c r="B15" s="16" t="s">
        <v>15</v>
      </c>
      <c r="C15" s="17">
        <f>'Détail Dépenses'!$L$13</f>
        <v>20000</v>
      </c>
      <c r="D15" s="17">
        <f>'Détail Dépenses'!$L$47</f>
        <v>335000</v>
      </c>
      <c r="E15" s="17">
        <f>'Détail Dépenses'!$L$81</f>
        <v>480000</v>
      </c>
      <c r="F15" s="17">
        <f>'Détail Dépenses'!$L$116</f>
        <v>630000</v>
      </c>
      <c r="G15" s="17" t="e">
        <f>'Détail Dépenses'!#REF!</f>
        <v>#REF!</v>
      </c>
      <c r="H15" s="10"/>
      <c r="I15" s="10"/>
      <c r="J15" s="10"/>
    </row>
    <row r="16" spans="2:14" ht="12.75" customHeight="1" x14ac:dyDescent="0.25">
      <c r="B16" s="14" t="s">
        <v>12</v>
      </c>
      <c r="C16" s="15" t="str">
        <f t="shared" ref="C16:G16" si="4">IFERROR((C15-B15)/ABS(B15),"")</f>
        <v/>
      </c>
      <c r="D16" s="15">
        <f t="shared" si="4"/>
        <v>15.75</v>
      </c>
      <c r="E16" s="15">
        <f t="shared" si="4"/>
        <v>0.43283582089552236</v>
      </c>
      <c r="F16" s="15">
        <f t="shared" si="4"/>
        <v>0.3125</v>
      </c>
      <c r="G16" s="15" t="str">
        <f t="shared" si="4"/>
        <v/>
      </c>
      <c r="I16" s="15"/>
    </row>
    <row r="17" spans="2:10" ht="12.75" customHeight="1" x14ac:dyDescent="0.3">
      <c r="B17" s="16" t="s">
        <v>16</v>
      </c>
      <c r="C17" s="17">
        <f>'Détail Dépenses'!$N$13</f>
        <v>0</v>
      </c>
      <c r="D17" s="17">
        <f>'Détail Dépenses'!$N$47</f>
        <v>470000</v>
      </c>
      <c r="E17" s="17">
        <f>'Détail Dépenses'!$N$81</f>
        <v>550000</v>
      </c>
      <c r="F17" s="17">
        <f>'Détail Dépenses'!$N$116</f>
        <v>500000</v>
      </c>
      <c r="G17" s="17" t="e">
        <f>'Détail Dépenses'!#REF!</f>
        <v>#REF!</v>
      </c>
      <c r="H17" s="10"/>
      <c r="I17" s="10"/>
      <c r="J17" s="10"/>
    </row>
    <row r="18" spans="2:10" ht="12.75" customHeight="1" x14ac:dyDescent="0.25">
      <c r="B18" s="14" t="s">
        <v>12</v>
      </c>
      <c r="C18" s="15" t="str">
        <f t="shared" ref="C18:G18" si="5">IFERROR((C17-B17)/ABS(B17),"")</f>
        <v/>
      </c>
      <c r="D18" s="15" t="str">
        <f t="shared" si="5"/>
        <v/>
      </c>
      <c r="E18" s="15">
        <f t="shared" si="5"/>
        <v>0.1702127659574468</v>
      </c>
      <c r="F18" s="15">
        <f t="shared" si="5"/>
        <v>-9.0909090909090912E-2</v>
      </c>
      <c r="G18" s="15" t="str">
        <f t="shared" si="5"/>
        <v/>
      </c>
      <c r="I18" s="15"/>
    </row>
    <row r="19" spans="2:10" ht="12.75" customHeight="1" x14ac:dyDescent="0.3">
      <c r="B19" s="16" t="s">
        <v>17</v>
      </c>
      <c r="C19" s="17">
        <f>'Détail Dépenses'!$M$13+'Détail Dépenses'!$R$13</f>
        <v>145100</v>
      </c>
      <c r="D19" s="17">
        <f>'Détail Dépenses'!$M$47+'Détail Dépenses'!$R$47</f>
        <v>227700</v>
      </c>
      <c r="E19" s="17">
        <f>'Détail Dépenses'!$M$81+'Détail Dépenses'!$R$81</f>
        <v>48300</v>
      </c>
      <c r="F19" s="17">
        <f>'Détail Dépenses'!$M$116+'Détail Dépenses'!$R$116</f>
        <v>177600</v>
      </c>
      <c r="G19" s="17" t="e">
        <f>'Détail Dépenses'!#REF!+'Détail Dépenses'!#REF!</f>
        <v>#REF!</v>
      </c>
      <c r="H19" s="10"/>
      <c r="I19" s="10"/>
      <c r="J19" s="10"/>
    </row>
    <row r="20" spans="2:10" ht="12.75" customHeight="1" x14ac:dyDescent="0.25">
      <c r="B20" s="14" t="s">
        <v>12</v>
      </c>
      <c r="C20" s="15" t="str">
        <f t="shared" ref="C20:G20" si="6">IFERROR((C19-B19)/ABS(B19),"")</f>
        <v/>
      </c>
      <c r="D20" s="15">
        <f t="shared" si="6"/>
        <v>0.56926257753273601</v>
      </c>
      <c r="E20" s="15">
        <f t="shared" si="6"/>
        <v>-0.78787878787878785</v>
      </c>
      <c r="F20" s="15">
        <f t="shared" si="6"/>
        <v>2.6770186335403725</v>
      </c>
      <c r="G20" s="15" t="str">
        <f t="shared" si="6"/>
        <v/>
      </c>
      <c r="I20" s="15"/>
    </row>
    <row r="21" spans="2:10" ht="12.75" customHeight="1" x14ac:dyDescent="0.3">
      <c r="B21" s="16" t="s">
        <v>18</v>
      </c>
      <c r="C21" s="17">
        <f>RHv!$B$58</f>
        <v>549500</v>
      </c>
      <c r="D21" s="17">
        <f>RHv!$D$58</f>
        <v>1399000</v>
      </c>
      <c r="E21" s="17">
        <f>RHv!$F$58</f>
        <v>1736000</v>
      </c>
      <c r="F21" s="17">
        <f>RHv!$H$58</f>
        <v>1809500</v>
      </c>
      <c r="G21" s="17">
        <f>RHv!$I$58</f>
        <v>0</v>
      </c>
      <c r="H21" s="10"/>
      <c r="I21" s="10"/>
      <c r="J21" s="10"/>
    </row>
    <row r="22" spans="2:10" ht="12.75" customHeight="1" x14ac:dyDescent="0.25">
      <c r="B22" s="14" t="s">
        <v>12</v>
      </c>
      <c r="C22" s="15" t="str">
        <f t="shared" ref="C22:G22" si="7">IFERROR((C21-B21)/ABS(B21),"")</f>
        <v/>
      </c>
      <c r="D22" s="15">
        <f t="shared" si="7"/>
        <v>1.545950864422202</v>
      </c>
      <c r="E22" s="15">
        <f t="shared" si="7"/>
        <v>0.24088634739099357</v>
      </c>
      <c r="F22" s="15">
        <f t="shared" si="7"/>
        <v>4.2338709677419352E-2</v>
      </c>
      <c r="G22" s="15">
        <f t="shared" si="7"/>
        <v>-1</v>
      </c>
      <c r="I22" s="15"/>
    </row>
    <row r="23" spans="2:10" ht="12.75" customHeight="1" x14ac:dyDescent="0.3">
      <c r="B23" s="16" t="s">
        <v>19</v>
      </c>
      <c r="C23" s="17">
        <f>'Détail Dépenses'!$K$13+'Détail Dépenses'!$O$13+'Détail Dépenses'!$P$13+'Détail Dépenses'!$Q$13+'Détail Dépenses'!$S$13+'Détail Dépenses'!$T$13+'Détail Dépenses'!$U$13+'Détail Dépenses'!$V$13</f>
        <v>132000</v>
      </c>
      <c r="D23" s="17">
        <f>'Détail Dépenses'!$K$47+'Détail Dépenses'!$O$47+'Détail Dépenses'!$P$47+'Détail Dépenses'!$Q$47+'Détail Dépenses'!$S$47+'Détail Dépenses'!$T$47+'Détail Dépenses'!$U$47+'Détail Dépenses'!$V$47</f>
        <v>787272.26</v>
      </c>
      <c r="E23" s="17">
        <f>'Détail Dépenses'!$K$81+'Détail Dépenses'!$O$81+'Détail Dépenses'!$P$81+'Détail Dépenses'!$Q$81+'Détail Dépenses'!$S$81+'Détail Dépenses'!$T$81+'Détail Dépenses'!$U$81+'Détail Dépenses'!$V$81</f>
        <v>761000</v>
      </c>
      <c r="F23" s="17">
        <f>'Détail Dépenses'!$K$116+'Détail Dépenses'!$O$116+'Détail Dépenses'!$P$116+'Détail Dépenses'!$Q$116+'Détail Dépenses'!$S$116+'Détail Dépenses'!$T$116+'Détail Dépenses'!$U$116+'Détail Dépenses'!$V$116</f>
        <v>677725</v>
      </c>
      <c r="G23" s="17" t="e">
        <f>'Détail Dépenses'!#REF!+'Détail Dépenses'!#REF!+'Détail Dépenses'!#REF!+'Détail Dépenses'!#REF!+'Détail Dépenses'!#REF!+'Détail Dépenses'!#REF!+'Détail Dépenses'!#REF!+'Détail Dépenses'!#REF!</f>
        <v>#REF!</v>
      </c>
      <c r="I23" s="15"/>
    </row>
    <row r="24" spans="2:10" ht="12.75" customHeight="1" x14ac:dyDescent="0.25">
      <c r="B24" s="14" t="s">
        <v>12</v>
      </c>
      <c r="C24" s="15" t="str">
        <f t="shared" ref="C24:G24" si="8">IFERROR((C23-B23)/ABS(B23),"")</f>
        <v/>
      </c>
      <c r="D24" s="15">
        <f t="shared" si="8"/>
        <v>4.9641837878787882</v>
      </c>
      <c r="E24" s="15">
        <f t="shared" si="8"/>
        <v>-3.3371250753837067E-2</v>
      </c>
      <c r="F24" s="15">
        <f t="shared" si="8"/>
        <v>-0.10942838370565046</v>
      </c>
      <c r="G24" s="15" t="str">
        <f t="shared" si="8"/>
        <v/>
      </c>
      <c r="I24" s="15"/>
    </row>
    <row r="25" spans="2:10" ht="12.75" customHeight="1" x14ac:dyDescent="0.25">
      <c r="B25" s="21" t="s">
        <v>20</v>
      </c>
      <c r="C25" s="22">
        <f t="shared" ref="C25:G25" si="9">C15+C17+C19+C21+C23</f>
        <v>846600</v>
      </c>
      <c r="D25" s="22">
        <f t="shared" si="9"/>
        <v>3218972.26</v>
      </c>
      <c r="E25" s="22">
        <f t="shared" si="9"/>
        <v>3575300</v>
      </c>
      <c r="F25" s="22">
        <f t="shared" si="9"/>
        <v>3794825</v>
      </c>
      <c r="G25" s="22" t="e">
        <f t="shared" si="9"/>
        <v>#REF!</v>
      </c>
      <c r="H25" s="23"/>
      <c r="I25" s="23"/>
      <c r="J25" s="23"/>
    </row>
    <row r="26" spans="2:10" ht="12.75" customHeight="1" x14ac:dyDescent="0.25">
      <c r="B26" s="14" t="s">
        <v>12</v>
      </c>
      <c r="C26" s="15" t="str">
        <f t="shared" ref="C26:G26" si="10">IFERROR((C25-B25)/ABS(B25),"")</f>
        <v/>
      </c>
      <c r="D26" s="15">
        <f t="shared" si="10"/>
        <v>2.8022351287502949</v>
      </c>
      <c r="E26" s="15">
        <f t="shared" si="10"/>
        <v>0.11069612013369766</v>
      </c>
      <c r="F26" s="15">
        <f t="shared" si="10"/>
        <v>6.1400441920957685E-2</v>
      </c>
      <c r="G26" s="15" t="str">
        <f t="shared" si="10"/>
        <v/>
      </c>
      <c r="I26" s="15"/>
    </row>
    <row r="27" spans="2:10" ht="12.75" customHeight="1" x14ac:dyDescent="0.25">
      <c r="B27" s="16"/>
    </row>
    <row r="28" spans="2:10" ht="12.75" customHeight="1" x14ac:dyDescent="0.3">
      <c r="B28" s="21" t="s">
        <v>21</v>
      </c>
      <c r="C28" s="24">
        <f t="shared" ref="C28:G28" si="11">C12-C25</f>
        <v>-292750</v>
      </c>
      <c r="D28" s="24">
        <f t="shared" si="11"/>
        <v>2827027.74</v>
      </c>
      <c r="E28" s="24">
        <f t="shared" si="11"/>
        <v>8525150</v>
      </c>
      <c r="F28" s="24">
        <f t="shared" si="11"/>
        <v>9556300</v>
      </c>
      <c r="G28" s="24" t="e">
        <f t="shared" si="11"/>
        <v>#REF!</v>
      </c>
      <c r="H28" s="24"/>
      <c r="I28" s="24"/>
      <c r="J28" s="24"/>
    </row>
    <row r="29" spans="2:10" ht="12.75" customHeight="1" x14ac:dyDescent="0.25">
      <c r="B29" s="14" t="s">
        <v>12</v>
      </c>
      <c r="C29" s="15" t="str">
        <f t="shared" ref="C29:G29" si="12">IFERROR((C28-B28)/ABS(B28),"")</f>
        <v/>
      </c>
      <c r="D29" s="15">
        <f t="shared" si="12"/>
        <v>10.656798428693426</v>
      </c>
      <c r="E29" s="15">
        <f t="shared" si="12"/>
        <v>2.0155876715946195</v>
      </c>
      <c r="F29" s="15">
        <f t="shared" si="12"/>
        <v>0.12095388350938106</v>
      </c>
      <c r="G29" s="15" t="str">
        <f t="shared" si="12"/>
        <v/>
      </c>
      <c r="I29" s="15"/>
    </row>
    <row r="30" spans="2:10" ht="12.75" customHeight="1" x14ac:dyDescent="0.3">
      <c r="B30" s="16" t="s">
        <v>22</v>
      </c>
      <c r="C30" s="17">
        <v>0</v>
      </c>
      <c r="D30" s="17">
        <v>0</v>
      </c>
      <c r="E30" s="17">
        <v>0</v>
      </c>
      <c r="F30" s="17">
        <v>0</v>
      </c>
      <c r="G30" s="17">
        <v>0</v>
      </c>
      <c r="H30" s="10"/>
      <c r="I30" s="10"/>
      <c r="J30" s="10"/>
    </row>
    <row r="31" spans="2:10" ht="12.75" customHeight="1" x14ac:dyDescent="0.25">
      <c r="B31" s="14" t="s">
        <v>12</v>
      </c>
      <c r="C31" s="15" t="str">
        <f t="shared" ref="C31:G31" si="13">IFERROR((C30-B30)/ABS(B30),"")</f>
        <v/>
      </c>
      <c r="D31" s="15" t="str">
        <f t="shared" si="13"/>
        <v/>
      </c>
      <c r="E31" s="15" t="str">
        <f t="shared" si="13"/>
        <v/>
      </c>
      <c r="F31" s="15" t="str">
        <f t="shared" si="13"/>
        <v/>
      </c>
      <c r="G31" s="15" t="str">
        <f t="shared" si="13"/>
        <v/>
      </c>
      <c r="I31" s="15"/>
    </row>
    <row r="32" spans="2:10" ht="12.75" customHeight="1" x14ac:dyDescent="0.25">
      <c r="D32" s="15"/>
      <c r="E32" s="15"/>
      <c r="F32" s="15"/>
      <c r="G32" s="15"/>
      <c r="H32" s="25"/>
      <c r="I32" s="25"/>
      <c r="J32" s="25"/>
    </row>
    <row r="33" spans="2:10" ht="12.75" customHeight="1" x14ac:dyDescent="0.3">
      <c r="B33" s="21" t="s">
        <v>23</v>
      </c>
      <c r="C33" s="24">
        <f t="shared" ref="C33:G33" si="14">C28-C30</f>
        <v>-292750</v>
      </c>
      <c r="D33" s="24">
        <f t="shared" si="14"/>
        <v>2827027.74</v>
      </c>
      <c r="E33" s="24">
        <f t="shared" si="14"/>
        <v>8525150</v>
      </c>
      <c r="F33" s="24">
        <f t="shared" si="14"/>
        <v>9556300</v>
      </c>
      <c r="G33" s="24" t="e">
        <f t="shared" si="14"/>
        <v>#REF!</v>
      </c>
      <c r="H33" s="26"/>
      <c r="I33" s="26"/>
      <c r="J33" s="26"/>
    </row>
    <row r="34" spans="2:10" ht="12.75" customHeight="1" x14ac:dyDescent="0.25">
      <c r="B34" s="14" t="s">
        <v>12</v>
      </c>
      <c r="C34" s="15" t="str">
        <f t="shared" ref="C34:G34" si="15">IFERROR((C33-B33)/ABS(B33),"")</f>
        <v/>
      </c>
      <c r="D34" s="15">
        <f t="shared" si="15"/>
        <v>10.656798428693426</v>
      </c>
      <c r="E34" s="15">
        <f t="shared" si="15"/>
        <v>2.0155876715946195</v>
      </c>
      <c r="F34" s="15">
        <f t="shared" si="15"/>
        <v>0.12095388350938106</v>
      </c>
      <c r="G34" s="15" t="str">
        <f t="shared" si="15"/>
        <v/>
      </c>
      <c r="I34" s="15"/>
    </row>
    <row r="35" spans="2:10" ht="12.75" customHeight="1" x14ac:dyDescent="0.3">
      <c r="B35" s="16" t="s">
        <v>24</v>
      </c>
      <c r="C35" s="17">
        <v>0</v>
      </c>
      <c r="D35" s="17">
        <v>0</v>
      </c>
      <c r="E35" s="17">
        <v>0</v>
      </c>
      <c r="F35" s="17">
        <v>0</v>
      </c>
      <c r="G35" s="17">
        <v>0</v>
      </c>
      <c r="H35" s="10"/>
      <c r="I35" s="10"/>
      <c r="J35" s="10"/>
    </row>
    <row r="36" spans="2:10" ht="12.75" customHeight="1" x14ac:dyDescent="0.25">
      <c r="B36" s="14" t="s">
        <v>12</v>
      </c>
      <c r="C36" s="15" t="str">
        <f t="shared" ref="C36:G36" si="16">IFERROR((C35-B35)/ABS(B35),"")</f>
        <v/>
      </c>
      <c r="D36" s="15" t="str">
        <f t="shared" si="16"/>
        <v/>
      </c>
      <c r="E36" s="15" t="str">
        <f t="shared" si="16"/>
        <v/>
      </c>
      <c r="F36" s="15" t="str">
        <f t="shared" si="16"/>
        <v/>
      </c>
      <c r="G36" s="15" t="str">
        <f t="shared" si="16"/>
        <v/>
      </c>
      <c r="I36" s="15"/>
    </row>
    <row r="37" spans="2:10" ht="12.75" customHeight="1" x14ac:dyDescent="0.2"/>
    <row r="38" spans="2:10" ht="12.75" customHeight="1" x14ac:dyDescent="0.3">
      <c r="B38" s="27" t="s">
        <v>25</v>
      </c>
      <c r="C38" s="28">
        <f t="shared" ref="C38:G38" si="17">C33-C35</f>
        <v>-292750</v>
      </c>
      <c r="D38" s="28">
        <f t="shared" si="17"/>
        <v>2827027.74</v>
      </c>
      <c r="E38" s="28">
        <f t="shared" si="17"/>
        <v>8525150</v>
      </c>
      <c r="F38" s="28">
        <f t="shared" si="17"/>
        <v>9556300</v>
      </c>
      <c r="G38" s="28" t="e">
        <f t="shared" si="17"/>
        <v>#REF!</v>
      </c>
      <c r="H38" s="28"/>
      <c r="I38" s="28"/>
      <c r="J38" s="28"/>
    </row>
    <row r="39" spans="2:10" ht="12.75" customHeight="1" x14ac:dyDescent="0.25">
      <c r="B39" s="14" t="s">
        <v>12</v>
      </c>
      <c r="C39" s="15" t="str">
        <f t="shared" ref="C39:G39" si="18">IFERROR((C38-B38)/ABS(B38),"")</f>
        <v/>
      </c>
      <c r="D39" s="15">
        <f t="shared" si="18"/>
        <v>10.656798428693426</v>
      </c>
      <c r="E39" s="15">
        <f t="shared" si="18"/>
        <v>2.0155876715946195</v>
      </c>
      <c r="F39" s="15">
        <f t="shared" si="18"/>
        <v>0.12095388350938106</v>
      </c>
      <c r="G39" s="15" t="str">
        <f t="shared" si="18"/>
        <v/>
      </c>
      <c r="I39" s="15"/>
    </row>
    <row r="40" spans="2:10" ht="12.75" customHeight="1" x14ac:dyDescent="0.3">
      <c r="B40" s="16"/>
      <c r="C40" s="9"/>
      <c r="D40" s="9"/>
      <c r="E40" s="9"/>
      <c r="F40" s="10"/>
      <c r="G40" s="10"/>
      <c r="H40" s="10"/>
      <c r="I40" s="10"/>
      <c r="J40" s="10"/>
    </row>
    <row r="41" spans="2:10" ht="12.75" customHeight="1" x14ac:dyDescent="0.2">
      <c r="B41" s="6" t="s">
        <v>26</v>
      </c>
      <c r="C41" s="7"/>
      <c r="D41" s="7"/>
      <c r="E41" s="7"/>
      <c r="F41" s="7"/>
      <c r="G41" s="7"/>
      <c r="H41" s="7"/>
      <c r="I41" s="7"/>
      <c r="J41" s="7"/>
    </row>
    <row r="42" spans="2:10" ht="12.75" customHeight="1" x14ac:dyDescent="0.3">
      <c r="B42" s="11"/>
      <c r="C42" s="10"/>
      <c r="D42" s="10"/>
      <c r="E42" s="10"/>
      <c r="F42" s="10"/>
      <c r="G42" s="10"/>
      <c r="H42" s="10"/>
      <c r="I42" s="10"/>
      <c r="J42" s="10"/>
    </row>
    <row r="43" spans="2:10" ht="12.75" customHeight="1" x14ac:dyDescent="0.3">
      <c r="B43" s="11" t="s">
        <v>27</v>
      </c>
      <c r="C43" s="29"/>
      <c r="D43" s="29"/>
      <c r="E43" s="29"/>
      <c r="F43" s="30"/>
      <c r="G43" s="30"/>
      <c r="H43" s="30"/>
      <c r="I43" s="30"/>
      <c r="J43" s="30"/>
    </row>
    <row r="44" spans="2:10" ht="12.75" customHeight="1" x14ac:dyDescent="0.3">
      <c r="B44" s="16" t="s">
        <v>25</v>
      </c>
      <c r="C44" s="17">
        <f t="shared" ref="C44:G44" si="19">C38</f>
        <v>-292750</v>
      </c>
      <c r="D44" s="17">
        <f t="shared" si="19"/>
        <v>2827027.74</v>
      </c>
      <c r="E44" s="17">
        <f t="shared" si="19"/>
        <v>8525150</v>
      </c>
      <c r="F44" s="17">
        <f t="shared" si="19"/>
        <v>9556300</v>
      </c>
      <c r="G44" s="17" t="e">
        <f t="shared" si="19"/>
        <v>#REF!</v>
      </c>
      <c r="H44" s="10"/>
      <c r="I44" s="10"/>
      <c r="J44" s="10"/>
    </row>
    <row r="45" spans="2:10" ht="12.75" customHeight="1" x14ac:dyDescent="0.3">
      <c r="B45" s="31" t="s">
        <v>28</v>
      </c>
      <c r="C45" s="32">
        <f t="shared" ref="C45:G45" si="20">C44</f>
        <v>-292750</v>
      </c>
      <c r="D45" s="32">
        <f t="shared" si="20"/>
        <v>2827027.74</v>
      </c>
      <c r="E45" s="32">
        <f t="shared" si="20"/>
        <v>8525150</v>
      </c>
      <c r="F45" s="32">
        <f t="shared" si="20"/>
        <v>9556300</v>
      </c>
      <c r="G45" s="32" t="e">
        <f t="shared" si="20"/>
        <v>#REF!</v>
      </c>
      <c r="H45" s="32"/>
      <c r="I45" s="32"/>
      <c r="J45" s="32"/>
    </row>
    <row r="46" spans="2:10" ht="12.75" customHeight="1" x14ac:dyDescent="0.25">
      <c r="B46" s="14" t="s">
        <v>12</v>
      </c>
      <c r="C46" s="15" t="str">
        <f t="shared" ref="C46:G46" si="21">IFERROR((C45-B45)/ABS(B45),"")</f>
        <v/>
      </c>
      <c r="D46" s="15">
        <f t="shared" si="21"/>
        <v>10.656798428693426</v>
      </c>
      <c r="E46" s="15">
        <f t="shared" si="21"/>
        <v>2.0155876715946195</v>
      </c>
      <c r="F46" s="15">
        <f t="shared" si="21"/>
        <v>0.12095388350938106</v>
      </c>
      <c r="G46" s="15" t="str">
        <f t="shared" si="21"/>
        <v/>
      </c>
      <c r="I46" s="15"/>
    </row>
    <row r="47" spans="2:10" ht="12.75" customHeight="1" x14ac:dyDescent="0.3">
      <c r="B47" s="16" t="s">
        <v>29</v>
      </c>
      <c r="C47" s="17"/>
      <c r="D47" s="17"/>
      <c r="E47" s="17"/>
      <c r="F47" s="10"/>
      <c r="G47" s="10"/>
      <c r="H47" s="10"/>
      <c r="I47" s="10"/>
      <c r="J47" s="10"/>
    </row>
    <row r="48" spans="2:10" ht="12.75" customHeight="1" x14ac:dyDescent="0.3">
      <c r="B48" s="11" t="s">
        <v>30</v>
      </c>
      <c r="C48" s="17"/>
      <c r="D48" s="17"/>
      <c r="E48" s="17"/>
      <c r="F48" s="10"/>
      <c r="G48" s="10"/>
      <c r="H48" s="10"/>
      <c r="I48" s="10"/>
      <c r="J48" s="10"/>
    </row>
    <row r="49" spans="1:29" ht="12.75" customHeight="1" x14ac:dyDescent="0.3">
      <c r="B49" s="16" t="s">
        <v>31</v>
      </c>
      <c r="C49" s="17">
        <f>-('Détail Dépenses'!$W$13+'Détail Dépenses'!$X$13)</f>
        <v>-114000</v>
      </c>
      <c r="D49" s="17">
        <f>-('Détail Dépenses'!$W$47+'Détail Dépenses'!$X$47)</f>
        <v>-3087027.3962300001</v>
      </c>
      <c r="E49" s="17">
        <f>-('Détail Dépenses'!$W$81+'Détail Dépenses'!$X$81)</f>
        <v>-1972000</v>
      </c>
      <c r="F49" s="17">
        <f>-('Détail Dépenses'!$W$116+'Détail Dépenses'!$X$116)</f>
        <v>-1159300</v>
      </c>
      <c r="G49" s="17" t="e">
        <f>-('Détail Dépenses'!#REF!+'Détail Dépenses'!#REF!)</f>
        <v>#REF!</v>
      </c>
      <c r="H49" s="10"/>
      <c r="I49" s="10"/>
      <c r="J49" s="10"/>
    </row>
    <row r="50" spans="1:29" ht="12.75" customHeight="1" x14ac:dyDescent="0.3">
      <c r="B50" s="31" t="s">
        <v>32</v>
      </c>
      <c r="C50" s="32">
        <f t="shared" ref="C50:G50" si="22">(C49)</f>
        <v>-114000</v>
      </c>
      <c r="D50" s="32">
        <f t="shared" si="22"/>
        <v>-3087027.3962300001</v>
      </c>
      <c r="E50" s="32">
        <f t="shared" si="22"/>
        <v>-1972000</v>
      </c>
      <c r="F50" s="32">
        <f t="shared" si="22"/>
        <v>-1159300</v>
      </c>
      <c r="G50" s="32" t="e">
        <f t="shared" si="22"/>
        <v>#REF!</v>
      </c>
      <c r="H50" s="32"/>
      <c r="I50" s="32"/>
      <c r="J50" s="32"/>
    </row>
    <row r="51" spans="1:29" ht="12.75" customHeight="1" x14ac:dyDescent="0.25">
      <c r="B51" s="14" t="s">
        <v>12</v>
      </c>
      <c r="C51" s="15" t="str">
        <f t="shared" ref="C51:G51" si="23">IFERROR((C50-B50)/ABS(B50),"")</f>
        <v/>
      </c>
      <c r="D51" s="15">
        <f t="shared" si="23"/>
        <v>-26.079187686228071</v>
      </c>
      <c r="E51" s="15">
        <f t="shared" si="23"/>
        <v>0.36119776507060342</v>
      </c>
      <c r="F51" s="15">
        <f t="shared" si="23"/>
        <v>0.41211967545638944</v>
      </c>
      <c r="G51" s="15" t="str">
        <f t="shared" si="23"/>
        <v/>
      </c>
      <c r="I51" s="15"/>
    </row>
    <row r="52" spans="1:29" ht="12.75" customHeight="1" x14ac:dyDescent="0.3">
      <c r="A52" s="33"/>
      <c r="B52" s="16"/>
      <c r="C52" s="10"/>
      <c r="D52" s="10"/>
      <c r="E52" s="10"/>
      <c r="F52" s="10"/>
      <c r="G52" s="10"/>
      <c r="H52" s="10"/>
      <c r="I52" s="10"/>
      <c r="J52" s="10"/>
      <c r="P52" s="33"/>
      <c r="Q52" s="33"/>
      <c r="R52" s="33"/>
      <c r="S52" s="33"/>
      <c r="T52" s="33"/>
      <c r="U52" s="33"/>
      <c r="V52" s="33"/>
      <c r="W52" s="33"/>
      <c r="X52" s="33"/>
      <c r="Y52" s="33"/>
      <c r="Z52" s="33"/>
      <c r="AA52" s="33"/>
      <c r="AB52" s="33"/>
      <c r="AC52" s="33"/>
    </row>
    <row r="53" spans="1:29" ht="12.75" customHeight="1" x14ac:dyDescent="0.3">
      <c r="B53" s="34" t="s">
        <v>33</v>
      </c>
      <c r="C53" s="35">
        <f t="shared" ref="C53:G53" si="24">C45+C50</f>
        <v>-406750</v>
      </c>
      <c r="D53" s="35">
        <f t="shared" si="24"/>
        <v>-259999.65622999985</v>
      </c>
      <c r="E53" s="35">
        <f t="shared" si="24"/>
        <v>6553150</v>
      </c>
      <c r="F53" s="35">
        <f t="shared" si="24"/>
        <v>8397000</v>
      </c>
      <c r="G53" s="35" t="e">
        <f t="shared" si="24"/>
        <v>#REF!</v>
      </c>
      <c r="H53" s="35"/>
      <c r="I53" s="35"/>
      <c r="J53" s="35"/>
    </row>
    <row r="54" spans="1:29" ht="12.75" customHeight="1" x14ac:dyDescent="0.3">
      <c r="B54" s="16" t="s">
        <v>29</v>
      </c>
      <c r="C54" s="17"/>
      <c r="D54" s="17"/>
      <c r="E54" s="17"/>
      <c r="F54" s="10"/>
      <c r="G54" s="10"/>
      <c r="H54" s="10"/>
      <c r="I54" s="10"/>
      <c r="J54" s="10"/>
    </row>
    <row r="55" spans="1:29" ht="12.75" customHeight="1" x14ac:dyDescent="0.3">
      <c r="B55" s="11" t="s">
        <v>34</v>
      </c>
      <c r="C55" s="13"/>
      <c r="D55" s="13"/>
      <c r="E55" s="13"/>
      <c r="F55" s="13"/>
      <c r="G55" s="13"/>
      <c r="H55" s="13"/>
      <c r="I55" s="13"/>
      <c r="J55" s="13"/>
    </row>
    <row r="56" spans="1:29" ht="12.75" customHeight="1" x14ac:dyDescent="0.3">
      <c r="B56" s="16" t="s">
        <v>35</v>
      </c>
      <c r="C56" s="17">
        <f>'Détail Dépenses'!$C$13</f>
        <v>250000</v>
      </c>
      <c r="D56" s="17">
        <f>'Détail Dépenses'!$C$47</f>
        <v>50000</v>
      </c>
      <c r="E56" s="17">
        <f>'Détail Dépenses'!$C$81</f>
        <v>0</v>
      </c>
      <c r="F56" s="17">
        <f>'Détail Dépenses'!$C$116</f>
        <v>100000</v>
      </c>
      <c r="G56" s="17" t="e">
        <f>'Détail Dépenses'!#REF!</f>
        <v>#REF!</v>
      </c>
      <c r="H56" s="10"/>
      <c r="I56" s="10"/>
      <c r="J56" s="10"/>
    </row>
    <row r="57" spans="1:29" ht="12.75" customHeight="1" x14ac:dyDescent="0.25">
      <c r="B57" s="14" t="s">
        <v>12</v>
      </c>
      <c r="C57" s="15" t="str">
        <f t="shared" ref="C57:G57" si="25">IFERROR((C56-B56)/ABS(B56),"")</f>
        <v/>
      </c>
      <c r="D57" s="15">
        <f t="shared" si="25"/>
        <v>-0.8</v>
      </c>
      <c r="E57" s="15">
        <f t="shared" si="25"/>
        <v>-1</v>
      </c>
      <c r="F57" s="15" t="str">
        <f t="shared" si="25"/>
        <v/>
      </c>
      <c r="G57" s="15" t="str">
        <f t="shared" si="25"/>
        <v/>
      </c>
      <c r="I57" s="15"/>
    </row>
    <row r="58" spans="1:29" ht="12.75" customHeight="1" x14ac:dyDescent="0.3">
      <c r="B58" s="36" t="s">
        <v>36</v>
      </c>
      <c r="C58" s="37">
        <f t="shared" ref="C58:G58" si="26">C56</f>
        <v>250000</v>
      </c>
      <c r="D58" s="37">
        <f t="shared" si="26"/>
        <v>50000</v>
      </c>
      <c r="E58" s="37">
        <f t="shared" si="26"/>
        <v>0</v>
      </c>
      <c r="F58" s="37">
        <f t="shared" si="26"/>
        <v>100000</v>
      </c>
      <c r="G58" s="37" t="e">
        <f t="shared" si="26"/>
        <v>#REF!</v>
      </c>
      <c r="H58" s="37"/>
      <c r="I58" s="37"/>
      <c r="J58" s="37"/>
    </row>
    <row r="59" spans="1:29" ht="12.75" customHeight="1" x14ac:dyDescent="0.25">
      <c r="B59" s="14" t="s">
        <v>12</v>
      </c>
      <c r="C59" s="15" t="str">
        <f t="shared" ref="C59:G59" si="27">IFERROR((C58-B58)/ABS(B58),"")</f>
        <v/>
      </c>
      <c r="D59" s="15">
        <f t="shared" si="27"/>
        <v>-0.8</v>
      </c>
      <c r="E59" s="15">
        <f t="shared" si="27"/>
        <v>-1</v>
      </c>
      <c r="F59" s="15" t="str">
        <f t="shared" si="27"/>
        <v/>
      </c>
      <c r="G59" s="15" t="str">
        <f t="shared" si="27"/>
        <v/>
      </c>
      <c r="I59" s="15"/>
    </row>
    <row r="60" spans="1:29" ht="12.75" customHeight="1" x14ac:dyDescent="0.2"/>
    <row r="61" spans="1:29" ht="12.75" customHeight="1" x14ac:dyDescent="0.25">
      <c r="B61" s="38" t="s">
        <v>37</v>
      </c>
      <c r="C61" s="39"/>
      <c r="D61" s="40"/>
      <c r="E61" s="39"/>
      <c r="F61" s="39"/>
      <c r="G61" s="39"/>
      <c r="H61" s="39"/>
      <c r="I61" s="39"/>
      <c r="J61" s="39"/>
      <c r="K61" s="39"/>
    </row>
    <row r="62" spans="1:29" ht="12.75" customHeight="1" x14ac:dyDescent="0.2">
      <c r="I62" s="25"/>
      <c r="J62" s="25"/>
      <c r="K62" s="25"/>
    </row>
    <row r="63" spans="1:29" ht="12.75" customHeight="1" x14ac:dyDescent="0.25">
      <c r="B63" s="41" t="str">
        <f t="shared" ref="B63:G63" si="28">B8</f>
        <v>Chiffre d'affaires</v>
      </c>
      <c r="C63" s="41">
        <f t="shared" si="28"/>
        <v>3527300</v>
      </c>
      <c r="D63" s="41">
        <f t="shared" si="28"/>
        <v>12225050</v>
      </c>
      <c r="E63" s="41">
        <f t="shared" si="28"/>
        <v>20471000</v>
      </c>
      <c r="F63" s="41">
        <f t="shared" si="28"/>
        <v>28821750</v>
      </c>
      <c r="G63" s="41">
        <f t="shared" si="28"/>
        <v>7057250</v>
      </c>
      <c r="I63" s="25" t="s">
        <v>38</v>
      </c>
      <c r="J63" s="42" t="s">
        <v>39</v>
      </c>
      <c r="K63" s="42" t="s">
        <v>40</v>
      </c>
    </row>
    <row r="64" spans="1:29" ht="12.75" customHeight="1" x14ac:dyDescent="0.25">
      <c r="B64" s="41" t="str">
        <f>B12</f>
        <v>Marge brute</v>
      </c>
      <c r="C64" s="43">
        <f t="shared" ref="C64:G64" si="29">C12/C8</f>
        <v>0.15701811583931052</v>
      </c>
      <c r="D64" s="43">
        <f t="shared" si="29"/>
        <v>0.49455830446501242</v>
      </c>
      <c r="E64" s="43">
        <f t="shared" si="29"/>
        <v>0.59110204679790923</v>
      </c>
      <c r="F64" s="43">
        <f t="shared" si="29"/>
        <v>0.46323089333576206</v>
      </c>
      <c r="G64" s="43" t="e">
        <f t="shared" si="29"/>
        <v>#REF!</v>
      </c>
      <c r="I64" s="44" t="s">
        <v>41</v>
      </c>
      <c r="J64" s="45">
        <f>SUM('Analyse Catégorielle'!D6:G6)</f>
        <v>46043118.547670037</v>
      </c>
      <c r="K64" s="46">
        <f t="shared" ref="K64:K66" si="30">J64/$J$67</f>
        <v>0.70786452088889151</v>
      </c>
    </row>
    <row r="65" spans="2:11" ht="12.75" customHeight="1" x14ac:dyDescent="0.2">
      <c r="I65" s="44" t="s">
        <v>42</v>
      </c>
      <c r="J65" s="45">
        <f>SUM('Analyse Catégorielle'!D34:G34)</f>
        <v>11638302.598185929</v>
      </c>
      <c r="K65" s="46">
        <f t="shared" si="30"/>
        <v>0.1789266616268701</v>
      </c>
    </row>
    <row r="66" spans="2:11" ht="12.75" customHeight="1" x14ac:dyDescent="0.3">
      <c r="B66" s="16" t="s">
        <v>28</v>
      </c>
      <c r="C66" s="10">
        <v>-292750</v>
      </c>
      <c r="D66" s="10">
        <v>2827027.74</v>
      </c>
      <c r="E66" s="10">
        <v>8525150</v>
      </c>
      <c r="F66" s="10">
        <v>9556300</v>
      </c>
      <c r="G66" s="10">
        <v>4957950</v>
      </c>
      <c r="I66" s="47" t="s">
        <v>43</v>
      </c>
      <c r="J66" s="48">
        <f>SUM('Analyse Catégorielle'!D63:G63)</f>
        <v>7363678.8541440405</v>
      </c>
      <c r="K66" s="46">
        <f t="shared" si="30"/>
        <v>0.11320881748423849</v>
      </c>
    </row>
    <row r="67" spans="2:11" ht="12.75" customHeight="1" x14ac:dyDescent="0.3">
      <c r="B67" s="16" t="s">
        <v>32</v>
      </c>
      <c r="C67" s="10">
        <v>-114000</v>
      </c>
      <c r="D67" s="10">
        <v>-3087027.3962300001</v>
      </c>
      <c r="E67" s="10">
        <v>-1972000</v>
      </c>
      <c r="F67" s="10">
        <v>-1159300</v>
      </c>
      <c r="G67" s="10">
        <v>-6000</v>
      </c>
      <c r="I67" s="49" t="s">
        <v>44</v>
      </c>
      <c r="J67" s="50">
        <f t="shared" ref="J67:K67" si="31">SUM(J64:J66)</f>
        <v>65045100</v>
      </c>
      <c r="K67" s="51">
        <f t="shared" si="31"/>
        <v>1</v>
      </c>
    </row>
    <row r="68" spans="2:11" ht="12.75" customHeight="1" x14ac:dyDescent="0.2"/>
    <row r="69" spans="2:11" ht="12.75" customHeight="1" x14ac:dyDescent="0.2"/>
    <row r="70" spans="2:11" ht="12.75" customHeight="1" x14ac:dyDescent="0.2"/>
    <row r="71" spans="2:11" ht="12.75" customHeight="1" x14ac:dyDescent="0.2"/>
    <row r="72" spans="2:11" ht="12.75" customHeight="1" x14ac:dyDescent="0.2"/>
    <row r="73" spans="2:11" ht="12.75" customHeight="1" x14ac:dyDescent="0.2"/>
    <row r="74" spans="2:11" ht="12.75" customHeight="1" x14ac:dyDescent="0.2"/>
    <row r="75" spans="2:11" ht="12.75" customHeight="1" x14ac:dyDescent="0.2"/>
    <row r="76" spans="2:11" ht="12.75" customHeight="1" x14ac:dyDescent="0.2"/>
    <row r="77" spans="2:11" ht="12.75" customHeight="1" x14ac:dyDescent="0.2"/>
    <row r="78" spans="2:11" ht="12.75" customHeight="1" x14ac:dyDescent="0.2"/>
    <row r="79" spans="2:11" ht="12.75" customHeight="1" x14ac:dyDescent="0.2"/>
    <row r="80" spans="2:11"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2">
    <mergeCell ref="B2:B3"/>
    <mergeCell ref="C2:G2"/>
  </mergeCells>
  <pageMargins left="0.7" right="0.7" top="0.75" bottom="0.75" header="0" footer="0"/>
  <pageSetup paperSize="9" orientation="portrait"/>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1000"/>
  <sheetViews>
    <sheetView showGridLines="0" workbookViewId="0">
      <pane ySplit="2" topLeftCell="A3" activePane="bottomLeft" state="frozen"/>
      <selection pane="bottomLeft" activeCell="B4" sqref="B4"/>
    </sheetView>
  </sheetViews>
  <sheetFormatPr baseColWidth="10" defaultColWidth="12.5703125" defaultRowHeight="15" customHeight="1" x14ac:dyDescent="0.2"/>
  <cols>
    <col min="1" max="1" width="1.140625" customWidth="1"/>
    <col min="2" max="2" width="21.140625" customWidth="1"/>
    <col min="3" max="3" width="22.5703125" customWidth="1"/>
    <col min="4" max="4" width="24" customWidth="1"/>
    <col min="5" max="5" width="22.7109375" customWidth="1"/>
    <col min="6" max="6" width="14.85546875" customWidth="1"/>
    <col min="7" max="7" width="24.7109375" customWidth="1"/>
    <col min="8" max="8" width="18.85546875" customWidth="1"/>
    <col min="9" max="9" width="8.140625" customWidth="1"/>
    <col min="10" max="10" width="12.42578125" customWidth="1"/>
    <col min="11" max="26" width="10.5703125" customWidth="1"/>
  </cols>
  <sheetData>
    <row r="1" spans="2:9" ht="12.75" customHeight="1" x14ac:dyDescent="0.2"/>
    <row r="2" spans="2:9" ht="12.75" customHeight="1" x14ac:dyDescent="0.25">
      <c r="B2" s="52" t="s">
        <v>0</v>
      </c>
      <c r="C2" s="52"/>
      <c r="D2" s="53" t="s">
        <v>2</v>
      </c>
      <c r="E2" s="53" t="s">
        <v>3</v>
      </c>
      <c r="F2" s="53" t="s">
        <v>4</v>
      </c>
      <c r="G2" s="54" t="s">
        <v>5</v>
      </c>
      <c r="H2" s="54" t="s">
        <v>6</v>
      </c>
    </row>
    <row r="3" spans="2:9" ht="12.75" customHeight="1" x14ac:dyDescent="0.2"/>
    <row r="4" spans="2:9" ht="12.75" customHeight="1" x14ac:dyDescent="0.2">
      <c r="B4" s="6" t="s">
        <v>10</v>
      </c>
      <c r="C4" s="6"/>
      <c r="D4" s="6"/>
      <c r="E4" s="6"/>
      <c r="F4" s="7"/>
      <c r="G4" s="7"/>
      <c r="H4" s="7"/>
      <c r="I4" s="55"/>
    </row>
    <row r="5" spans="2:9" ht="12.75" customHeight="1" x14ac:dyDescent="0.2"/>
    <row r="6" spans="2:9" ht="12.75" customHeight="1" x14ac:dyDescent="0.3">
      <c r="B6" s="56"/>
      <c r="C6" s="57" t="s">
        <v>11</v>
      </c>
      <c r="D6" s="58">
        <f t="shared" ref="D6:H6" si="0">D102</f>
        <v>2463998.9719992168</v>
      </c>
      <c r="E6" s="58">
        <f t="shared" si="0"/>
        <v>7908934.2290714793</v>
      </c>
      <c r="F6" s="58">
        <f t="shared" si="0"/>
        <v>14907456.296698056</v>
      </c>
      <c r="G6" s="58">
        <f t="shared" si="0"/>
        <v>20762729.049901281</v>
      </c>
      <c r="H6" s="59">
        <f t="shared" si="0"/>
        <v>5083930.3507738365</v>
      </c>
    </row>
    <row r="7" spans="2:9" ht="12.75" customHeight="1" x14ac:dyDescent="0.25">
      <c r="B7" s="60"/>
      <c r="C7" s="61" t="s">
        <v>12</v>
      </c>
      <c r="D7" s="15" t="str">
        <f t="shared" ref="D7:H7" si="1">IFERROR((D6-C6)/ABS(C6),"")</f>
        <v/>
      </c>
      <c r="E7" s="15">
        <f t="shared" si="1"/>
        <v>2.2097960749774179</v>
      </c>
      <c r="F7" s="15">
        <f t="shared" si="1"/>
        <v>0.88488813598949523</v>
      </c>
      <c r="G7" s="15">
        <f t="shared" si="1"/>
        <v>0.39277477234665076</v>
      </c>
      <c r="H7" s="62">
        <f t="shared" si="1"/>
        <v>-0.7551415163895322</v>
      </c>
    </row>
    <row r="8" spans="2:9" ht="12.75" customHeight="1" x14ac:dyDescent="0.3">
      <c r="B8" s="60"/>
      <c r="C8" s="63" t="s">
        <v>13</v>
      </c>
      <c r="D8" s="17">
        <f>'Détail Dépenses'!$G$13+'Détail Dépenses'!$H$13+'Détail Dépenses'!$I$13+'Détail Dépenses'!$J$13</f>
        <v>2281460</v>
      </c>
      <c r="E8" s="17">
        <f>'Détail Dépenses'!$G$47+'Détail Dépenses'!$H$47+'Détail Dépenses'!$I$47+'Détail Dépenses'!$J$47</f>
        <v>3489000</v>
      </c>
      <c r="F8" s="17">
        <f>'Détail Dépenses'!$G$81+'Détail Dépenses'!$H$81+'Détail Dépenses'!$I$81+'Détail Dépenses'!$J$81</f>
        <v>5414050</v>
      </c>
      <c r="G8" s="17">
        <f>'Détail Dépenses'!$G$116+'Détail Dépenses'!$H$116+'Détail Dépenses'!$I$116+'Détail Dépenses'!$J$116</f>
        <v>11641050</v>
      </c>
      <c r="H8" s="64" t="e">
        <f>'Détail Dépenses'!#REF!+'Détail Dépenses'!#REF!+'Détail Dépenses'!#REF!+'Détail Dépenses'!#REF!</f>
        <v>#REF!</v>
      </c>
    </row>
    <row r="9" spans="2:9" ht="12.75" customHeight="1" x14ac:dyDescent="0.25">
      <c r="B9" s="65"/>
      <c r="C9" s="61" t="s">
        <v>12</v>
      </c>
      <c r="D9" s="15" t="str">
        <f t="shared" ref="D9:H9" si="2">IFERROR((D8-C8)/ABS(C8),"")</f>
        <v/>
      </c>
      <c r="E9" s="15">
        <f t="shared" si="2"/>
        <v>0.52928387962094448</v>
      </c>
      <c r="F9" s="15">
        <f t="shared" si="2"/>
        <v>0.55174835196331329</v>
      </c>
      <c r="G9" s="15">
        <f t="shared" si="2"/>
        <v>1.1501556136348945</v>
      </c>
      <c r="H9" s="62" t="str">
        <f t="shared" si="2"/>
        <v/>
      </c>
    </row>
    <row r="10" spans="2:9" ht="17.25" customHeight="1" x14ac:dyDescent="0.3">
      <c r="B10" s="65"/>
      <c r="C10" s="57" t="s">
        <v>14</v>
      </c>
      <c r="D10" s="66">
        <f t="shared" ref="D10:H10" si="3">D6-D8</f>
        <v>182538.97199921682</v>
      </c>
      <c r="E10" s="66">
        <f t="shared" si="3"/>
        <v>4419934.2290714793</v>
      </c>
      <c r="F10" s="66">
        <f t="shared" si="3"/>
        <v>9493406.2966980562</v>
      </c>
      <c r="G10" s="66">
        <f t="shared" si="3"/>
        <v>9121679.0499012806</v>
      </c>
      <c r="H10" s="67" t="e">
        <f t="shared" si="3"/>
        <v>#REF!</v>
      </c>
    </row>
    <row r="11" spans="2:9" ht="17.25" customHeight="1" x14ac:dyDescent="0.25">
      <c r="B11" s="65"/>
      <c r="C11" s="61" t="s">
        <v>12</v>
      </c>
      <c r="D11" s="15" t="str">
        <f t="shared" ref="D11:H11" si="4">IFERROR((D10-C10)/ABS(C10),"")</f>
        <v/>
      </c>
      <c r="E11" s="15">
        <f t="shared" si="4"/>
        <v>23.213646985425353</v>
      </c>
      <c r="F11" s="15">
        <f t="shared" si="4"/>
        <v>1.1478614397147693</v>
      </c>
      <c r="G11" s="15">
        <f t="shared" si="4"/>
        <v>-3.915636128689317E-2</v>
      </c>
      <c r="H11" s="62" t="str">
        <f t="shared" si="4"/>
        <v/>
      </c>
    </row>
    <row r="12" spans="2:9" ht="17.25" customHeight="1" x14ac:dyDescent="0.3">
      <c r="B12" s="65"/>
      <c r="C12" s="68"/>
      <c r="D12" s="69"/>
      <c r="E12" s="69"/>
      <c r="F12" s="69"/>
      <c r="G12" s="69"/>
      <c r="H12" s="70"/>
    </row>
    <row r="13" spans="2:9" ht="17.25" customHeight="1" x14ac:dyDescent="0.3">
      <c r="B13" s="65"/>
      <c r="C13" s="63" t="s">
        <v>15</v>
      </c>
      <c r="D13" s="17">
        <f>'Analyse Globale'!C15*'Analyse Catégorielle'!$E$108</f>
        <v>14413.737666706264</v>
      </c>
      <c r="E13" s="17">
        <f>'Analyse Globale'!D15*'Analyse Catégorielle'!$E$108</f>
        <v>241430.1059173299</v>
      </c>
      <c r="F13" s="17">
        <f>'Analyse Globale'!E15*'Analyse Catégorielle'!$E$108</f>
        <v>345929.70400095033</v>
      </c>
      <c r="G13" s="17">
        <f>'Analyse Globale'!F15*'Analyse Catégorielle'!$E$108</f>
        <v>454032.73650124727</v>
      </c>
      <c r="H13" s="64" t="e">
        <f>'Analyse Globale'!G15*'Analyse Catégorielle'!$E$108</f>
        <v>#REF!</v>
      </c>
    </row>
    <row r="14" spans="2:9" ht="17.25" customHeight="1" x14ac:dyDescent="0.25">
      <c r="B14" s="65"/>
      <c r="C14" s="61" t="s">
        <v>12</v>
      </c>
      <c r="D14" s="15" t="str">
        <f t="shared" ref="D14:H14" si="5">IFERROR((D13-C13)/ABS(C13),"")</f>
        <v/>
      </c>
      <c r="E14" s="15">
        <f t="shared" si="5"/>
        <v>15.749999999999998</v>
      </c>
      <c r="F14" s="15">
        <f t="shared" si="5"/>
        <v>0.43283582089552247</v>
      </c>
      <c r="G14" s="15">
        <f t="shared" si="5"/>
        <v>0.31249999999999989</v>
      </c>
      <c r="H14" s="62" t="str">
        <f t="shared" si="5"/>
        <v/>
      </c>
    </row>
    <row r="15" spans="2:9" ht="17.25" customHeight="1" x14ac:dyDescent="0.3">
      <c r="B15" s="71" t="s">
        <v>41</v>
      </c>
      <c r="C15" s="63" t="s">
        <v>16</v>
      </c>
      <c r="D15" s="17">
        <f>'Analyse Globale'!C17*'Analyse Catégorielle'!$E$108</f>
        <v>0</v>
      </c>
      <c r="E15" s="17">
        <f>'Analyse Globale'!D17*'Analyse Catégorielle'!$E$108</f>
        <v>338722.83516759716</v>
      </c>
      <c r="F15" s="17">
        <f>'Analyse Globale'!E17*'Analyse Catégorielle'!$E$108</f>
        <v>396377.78583442222</v>
      </c>
      <c r="G15" s="17">
        <f>'Analyse Globale'!F17*'Analyse Catégorielle'!$E$108</f>
        <v>360343.44166765659</v>
      </c>
      <c r="H15" s="64" t="e">
        <f>'Analyse Globale'!G17*'Analyse Catégorielle'!$E$108</f>
        <v>#REF!</v>
      </c>
    </row>
    <row r="16" spans="2:9" ht="17.25" customHeight="1" x14ac:dyDescent="0.25">
      <c r="B16" s="71"/>
      <c r="C16" s="61" t="s">
        <v>12</v>
      </c>
      <c r="D16" s="15" t="str">
        <f t="shared" ref="D16:H16" si="6">IFERROR((D15-C15)/ABS(C15),"")</f>
        <v/>
      </c>
      <c r="E16" s="15" t="str">
        <f t="shared" si="6"/>
        <v/>
      </c>
      <c r="F16" s="15">
        <f t="shared" si="6"/>
        <v>0.17021276595744683</v>
      </c>
      <c r="G16" s="15">
        <f t="shared" si="6"/>
        <v>-9.0909090909090842E-2</v>
      </c>
      <c r="H16" s="62" t="str">
        <f t="shared" si="6"/>
        <v/>
      </c>
    </row>
    <row r="17" spans="2:8" ht="17.25" customHeight="1" x14ac:dyDescent="0.3">
      <c r="B17" s="65"/>
      <c r="C17" s="63" t="s">
        <v>17</v>
      </c>
      <c r="D17" s="17">
        <f>'Analyse Globale'!C19*'Analyse Catégorielle'!$E$108</f>
        <v>104571.66677195394</v>
      </c>
      <c r="E17" s="17">
        <f>'Analyse Globale'!D19*'Analyse Catégorielle'!$E$108</f>
        <v>164100.4033354508</v>
      </c>
      <c r="F17" s="17">
        <f>'Analyse Globale'!E19*'Analyse Catégorielle'!$E$108</f>
        <v>34809.176465095625</v>
      </c>
      <c r="G17" s="17">
        <f>'Analyse Globale'!F19*'Analyse Catégorielle'!$E$108</f>
        <v>127993.99048035163</v>
      </c>
      <c r="H17" s="64" t="e">
        <f>'Analyse Globale'!G19*'Analyse Catégorielle'!$E$108</f>
        <v>#REF!</v>
      </c>
    </row>
    <row r="18" spans="2:8" ht="17.25" customHeight="1" x14ac:dyDescent="0.25">
      <c r="B18" s="65"/>
      <c r="C18" s="61" t="s">
        <v>12</v>
      </c>
      <c r="D18" s="15" t="str">
        <f t="shared" ref="D18:H18" si="7">IFERROR((D17-C17)/ABS(C17),"")</f>
        <v/>
      </c>
      <c r="E18" s="15">
        <f t="shared" si="7"/>
        <v>0.56926257753273601</v>
      </c>
      <c r="F18" s="15">
        <f t="shared" si="7"/>
        <v>-0.78787878787878785</v>
      </c>
      <c r="G18" s="15">
        <f t="shared" si="7"/>
        <v>2.6770186335403734</v>
      </c>
      <c r="H18" s="62" t="str">
        <f t="shared" si="7"/>
        <v/>
      </c>
    </row>
    <row r="19" spans="2:8" ht="17.25" customHeight="1" x14ac:dyDescent="0.3">
      <c r="B19" s="65"/>
      <c r="C19" s="63" t="s">
        <v>18</v>
      </c>
      <c r="D19" s="17">
        <f>'Analyse Globale'!C21*'Analyse Catégorielle'!$E$108</f>
        <v>396017.4423927546</v>
      </c>
      <c r="E19" s="17">
        <f>'Analyse Globale'!D21*'Analyse Catégorielle'!$E$108</f>
        <v>1008240.9497861031</v>
      </c>
      <c r="F19" s="17">
        <f>'Analyse Globale'!E21*'Analyse Catégorielle'!$E$108</f>
        <v>1251112.4294701037</v>
      </c>
      <c r="G19" s="17">
        <f>'Analyse Globale'!F21*'Analyse Catégorielle'!$E$108</f>
        <v>1304082.9153952491</v>
      </c>
      <c r="H19" s="64">
        <f>'Analyse Globale'!G21*'Analyse Catégorielle'!$E$108</f>
        <v>0</v>
      </c>
    </row>
    <row r="20" spans="2:8" ht="17.25" customHeight="1" x14ac:dyDescent="0.25">
      <c r="B20" s="65"/>
      <c r="C20" s="61" t="s">
        <v>12</v>
      </c>
      <c r="D20" s="15" t="str">
        <f t="shared" ref="D20:H20" si="8">IFERROR((D19-C19)/ABS(C19),"")</f>
        <v/>
      </c>
      <c r="E20" s="15">
        <f t="shared" si="8"/>
        <v>1.5459508644222018</v>
      </c>
      <c r="F20" s="15">
        <f t="shared" si="8"/>
        <v>0.24088634739099363</v>
      </c>
      <c r="G20" s="15">
        <f t="shared" si="8"/>
        <v>4.2338709677419296E-2</v>
      </c>
      <c r="H20" s="62">
        <f t="shared" si="8"/>
        <v>-1</v>
      </c>
    </row>
    <row r="21" spans="2:8" ht="17.25" customHeight="1" x14ac:dyDescent="0.3">
      <c r="B21" s="65"/>
      <c r="C21" s="63" t="s">
        <v>19</v>
      </c>
      <c r="D21" s="17">
        <f>'Analyse Globale'!C23*'Analyse Catégorielle'!$E$108</f>
        <v>95130.668600261342</v>
      </c>
      <c r="E21" s="17">
        <f>'Analyse Globale'!D23*'Analyse Catégorielle'!$E$108</f>
        <v>567376.79139574838</v>
      </c>
      <c r="F21" s="17">
        <f>'Analyse Globale'!E23*'Analyse Catégorielle'!$E$108</f>
        <v>548442.71821817337</v>
      </c>
      <c r="G21" s="17">
        <f>'Analyse Globale'!F23*'Analyse Catégorielle'!$E$108</f>
        <v>488427.51800842513</v>
      </c>
      <c r="H21" s="64" t="e">
        <f>'Analyse Globale'!G23*'Analyse Catégorielle'!$E$108</f>
        <v>#REF!</v>
      </c>
    </row>
    <row r="22" spans="2:8" ht="12.75" customHeight="1" x14ac:dyDescent="0.25">
      <c r="B22" s="65"/>
      <c r="C22" s="61" t="s">
        <v>12</v>
      </c>
      <c r="D22" s="15" t="str">
        <f t="shared" ref="D22:H22" si="9">IFERROR((D21-C21)/ABS(C21),"")</f>
        <v/>
      </c>
      <c r="E22" s="15">
        <f t="shared" si="9"/>
        <v>4.9641837878787882</v>
      </c>
      <c r="F22" s="15">
        <f t="shared" si="9"/>
        <v>-3.3371250753837053E-2</v>
      </c>
      <c r="G22" s="15">
        <f t="shared" si="9"/>
        <v>-0.1094283837056505</v>
      </c>
      <c r="H22" s="62" t="str">
        <f t="shared" si="9"/>
        <v/>
      </c>
    </row>
    <row r="23" spans="2:8" ht="12.75" customHeight="1" x14ac:dyDescent="0.3">
      <c r="B23" s="65"/>
      <c r="C23" s="57" t="s">
        <v>20</v>
      </c>
      <c r="D23" s="66">
        <f t="shared" ref="D23:G23" si="10">D10-SUM(D13:D21)</f>
        <v>-427594.54343245935</v>
      </c>
      <c r="E23" s="66">
        <f t="shared" si="10"/>
        <v>2100045.2782558077</v>
      </c>
      <c r="F23" s="66">
        <f t="shared" si="10"/>
        <v>6916734.4266531644</v>
      </c>
      <c r="G23" s="66">
        <f t="shared" si="10"/>
        <v>6386795.5069000982</v>
      </c>
      <c r="H23" s="72"/>
    </row>
    <row r="24" spans="2:8" ht="12.75" customHeight="1" x14ac:dyDescent="0.25">
      <c r="B24" s="65"/>
      <c r="C24" s="61" t="s">
        <v>12</v>
      </c>
      <c r="D24" s="15" t="str">
        <f t="shared" ref="D24:H24" si="11">IFERROR((D23-C23)/ABS(C23),"")</f>
        <v/>
      </c>
      <c r="E24" s="15">
        <f t="shared" si="11"/>
        <v>5.9113004609412654</v>
      </c>
      <c r="F24" s="15">
        <f t="shared" si="11"/>
        <v>2.2936120464973291</v>
      </c>
      <c r="G24" s="15">
        <f t="shared" si="11"/>
        <v>-7.6616924557777258E-2</v>
      </c>
      <c r="H24" s="62">
        <f t="shared" si="11"/>
        <v>-1</v>
      </c>
    </row>
    <row r="25" spans="2:8" ht="12.75" customHeight="1" x14ac:dyDescent="0.3">
      <c r="B25" s="65"/>
      <c r="C25" s="73"/>
      <c r="D25" s="25"/>
      <c r="E25" s="25"/>
      <c r="F25" s="25"/>
      <c r="G25" s="25"/>
      <c r="H25" s="74"/>
    </row>
    <row r="26" spans="2:8" ht="12.75" customHeight="1" x14ac:dyDescent="0.3">
      <c r="B26" s="75"/>
      <c r="C26" s="76" t="s">
        <v>21</v>
      </c>
      <c r="D26" s="77">
        <f t="shared" ref="D26:H26" si="12">D10-D23</f>
        <v>610133.51543167618</v>
      </c>
      <c r="E26" s="77">
        <f t="shared" si="12"/>
        <v>2319888.9508156716</v>
      </c>
      <c r="F26" s="77">
        <f t="shared" si="12"/>
        <v>2576671.8700448917</v>
      </c>
      <c r="G26" s="77">
        <f t="shared" si="12"/>
        <v>2734883.5430011824</v>
      </c>
      <c r="H26" s="78" t="e">
        <f t="shared" si="12"/>
        <v>#REF!</v>
      </c>
    </row>
    <row r="27" spans="2:8" ht="12.75" customHeight="1" x14ac:dyDescent="0.3">
      <c r="B27" s="75"/>
      <c r="C27" s="57"/>
      <c r="D27" s="66"/>
      <c r="E27" s="66"/>
      <c r="F27" s="66"/>
      <c r="G27" s="66"/>
      <c r="H27" s="67"/>
    </row>
    <row r="28" spans="2:8" ht="12.75" customHeight="1" x14ac:dyDescent="0.3">
      <c r="B28" s="75"/>
      <c r="C28" s="68" t="s">
        <v>45</v>
      </c>
      <c r="D28" s="69"/>
      <c r="E28" s="69"/>
      <c r="F28" s="69"/>
      <c r="G28" s="69"/>
      <c r="H28" s="79"/>
    </row>
    <row r="29" spans="2:8" ht="12.75" customHeight="1" x14ac:dyDescent="0.2">
      <c r="B29" s="75"/>
      <c r="C29" s="80" t="s">
        <v>14</v>
      </c>
      <c r="D29" s="81">
        <f t="shared" ref="D29:H29" si="13">D10/D6</f>
        <v>7.4082405907462706E-2</v>
      </c>
      <c r="E29" s="81">
        <f t="shared" si="13"/>
        <v>0.55885332979819025</v>
      </c>
      <c r="F29" s="81">
        <f t="shared" si="13"/>
        <v>0.63682268173416068</v>
      </c>
      <c r="G29" s="81">
        <f t="shared" si="13"/>
        <v>0.43932948448049275</v>
      </c>
      <c r="H29" s="82" t="e">
        <f t="shared" si="13"/>
        <v>#REF!</v>
      </c>
    </row>
    <row r="30" spans="2:8" ht="12.75" customHeight="1" x14ac:dyDescent="0.2">
      <c r="B30" s="75"/>
      <c r="C30" s="80" t="s">
        <v>46</v>
      </c>
      <c r="D30" s="81">
        <f t="shared" ref="D30:H30" si="14">D23/D6</f>
        <v>-0.17353681892388195</v>
      </c>
      <c r="E30" s="81">
        <f t="shared" si="14"/>
        <v>0.26552822636158857</v>
      </c>
      <c r="F30" s="81">
        <f t="shared" si="14"/>
        <v>0.46397817903951827</v>
      </c>
      <c r="G30" s="81">
        <f t="shared" si="14"/>
        <v>0.30760867184415069</v>
      </c>
      <c r="H30" s="82">
        <f t="shared" si="14"/>
        <v>0</v>
      </c>
    </row>
    <row r="31" spans="2:8" ht="12.75" customHeight="1" x14ac:dyDescent="0.2">
      <c r="B31" s="83"/>
      <c r="C31" s="84" t="s">
        <v>47</v>
      </c>
      <c r="D31" s="85">
        <f t="shared" ref="D31:H31" si="15">D26/D6</f>
        <v>0.24761922483134466</v>
      </c>
      <c r="E31" s="85">
        <f t="shared" si="15"/>
        <v>0.29332510343660173</v>
      </c>
      <c r="F31" s="85">
        <f t="shared" si="15"/>
        <v>0.17284450269464244</v>
      </c>
      <c r="G31" s="85">
        <f t="shared" si="15"/>
        <v>0.13172081263634203</v>
      </c>
      <c r="H31" s="86" t="e">
        <f t="shared" si="15"/>
        <v>#REF!</v>
      </c>
    </row>
    <row r="32" spans="2:8" ht="12.75" customHeight="1" x14ac:dyDescent="0.2">
      <c r="B32" s="33"/>
      <c r="C32" s="33"/>
    </row>
    <row r="33" spans="2:8" ht="12.75" customHeight="1" x14ac:dyDescent="0.2">
      <c r="B33" s="33"/>
      <c r="C33" s="33"/>
    </row>
    <row r="34" spans="2:8" ht="12.75" customHeight="1" x14ac:dyDescent="0.3">
      <c r="B34" s="87"/>
      <c r="C34" s="57" t="s">
        <v>11</v>
      </c>
      <c r="D34" s="58">
        <f t="shared" ref="D34:H34" si="16">D103</f>
        <v>858859.90796945372</v>
      </c>
      <c r="E34" s="58">
        <f t="shared" si="16"/>
        <v>2817640.6574769611</v>
      </c>
      <c r="F34" s="58">
        <f t="shared" si="16"/>
        <v>3493797.4788894397</v>
      </c>
      <c r="G34" s="58">
        <f t="shared" si="16"/>
        <v>4468004.5538500734</v>
      </c>
      <c r="H34" s="59">
        <f t="shared" si="16"/>
        <v>1094028.8198203936</v>
      </c>
    </row>
    <row r="35" spans="2:8" ht="12.75" customHeight="1" x14ac:dyDescent="0.25">
      <c r="B35" s="88"/>
      <c r="C35" s="61" t="s">
        <v>12</v>
      </c>
      <c r="D35" s="15" t="str">
        <f t="shared" ref="D35:H35" si="17">IFERROR((D34-C34)/ABS(C34),"")</f>
        <v/>
      </c>
      <c r="E35" s="15">
        <f t="shared" si="17"/>
        <v>2.2806754993821103</v>
      </c>
      <c r="F35" s="15">
        <f t="shared" si="17"/>
        <v>0.23997269475020247</v>
      </c>
      <c r="G35" s="15">
        <f t="shared" si="17"/>
        <v>0.27883902282461465</v>
      </c>
      <c r="H35" s="62">
        <f t="shared" si="17"/>
        <v>-0.7551415163895322</v>
      </c>
    </row>
    <row r="36" spans="2:8" ht="12.75" customHeight="1" x14ac:dyDescent="0.3">
      <c r="B36" s="88"/>
      <c r="C36" s="63" t="s">
        <v>13</v>
      </c>
      <c r="D36" s="17">
        <f>'Détail Dépenses'!$E$13</f>
        <v>525790</v>
      </c>
      <c r="E36" s="17">
        <f>'Détail Dépenses'!$E$47</f>
        <v>2325600</v>
      </c>
      <c r="F36" s="17">
        <f>'Détail Dépenses'!$E$81</f>
        <v>2518900</v>
      </c>
      <c r="G36" s="17">
        <f>'Détail Dépenses'!$E$116</f>
        <v>2945575</v>
      </c>
      <c r="H36" s="64">
        <f>'Détail Dépenses'!$E$1082</f>
        <v>0</v>
      </c>
    </row>
    <row r="37" spans="2:8" ht="12.75" customHeight="1" x14ac:dyDescent="0.25">
      <c r="B37" s="88"/>
      <c r="C37" s="61" t="s">
        <v>12</v>
      </c>
      <c r="D37" s="15" t="str">
        <f t="shared" ref="D37:H37" si="18">IFERROR((D36-C36)/ABS(C36),"")</f>
        <v/>
      </c>
      <c r="E37" s="15">
        <f t="shared" si="18"/>
        <v>3.4230586355769415</v>
      </c>
      <c r="F37" s="15">
        <f t="shared" si="18"/>
        <v>8.3118335053319573E-2</v>
      </c>
      <c r="G37" s="15">
        <f t="shared" si="18"/>
        <v>0.16938941601492716</v>
      </c>
      <c r="H37" s="62">
        <f t="shared" si="18"/>
        <v>-1</v>
      </c>
    </row>
    <row r="38" spans="2:8" ht="12.75" customHeight="1" x14ac:dyDescent="0.3">
      <c r="B38" s="88"/>
      <c r="C38" s="57" t="s">
        <v>14</v>
      </c>
      <c r="D38" s="66">
        <f t="shared" ref="D38:H38" si="19">D34-D36</f>
        <v>333069.90796945372</v>
      </c>
      <c r="E38" s="66">
        <f t="shared" si="19"/>
        <v>492040.65747696115</v>
      </c>
      <c r="F38" s="66">
        <f t="shared" si="19"/>
        <v>974897.47888943972</v>
      </c>
      <c r="G38" s="66">
        <f t="shared" si="19"/>
        <v>1522429.5538500734</v>
      </c>
      <c r="H38" s="67">
        <f t="shared" si="19"/>
        <v>1094028.8198203936</v>
      </c>
    </row>
    <row r="39" spans="2:8" ht="12.75" customHeight="1" x14ac:dyDescent="0.25">
      <c r="B39" s="88"/>
      <c r="C39" s="61" t="s">
        <v>12</v>
      </c>
      <c r="D39" s="15" t="str">
        <f t="shared" ref="D39:H39" si="20">IFERROR((D38-C38)/ABS(C38),"")</f>
        <v/>
      </c>
      <c r="E39" s="15">
        <f t="shared" si="20"/>
        <v>0.47728943895492004</v>
      </c>
      <c r="F39" s="15">
        <f t="shared" si="20"/>
        <v>0.98133520894071113</v>
      </c>
      <c r="G39" s="15">
        <f t="shared" si="20"/>
        <v>0.56163041429172433</v>
      </c>
      <c r="H39" s="62">
        <f t="shared" si="20"/>
        <v>-0.28139281252541165</v>
      </c>
    </row>
    <row r="40" spans="2:8" ht="12.75" customHeight="1" x14ac:dyDescent="0.3">
      <c r="B40" s="88"/>
      <c r="C40" s="89"/>
      <c r="D40" s="33"/>
      <c r="E40" s="33"/>
      <c r="F40" s="33"/>
      <c r="G40" s="33"/>
      <c r="H40" s="90"/>
    </row>
    <row r="41" spans="2:8" ht="12.75" customHeight="1" x14ac:dyDescent="0.3">
      <c r="B41" s="88"/>
      <c r="C41" s="63" t="s">
        <v>15</v>
      </c>
      <c r="D41" s="17">
        <f>'Analyse Globale'!C15*'Analyse Catégorielle'!$E$109</f>
        <v>2062.6089455499368</v>
      </c>
      <c r="E41" s="17">
        <f>'Analyse Globale'!D15*'Analyse Catégorielle'!$E$109</f>
        <v>34548.699837961438</v>
      </c>
      <c r="F41" s="17">
        <f>'Analyse Globale'!E15*'Analyse Catégorielle'!$E$109</f>
        <v>49502.614693198477</v>
      </c>
      <c r="G41" s="17">
        <f>'Analyse Globale'!F15*'Analyse Catégorielle'!$E$109</f>
        <v>64972.181784823006</v>
      </c>
      <c r="H41" s="64" t="e">
        <f>'Analyse Globale'!G15*'Analyse Catégorielle'!$E$109</f>
        <v>#REF!</v>
      </c>
    </row>
    <row r="42" spans="2:8" ht="12.75" customHeight="1" x14ac:dyDescent="0.25">
      <c r="B42" s="88"/>
      <c r="C42" s="61" t="s">
        <v>12</v>
      </c>
      <c r="D42" s="15" t="str">
        <f t="shared" ref="D42:H42" si="21">IFERROR((D41-C41)/ABS(C41),"")</f>
        <v/>
      </c>
      <c r="E42" s="15">
        <f t="shared" si="21"/>
        <v>15.749999999999996</v>
      </c>
      <c r="F42" s="15">
        <f t="shared" si="21"/>
        <v>0.43283582089552236</v>
      </c>
      <c r="G42" s="15">
        <f t="shared" si="21"/>
        <v>0.31250000000000011</v>
      </c>
      <c r="H42" s="62" t="str">
        <f t="shared" si="21"/>
        <v/>
      </c>
    </row>
    <row r="43" spans="2:8" ht="12.75" customHeight="1" x14ac:dyDescent="0.3">
      <c r="B43" s="91" t="s">
        <v>42</v>
      </c>
      <c r="C43" s="63" t="s">
        <v>16</v>
      </c>
      <c r="D43" s="17">
        <f>'Analyse Globale'!C17*'Analyse Catégorielle'!$E$109</f>
        <v>0</v>
      </c>
      <c r="E43" s="17">
        <f>'Analyse Globale'!D17*'Analyse Catégorielle'!$E$109</f>
        <v>48471.310220423511</v>
      </c>
      <c r="F43" s="17">
        <f>'Analyse Globale'!E17*'Analyse Catégorielle'!$E$109</f>
        <v>56721.746002623258</v>
      </c>
      <c r="G43" s="17">
        <f>'Analyse Globale'!F17*'Analyse Catégorielle'!$E$109</f>
        <v>51565.223638748415</v>
      </c>
      <c r="H43" s="64" t="e">
        <f>'Analyse Globale'!G17*'Analyse Catégorielle'!$E$109</f>
        <v>#REF!</v>
      </c>
    </row>
    <row r="44" spans="2:8" ht="12.75" customHeight="1" x14ac:dyDescent="0.25">
      <c r="B44" s="91"/>
      <c r="C44" s="61" t="s">
        <v>12</v>
      </c>
      <c r="D44" s="15" t="str">
        <f t="shared" ref="D44:H44" si="22">IFERROR((D43-C43)/ABS(C43),"")</f>
        <v/>
      </c>
      <c r="E44" s="15" t="str">
        <f t="shared" si="22"/>
        <v/>
      </c>
      <c r="F44" s="15">
        <f t="shared" si="22"/>
        <v>0.17021276595744683</v>
      </c>
      <c r="G44" s="15">
        <f t="shared" si="22"/>
        <v>-9.0909090909090925E-2</v>
      </c>
      <c r="H44" s="62" t="str">
        <f t="shared" si="22"/>
        <v/>
      </c>
    </row>
    <row r="45" spans="2:8" ht="12.75" customHeight="1" x14ac:dyDescent="0.3">
      <c r="B45" s="88"/>
      <c r="C45" s="63" t="s">
        <v>17</v>
      </c>
      <c r="D45" s="17">
        <f>'Analyse Globale'!C19*'Analyse Catégorielle'!$E$109</f>
        <v>14964.22789996479</v>
      </c>
      <c r="E45" s="17">
        <f>'Analyse Globale'!D19*'Analyse Catégorielle'!$E$109</f>
        <v>23482.802845086029</v>
      </c>
      <c r="F45" s="17">
        <f>'Analyse Globale'!E19*'Analyse Catégorielle'!$E$109</f>
        <v>4981.2006035030972</v>
      </c>
      <c r="G45" s="17">
        <f>'Analyse Globale'!F19*'Analyse Catégorielle'!$E$109</f>
        <v>18315.967436483435</v>
      </c>
      <c r="H45" s="64" t="e">
        <f>'Analyse Globale'!G19*'Analyse Catégorielle'!$E$109</f>
        <v>#REF!</v>
      </c>
    </row>
    <row r="46" spans="2:8" ht="12.75" customHeight="1" x14ac:dyDescent="0.25">
      <c r="B46" s="88"/>
      <c r="C46" s="61" t="s">
        <v>12</v>
      </c>
      <c r="D46" s="15" t="str">
        <f t="shared" ref="D46:H46" si="23">IFERROR((D45-C45)/ABS(C45),"")</f>
        <v/>
      </c>
      <c r="E46" s="15">
        <f t="shared" si="23"/>
        <v>0.56926257753273612</v>
      </c>
      <c r="F46" s="15">
        <f t="shared" si="23"/>
        <v>-0.78787878787878785</v>
      </c>
      <c r="G46" s="15">
        <f t="shared" si="23"/>
        <v>2.6770186335403721</v>
      </c>
      <c r="H46" s="62" t="str">
        <f t="shared" si="23"/>
        <v/>
      </c>
    </row>
    <row r="47" spans="2:8" ht="12.75" customHeight="1" x14ac:dyDescent="0.3">
      <c r="B47" s="88"/>
      <c r="C47" s="63" t="s">
        <v>18</v>
      </c>
      <c r="D47" s="17">
        <f>'Analyse Globale'!C21*'Analyse Catégorielle'!$E$109</f>
        <v>56670.180778984512</v>
      </c>
      <c r="E47" s="17">
        <f>'Analyse Globale'!D21*'Analyse Catégorielle'!$E$109</f>
        <v>144279.49574121807</v>
      </c>
      <c r="F47" s="17">
        <f>'Analyse Globale'!E21*'Analyse Catégorielle'!$E$109</f>
        <v>179034.45647373449</v>
      </c>
      <c r="G47" s="17">
        <f>'Analyse Globale'!F21*'Analyse Catégorielle'!$E$109</f>
        <v>186614.54434863053</v>
      </c>
      <c r="H47" s="64">
        <f>'Analyse Globale'!G21*'Analyse Catégorielle'!$E$109</f>
        <v>0</v>
      </c>
    </row>
    <row r="48" spans="2:8" ht="12.75" customHeight="1" x14ac:dyDescent="0.25">
      <c r="B48" s="88"/>
      <c r="C48" s="61" t="s">
        <v>12</v>
      </c>
      <c r="D48" s="15" t="str">
        <f t="shared" ref="D48:H48" si="24">IFERROR((D47-C47)/ABS(C47),"")</f>
        <v/>
      </c>
      <c r="E48" s="15">
        <f t="shared" si="24"/>
        <v>1.545950864422202</v>
      </c>
      <c r="F48" s="15">
        <f t="shared" si="24"/>
        <v>0.24088634739099352</v>
      </c>
      <c r="G48" s="15">
        <f t="shared" si="24"/>
        <v>4.2338709677419477E-2</v>
      </c>
      <c r="H48" s="62">
        <f t="shared" si="24"/>
        <v>-1</v>
      </c>
    </row>
    <row r="49" spans="2:8" ht="12.75" customHeight="1" x14ac:dyDescent="0.3">
      <c r="B49" s="88"/>
      <c r="C49" s="63" t="s">
        <v>19</v>
      </c>
      <c r="D49" s="17">
        <f>'Analyse Globale'!C23*'Analyse Catégorielle'!$E$109</f>
        <v>13613.219040629581</v>
      </c>
      <c r="E49" s="17">
        <f>'Analyse Globale'!D23*'Analyse Catégorielle'!$E$109</f>
        <v>81191.740302965773</v>
      </c>
      <c r="F49" s="17">
        <f>'Analyse Globale'!E23*'Analyse Catégorielle'!$E$109</f>
        <v>78482.27037817509</v>
      </c>
      <c r="G49" s="17">
        <f>'Analyse Globale'!F23*'Analyse Catégorielle'!$E$109</f>
        <v>69894.082381141547</v>
      </c>
      <c r="H49" s="64" t="e">
        <f>'Analyse Globale'!G23*'Analyse Catégorielle'!$E$109</f>
        <v>#REF!</v>
      </c>
    </row>
    <row r="50" spans="2:8" ht="12.75" customHeight="1" x14ac:dyDescent="0.25">
      <c r="B50" s="88"/>
      <c r="C50" s="61" t="s">
        <v>12</v>
      </c>
      <c r="D50" s="15" t="str">
        <f t="shared" ref="D50:H50" si="25">IFERROR((D49-C49)/ABS(C49),"")</f>
        <v/>
      </c>
      <c r="E50" s="15">
        <f t="shared" si="25"/>
        <v>4.9641837878787873</v>
      </c>
      <c r="F50" s="15">
        <f t="shared" si="25"/>
        <v>-3.3371250753836977E-2</v>
      </c>
      <c r="G50" s="15">
        <f t="shared" si="25"/>
        <v>-0.10942838370565039</v>
      </c>
      <c r="H50" s="62" t="str">
        <f t="shared" si="25"/>
        <v/>
      </c>
    </row>
    <row r="51" spans="2:8" ht="12.75" customHeight="1" x14ac:dyDescent="0.3">
      <c r="B51" s="88"/>
      <c r="C51" s="57" t="s">
        <v>20</v>
      </c>
      <c r="D51" s="66">
        <f t="shared" ref="D51:G51" si="26">SUM(D41:D49)</f>
        <v>87310.236665128832</v>
      </c>
      <c r="E51" s="66">
        <f t="shared" si="26"/>
        <v>331991.91416109673</v>
      </c>
      <c r="F51" s="66">
        <f t="shared" si="26"/>
        <v>368722.34420738072</v>
      </c>
      <c r="G51" s="66">
        <f t="shared" si="26"/>
        <v>391364.9405380793</v>
      </c>
      <c r="H51" s="72"/>
    </row>
    <row r="52" spans="2:8" ht="12.75" customHeight="1" x14ac:dyDescent="0.25">
      <c r="B52" s="88"/>
      <c r="C52" s="61" t="s">
        <v>12</v>
      </c>
      <c r="D52" s="15" t="str">
        <f t="shared" ref="D52:H52" si="27">IFERROR((D51-C51)/ABS(C51),"")</f>
        <v/>
      </c>
      <c r="E52" s="15">
        <f t="shared" si="27"/>
        <v>2.8024397463773254</v>
      </c>
      <c r="F52" s="15">
        <f t="shared" si="27"/>
        <v>0.11063651998602836</v>
      </c>
      <c r="G52" s="15">
        <f t="shared" si="27"/>
        <v>6.1408256609378931E-2</v>
      </c>
      <c r="H52" s="62">
        <f t="shared" si="27"/>
        <v>-1</v>
      </c>
    </row>
    <row r="53" spans="2:8" ht="12.75" customHeight="1" x14ac:dyDescent="0.3">
      <c r="B53" s="88"/>
      <c r="C53" s="73"/>
      <c r="D53" s="25"/>
      <c r="E53" s="25"/>
      <c r="F53" s="25"/>
      <c r="G53" s="25"/>
      <c r="H53" s="74"/>
    </row>
    <row r="54" spans="2:8" ht="12.75" customHeight="1" x14ac:dyDescent="0.3">
      <c r="B54" s="92"/>
      <c r="C54" s="93" t="s">
        <v>21</v>
      </c>
      <c r="D54" s="94">
        <f t="shared" ref="D54:H54" si="28">D38-D51</f>
        <v>245759.67130432487</v>
      </c>
      <c r="E54" s="94">
        <f t="shared" si="28"/>
        <v>160048.74331586441</v>
      </c>
      <c r="F54" s="94">
        <f t="shared" si="28"/>
        <v>606175.13468205906</v>
      </c>
      <c r="G54" s="94">
        <f t="shared" si="28"/>
        <v>1131064.6133119941</v>
      </c>
      <c r="H54" s="95">
        <f t="shared" si="28"/>
        <v>1094028.8198203936</v>
      </c>
    </row>
    <row r="55" spans="2:8" ht="12.75" customHeight="1" x14ac:dyDescent="0.3">
      <c r="B55" s="92"/>
      <c r="C55" s="57"/>
      <c r="D55" s="66"/>
      <c r="E55" s="66"/>
      <c r="F55" s="66"/>
      <c r="G55" s="66"/>
      <c r="H55" s="67"/>
    </row>
    <row r="56" spans="2:8" ht="12.75" customHeight="1" x14ac:dyDescent="0.3">
      <c r="B56" s="92"/>
      <c r="C56" s="68" t="s">
        <v>45</v>
      </c>
      <c r="D56" s="69"/>
      <c r="E56" s="69"/>
      <c r="F56" s="69"/>
      <c r="G56" s="69"/>
      <c r="H56" s="79"/>
    </row>
    <row r="57" spans="2:8" ht="12.75" customHeight="1" x14ac:dyDescent="0.2">
      <c r="B57" s="92"/>
      <c r="C57" s="80" t="s">
        <v>14</v>
      </c>
      <c r="D57" s="81">
        <f t="shared" ref="D57:H57" si="29">D38/D34</f>
        <v>0.38780469885584612</v>
      </c>
      <c r="E57" s="81">
        <f t="shared" si="29"/>
        <v>0.17462860502501262</v>
      </c>
      <c r="F57" s="81">
        <f t="shared" si="29"/>
        <v>0.27903663128159528</v>
      </c>
      <c r="G57" s="81">
        <f t="shared" si="29"/>
        <v>0.34074037649272265</v>
      </c>
      <c r="H57" s="82">
        <f t="shared" si="29"/>
        <v>1</v>
      </c>
    </row>
    <row r="58" spans="2:8" ht="12.75" customHeight="1" x14ac:dyDescent="0.2">
      <c r="B58" s="92"/>
      <c r="C58" s="80" t="s">
        <v>46</v>
      </c>
      <c r="D58" s="81">
        <f t="shared" ref="D58:H58" si="30">D51/D34</f>
        <v>0.10165829823346943</v>
      </c>
      <c r="E58" s="81">
        <f t="shared" si="30"/>
        <v>0.11782620799430714</v>
      </c>
      <c r="F58" s="81">
        <f t="shared" si="30"/>
        <v>0.10553626718071395</v>
      </c>
      <c r="G58" s="81">
        <f t="shared" si="30"/>
        <v>8.7592780137352513E-2</v>
      </c>
      <c r="H58" s="82">
        <f t="shared" si="30"/>
        <v>0</v>
      </c>
    </row>
    <row r="59" spans="2:8" ht="12.75" customHeight="1" x14ac:dyDescent="0.2">
      <c r="B59" s="96"/>
      <c r="C59" s="84" t="s">
        <v>47</v>
      </c>
      <c r="D59" s="85">
        <f t="shared" ref="D59:H59" si="31">D54/D34</f>
        <v>0.28614640062237667</v>
      </c>
      <c r="E59" s="85">
        <f t="shared" si="31"/>
        <v>5.6802397030705491E-2</v>
      </c>
      <c r="F59" s="85">
        <f t="shared" si="31"/>
        <v>0.17350036410088132</v>
      </c>
      <c r="G59" s="85">
        <f t="shared" si="31"/>
        <v>0.25314759635537015</v>
      </c>
      <c r="H59" s="86">
        <f t="shared" si="31"/>
        <v>1</v>
      </c>
    </row>
    <row r="60" spans="2:8" ht="12.75" customHeight="1" x14ac:dyDescent="0.2"/>
    <row r="61" spans="2:8" ht="12.75" customHeight="1" x14ac:dyDescent="0.2"/>
    <row r="62" spans="2:8" ht="12.75" customHeight="1" x14ac:dyDescent="0.2"/>
    <row r="63" spans="2:8" ht="12.75" customHeight="1" x14ac:dyDescent="0.3">
      <c r="B63" s="97"/>
      <c r="C63" s="57" t="s">
        <v>11</v>
      </c>
      <c r="D63" s="58">
        <f t="shared" ref="D63:H63" si="32">D104</f>
        <v>204441.12003132954</v>
      </c>
      <c r="E63" s="58">
        <f t="shared" si="32"/>
        <v>1498475.1134515605</v>
      </c>
      <c r="F63" s="58">
        <f t="shared" si="32"/>
        <v>2069746.2244125046</v>
      </c>
      <c r="G63" s="58">
        <f t="shared" si="32"/>
        <v>3591016.3962486465</v>
      </c>
      <c r="H63" s="59">
        <f t="shared" si="32"/>
        <v>879290.82940577029</v>
      </c>
    </row>
    <row r="64" spans="2:8" ht="12.75" customHeight="1" x14ac:dyDescent="0.25">
      <c r="B64" s="98"/>
      <c r="C64" s="61" t="s">
        <v>12</v>
      </c>
      <c r="D64" s="15" t="str">
        <f t="shared" ref="D64:H64" si="33">IFERROR((D63-C63)/ABS(C63),"")</f>
        <v/>
      </c>
      <c r="E64" s="15">
        <f t="shared" si="33"/>
        <v>6.3296170223579624</v>
      </c>
      <c r="F64" s="15">
        <f t="shared" si="33"/>
        <v>0.38123496735630702</v>
      </c>
      <c r="G64" s="15">
        <f t="shared" si="33"/>
        <v>0.73500323561066183</v>
      </c>
      <c r="H64" s="62">
        <f t="shared" si="33"/>
        <v>-0.75514151638953231</v>
      </c>
    </row>
    <row r="65" spans="2:8" ht="12.75" customHeight="1" x14ac:dyDescent="0.3">
      <c r="B65" s="98"/>
      <c r="C65" s="63" t="s">
        <v>13</v>
      </c>
      <c r="D65" s="17">
        <f>'Détail Dépenses'!$D$13</f>
        <v>166200</v>
      </c>
      <c r="E65" s="17">
        <f>'Détail Dépenses'!$D$47</f>
        <v>322000</v>
      </c>
      <c r="F65" s="17">
        <f>'Détail Dépenses'!$D$81</f>
        <v>417600</v>
      </c>
      <c r="G65" s="17">
        <f>'Détail Dépenses'!$D$116</f>
        <v>782000</v>
      </c>
      <c r="H65" s="64" t="e">
        <f>'Détail Dépenses'!#REF!</f>
        <v>#REF!</v>
      </c>
    </row>
    <row r="66" spans="2:8" ht="12.75" customHeight="1" x14ac:dyDescent="0.25">
      <c r="B66" s="98"/>
      <c r="C66" s="61" t="s">
        <v>12</v>
      </c>
      <c r="D66" s="15" t="str">
        <f t="shared" ref="D66:H66" si="34">IFERROR((D65-C65)/ABS(C65),"")</f>
        <v/>
      </c>
      <c r="E66" s="15">
        <f t="shared" si="34"/>
        <v>0.93742478941034901</v>
      </c>
      <c r="F66" s="15">
        <f t="shared" si="34"/>
        <v>0.29689440993788818</v>
      </c>
      <c r="G66" s="15">
        <f t="shared" si="34"/>
        <v>0.87260536398467436</v>
      </c>
      <c r="H66" s="62" t="str">
        <f t="shared" si="34"/>
        <v/>
      </c>
    </row>
    <row r="67" spans="2:8" ht="12.75" customHeight="1" x14ac:dyDescent="0.3">
      <c r="B67" s="98"/>
      <c r="C67" s="57" t="s">
        <v>14</v>
      </c>
      <c r="D67" s="66">
        <f t="shared" ref="D67:H67" si="35">D63-D65</f>
        <v>38241.120031329541</v>
      </c>
      <c r="E67" s="66">
        <f t="shared" si="35"/>
        <v>1176475.1134515605</v>
      </c>
      <c r="F67" s="66">
        <f t="shared" si="35"/>
        <v>1652146.2244125046</v>
      </c>
      <c r="G67" s="66">
        <f t="shared" si="35"/>
        <v>2809016.3962486465</v>
      </c>
      <c r="H67" s="67" t="e">
        <f t="shared" si="35"/>
        <v>#REF!</v>
      </c>
    </row>
    <row r="68" spans="2:8" ht="12.75" customHeight="1" x14ac:dyDescent="0.25">
      <c r="B68" s="98"/>
      <c r="C68" s="61" t="s">
        <v>12</v>
      </c>
      <c r="D68" s="15" t="str">
        <f t="shared" ref="D68:H68" si="36">IFERROR((D67-C67)/ABS(C67),"")</f>
        <v/>
      </c>
      <c r="E68" s="15">
        <f t="shared" si="36"/>
        <v>29.764661508023764</v>
      </c>
      <c r="F68" s="15">
        <f t="shared" si="36"/>
        <v>0.40431888913095065</v>
      </c>
      <c r="G68" s="15">
        <f t="shared" si="36"/>
        <v>0.70022262844653449</v>
      </c>
      <c r="H68" s="62" t="str">
        <f t="shared" si="36"/>
        <v/>
      </c>
    </row>
    <row r="69" spans="2:8" ht="12.75" customHeight="1" x14ac:dyDescent="0.2">
      <c r="B69" s="98"/>
      <c r="C69" s="89"/>
      <c r="D69" s="33"/>
      <c r="E69" s="33"/>
      <c r="F69" s="33"/>
      <c r="G69" s="33"/>
      <c r="H69" s="99"/>
    </row>
    <row r="70" spans="2:8" ht="12.75" customHeight="1" x14ac:dyDescent="0.3">
      <c r="B70" s="98"/>
      <c r="C70" s="63" t="s">
        <v>15</v>
      </c>
      <c r="D70" s="17">
        <f>'Analyse Globale'!C15*'Analyse Catégorielle'!$E$110</f>
        <v>3523.6533877438005</v>
      </c>
      <c r="E70" s="17">
        <f>'Analyse Globale'!D15*'Analyse Catégorielle'!$E$110</f>
        <v>59021.194244708655</v>
      </c>
      <c r="F70" s="17">
        <f>'Analyse Globale'!E15*'Analyse Catégorielle'!$E$110</f>
        <v>84567.681305851205</v>
      </c>
      <c r="G70" s="17">
        <f>'Analyse Globale'!F15*'Analyse Catégorielle'!$E$110</f>
        <v>110995.08171392971</v>
      </c>
      <c r="H70" s="64" t="e">
        <f>'Analyse Globale'!G15*'Analyse Catégorielle'!$E$110</f>
        <v>#REF!</v>
      </c>
    </row>
    <row r="71" spans="2:8" ht="12.75" customHeight="1" x14ac:dyDescent="0.25">
      <c r="B71" s="98"/>
      <c r="C71" s="61" t="s">
        <v>12</v>
      </c>
      <c r="D71" s="15" t="str">
        <f t="shared" ref="D71:H71" si="37">IFERROR((D70-C70)/ABS(C70),"")</f>
        <v/>
      </c>
      <c r="E71" s="15">
        <f t="shared" si="37"/>
        <v>15.75</v>
      </c>
      <c r="F71" s="15">
        <f t="shared" si="37"/>
        <v>0.43283582089552236</v>
      </c>
      <c r="G71" s="15">
        <f t="shared" si="37"/>
        <v>0.31250000000000011</v>
      </c>
      <c r="H71" s="62" t="str">
        <f t="shared" si="37"/>
        <v/>
      </c>
    </row>
    <row r="72" spans="2:8" ht="12.75" customHeight="1" x14ac:dyDescent="0.3">
      <c r="B72" s="100" t="s">
        <v>43</v>
      </c>
      <c r="C72" s="63" t="s">
        <v>16</v>
      </c>
      <c r="D72" s="17">
        <f>'Analyse Globale'!C17*'Analyse Catégorielle'!$E$110</f>
        <v>0</v>
      </c>
      <c r="E72" s="17">
        <f>'Analyse Globale'!D17*'Analyse Catégorielle'!$E$110</f>
        <v>82805.854611979303</v>
      </c>
      <c r="F72" s="17">
        <f>'Analyse Globale'!E17*'Analyse Catégorielle'!$E$110</f>
        <v>96900.468162954508</v>
      </c>
      <c r="G72" s="17">
        <f>'Analyse Globale'!F17*'Analyse Catégorielle'!$E$110</f>
        <v>88091.33469359501</v>
      </c>
      <c r="H72" s="64" t="e">
        <f>'Analyse Globale'!G17*'Analyse Catégorielle'!$E$110</f>
        <v>#REF!</v>
      </c>
    </row>
    <row r="73" spans="2:8" ht="12.75" customHeight="1" x14ac:dyDescent="0.25">
      <c r="B73" s="100"/>
      <c r="C73" s="61" t="s">
        <v>12</v>
      </c>
      <c r="D73" s="15" t="str">
        <f t="shared" ref="D73:H73" si="38">IFERROR((D72-C72)/ABS(C72),"")</f>
        <v/>
      </c>
      <c r="E73" s="15" t="str">
        <f t="shared" si="38"/>
        <v/>
      </c>
      <c r="F73" s="15">
        <f t="shared" si="38"/>
        <v>0.17021276595744686</v>
      </c>
      <c r="G73" s="15">
        <f t="shared" si="38"/>
        <v>-9.0909090909090884E-2</v>
      </c>
      <c r="H73" s="62" t="str">
        <f t="shared" si="38"/>
        <v/>
      </c>
    </row>
    <row r="74" spans="2:8" ht="12.75" customHeight="1" x14ac:dyDescent="0.3">
      <c r="B74" s="98"/>
      <c r="C74" s="63" t="s">
        <v>17</v>
      </c>
      <c r="D74" s="17">
        <f>'Analyse Globale'!C19*'Analyse Catégorielle'!$E$110</f>
        <v>25564.10532808127</v>
      </c>
      <c r="E74" s="17">
        <f>'Analyse Globale'!D19*'Analyse Catégorielle'!$E$110</f>
        <v>40116.793819463164</v>
      </c>
      <c r="F74" s="17">
        <f>'Analyse Globale'!E19*'Analyse Catégorielle'!$E$110</f>
        <v>8509.622931401278</v>
      </c>
      <c r="G74" s="17">
        <f>'Analyse Globale'!F19*'Analyse Catégorielle'!$E$110</f>
        <v>31290.042083164946</v>
      </c>
      <c r="H74" s="64" t="e">
        <f>'Analyse Globale'!G19*'Analyse Catégorielle'!$E$110</f>
        <v>#REF!</v>
      </c>
    </row>
    <row r="75" spans="2:8" ht="12.75" customHeight="1" x14ac:dyDescent="0.25">
      <c r="B75" s="98"/>
      <c r="C75" s="61" t="s">
        <v>12</v>
      </c>
      <c r="D75" s="15" t="str">
        <f t="shared" ref="D75:H75" si="39">IFERROR((D74-C74)/ABS(C74),"")</f>
        <v/>
      </c>
      <c r="E75" s="15">
        <f t="shared" si="39"/>
        <v>0.56926257753273601</v>
      </c>
      <c r="F75" s="15">
        <f t="shared" si="39"/>
        <v>-0.78787878787878785</v>
      </c>
      <c r="G75" s="15">
        <f t="shared" si="39"/>
        <v>2.6770186335403725</v>
      </c>
      <c r="H75" s="62" t="str">
        <f t="shared" si="39"/>
        <v/>
      </c>
    </row>
    <row r="76" spans="2:8" ht="12.75" customHeight="1" x14ac:dyDescent="0.3">
      <c r="B76" s="98"/>
      <c r="C76" s="63" t="s">
        <v>18</v>
      </c>
      <c r="D76" s="17">
        <f>'Analyse Globale'!C21*'Analyse Catégorielle'!$E$110</f>
        <v>96812.376828260909</v>
      </c>
      <c r="E76" s="17">
        <f>'Analyse Globale'!D21*'Analyse Catégorielle'!$E$110</f>
        <v>246479.55447267884</v>
      </c>
      <c r="F76" s="17">
        <f>'Analyse Globale'!E21*'Analyse Catégorielle'!$E$110</f>
        <v>305853.1140561619</v>
      </c>
      <c r="G76" s="17">
        <f>'Analyse Globale'!F21*'Analyse Catégorielle'!$E$110</f>
        <v>318802.54025612032</v>
      </c>
      <c r="H76" s="64">
        <f>'Analyse Globale'!G21*'Analyse Catégorielle'!$E$110</f>
        <v>0</v>
      </c>
    </row>
    <row r="77" spans="2:8" ht="12.75" customHeight="1" x14ac:dyDescent="0.25">
      <c r="B77" s="98"/>
      <c r="C77" s="61" t="s">
        <v>12</v>
      </c>
      <c r="D77" s="15" t="str">
        <f t="shared" ref="D77:H77" si="40">IFERROR((D76-C76)/ABS(C76),"")</f>
        <v/>
      </c>
      <c r="E77" s="15">
        <f t="shared" si="40"/>
        <v>1.545950864422202</v>
      </c>
      <c r="F77" s="15">
        <f t="shared" si="40"/>
        <v>0.24088634739099365</v>
      </c>
      <c r="G77" s="15">
        <f t="shared" si="40"/>
        <v>4.233870967741922E-2</v>
      </c>
      <c r="H77" s="62">
        <f t="shared" si="40"/>
        <v>-1</v>
      </c>
    </row>
    <row r="78" spans="2:8" ht="12.75" customHeight="1" x14ac:dyDescent="0.3">
      <c r="B78" s="98"/>
      <c r="C78" s="63" t="s">
        <v>19</v>
      </c>
      <c r="D78" s="17">
        <f>'Analyse Globale'!C23*'Analyse Catégorielle'!$E$110</f>
        <v>23256.112359109084</v>
      </c>
      <c r="E78" s="17">
        <f>'Analyse Globale'!D23*'Analyse Catégorielle'!$E$110</f>
        <v>138703.72830128591</v>
      </c>
      <c r="F78" s="17">
        <f>'Analyse Globale'!E23*'Analyse Catégorielle'!$E$110</f>
        <v>134075.01140365159</v>
      </c>
      <c r="G78" s="17">
        <f>'Analyse Globale'!F23*'Analyse Catégorielle'!$E$110</f>
        <v>119403.39961043335</v>
      </c>
      <c r="H78" s="64" t="e">
        <f>'Analyse Globale'!G23*'Analyse Catégorielle'!$E$110</f>
        <v>#REF!</v>
      </c>
    </row>
    <row r="79" spans="2:8" ht="12.75" customHeight="1" x14ac:dyDescent="0.25">
      <c r="B79" s="98"/>
      <c r="C79" s="61" t="s">
        <v>12</v>
      </c>
      <c r="D79" s="15" t="str">
        <f t="shared" ref="D79:H79" si="41">IFERROR((D78-C78)/ABS(C78),"")</f>
        <v/>
      </c>
      <c r="E79" s="15">
        <f t="shared" si="41"/>
        <v>4.9641837878787882</v>
      </c>
      <c r="F79" s="15">
        <f t="shared" si="41"/>
        <v>-3.3371250753837241E-2</v>
      </c>
      <c r="G79" s="15">
        <f t="shared" si="41"/>
        <v>-0.1094283837056504</v>
      </c>
      <c r="H79" s="62" t="str">
        <f t="shared" si="41"/>
        <v/>
      </c>
    </row>
    <row r="80" spans="2:8" ht="12.75" customHeight="1" x14ac:dyDescent="0.3">
      <c r="B80" s="98"/>
      <c r="C80" s="57" t="s">
        <v>20</v>
      </c>
      <c r="D80" s="66">
        <f t="shared" ref="D80:H80" si="42">SUM(D70:D78)</f>
        <v>149156.24790319506</v>
      </c>
      <c r="E80" s="66">
        <f t="shared" si="42"/>
        <v>567144.9906635579</v>
      </c>
      <c r="F80" s="66">
        <f t="shared" si="42"/>
        <v>629905.95391616679</v>
      </c>
      <c r="G80" s="66">
        <f t="shared" si="42"/>
        <v>668585.33930549573</v>
      </c>
      <c r="H80" s="67" t="e">
        <f t="shared" si="42"/>
        <v>#REF!</v>
      </c>
    </row>
    <row r="81" spans="2:11" ht="12.75" customHeight="1" x14ac:dyDescent="0.25">
      <c r="B81" s="98"/>
      <c r="C81" s="61" t="s">
        <v>12</v>
      </c>
      <c r="D81" s="15" t="str">
        <f t="shared" ref="D81:H81" si="43">IFERROR((D80-C80)/ABS(C80),"")</f>
        <v/>
      </c>
      <c r="E81" s="15">
        <f t="shared" si="43"/>
        <v>2.8023549039101909</v>
      </c>
      <c r="F81" s="15">
        <f t="shared" si="43"/>
        <v>0.11066123175870558</v>
      </c>
      <c r="G81" s="15">
        <f t="shared" si="43"/>
        <v>6.1405016334353801E-2</v>
      </c>
      <c r="H81" s="62" t="str">
        <f t="shared" si="43"/>
        <v/>
      </c>
    </row>
    <row r="82" spans="2:11" ht="12.75" customHeight="1" x14ac:dyDescent="0.3">
      <c r="B82" s="98"/>
      <c r="C82" s="73"/>
      <c r="D82" s="25"/>
      <c r="E82" s="25"/>
      <c r="F82" s="25"/>
      <c r="G82" s="25"/>
      <c r="H82" s="74"/>
    </row>
    <row r="83" spans="2:11" ht="12.75" customHeight="1" x14ac:dyDescent="0.3">
      <c r="B83" s="101"/>
      <c r="C83" s="102" t="s">
        <v>21</v>
      </c>
      <c r="D83" s="94">
        <f t="shared" ref="D83:H83" si="44">D67-D80</f>
        <v>-110915.12787186552</v>
      </c>
      <c r="E83" s="94">
        <f t="shared" si="44"/>
        <v>609330.1227880026</v>
      </c>
      <c r="F83" s="94">
        <f t="shared" si="44"/>
        <v>1022240.2704963378</v>
      </c>
      <c r="G83" s="94">
        <f t="shared" si="44"/>
        <v>2140431.0569431507</v>
      </c>
      <c r="H83" s="103" t="e">
        <f t="shared" si="44"/>
        <v>#REF!</v>
      </c>
    </row>
    <row r="84" spans="2:11" ht="12.75" customHeight="1" x14ac:dyDescent="0.3">
      <c r="B84" s="101"/>
      <c r="C84" s="57"/>
      <c r="D84" s="66"/>
      <c r="E84" s="66"/>
      <c r="F84" s="66"/>
      <c r="G84" s="66"/>
      <c r="H84" s="67"/>
    </row>
    <row r="85" spans="2:11" ht="12.75" customHeight="1" x14ac:dyDescent="0.3">
      <c r="B85" s="101"/>
      <c r="C85" s="68" t="s">
        <v>45</v>
      </c>
      <c r="D85" s="69"/>
      <c r="E85" s="69"/>
      <c r="F85" s="69"/>
      <c r="G85" s="69"/>
      <c r="H85" s="79"/>
    </row>
    <row r="86" spans="2:11" ht="12.75" customHeight="1" x14ac:dyDescent="0.2">
      <c r="B86" s="101"/>
      <c r="C86" s="80" t="s">
        <v>14</v>
      </c>
      <c r="D86" s="81">
        <f t="shared" ref="D86:H86" si="45">D67/D63</f>
        <v>0.18705199827446303</v>
      </c>
      <c r="E86" s="81">
        <f t="shared" si="45"/>
        <v>0.78511488305046917</v>
      </c>
      <c r="F86" s="81">
        <f t="shared" si="45"/>
        <v>0.79823613394026827</v>
      </c>
      <c r="G86" s="81">
        <f t="shared" si="45"/>
        <v>0.78223435548305598</v>
      </c>
      <c r="H86" s="82" t="e">
        <f t="shared" si="45"/>
        <v>#REF!</v>
      </c>
    </row>
    <row r="87" spans="2:11" ht="12.75" customHeight="1" x14ac:dyDescent="0.2">
      <c r="B87" s="101"/>
      <c r="C87" s="80" t="s">
        <v>46</v>
      </c>
      <c r="D87" s="81">
        <f t="shared" ref="D87:H87" si="46">D80/D63</f>
        <v>0.72958046737533844</v>
      </c>
      <c r="E87" s="81">
        <f t="shared" si="46"/>
        <v>0.3784814212611155</v>
      </c>
      <c r="F87" s="81">
        <f t="shared" si="46"/>
        <v>0.30433970430117102</v>
      </c>
      <c r="G87" s="81">
        <f t="shared" si="46"/>
        <v>0.18618275873202167</v>
      </c>
      <c r="H87" s="82" t="e">
        <f t="shared" si="46"/>
        <v>#REF!</v>
      </c>
    </row>
    <row r="88" spans="2:11" ht="12.75" customHeight="1" x14ac:dyDescent="0.2">
      <c r="B88" s="104"/>
      <c r="C88" s="84" t="s">
        <v>47</v>
      </c>
      <c r="D88" s="85">
        <f t="shared" ref="D88:H88" si="47">D83/D63</f>
        <v>-0.54252846910087538</v>
      </c>
      <c r="E88" s="85">
        <f t="shared" si="47"/>
        <v>0.40663346178935372</v>
      </c>
      <c r="F88" s="85">
        <f t="shared" si="47"/>
        <v>0.49389642963909725</v>
      </c>
      <c r="G88" s="85">
        <f t="shared" si="47"/>
        <v>0.59605159675103436</v>
      </c>
      <c r="H88" s="86" t="e">
        <f t="shared" si="47"/>
        <v>#REF!</v>
      </c>
    </row>
    <row r="89" spans="2:11" ht="12.75" customHeight="1" x14ac:dyDescent="0.2"/>
    <row r="90" spans="2:11" ht="12.75" customHeight="1" x14ac:dyDescent="0.2"/>
    <row r="91" spans="2:11" ht="12.75" customHeight="1" x14ac:dyDescent="0.2">
      <c r="B91" s="6" t="s">
        <v>48</v>
      </c>
      <c r="C91" s="6"/>
      <c r="D91" s="6"/>
      <c r="E91" s="6"/>
      <c r="F91" s="7"/>
      <c r="G91" s="7"/>
      <c r="H91" s="7"/>
    </row>
    <row r="92" spans="2:11" ht="12.75" customHeight="1" x14ac:dyDescent="0.2"/>
    <row r="93" spans="2:11" ht="12.75" customHeight="1" x14ac:dyDescent="0.25">
      <c r="B93" s="105" t="s">
        <v>49</v>
      </c>
    </row>
    <row r="94" spans="2:11" ht="12.75" customHeight="1" x14ac:dyDescent="0.2">
      <c r="B94" s="25"/>
      <c r="C94" s="25"/>
      <c r="D94" s="106" t="s">
        <v>2</v>
      </c>
      <c r="E94" s="107"/>
      <c r="F94" s="108" t="s">
        <v>3</v>
      </c>
      <c r="G94" s="108"/>
      <c r="H94" s="106" t="s">
        <v>4</v>
      </c>
      <c r="I94" s="108"/>
      <c r="J94" s="106" t="s">
        <v>5</v>
      </c>
      <c r="K94" s="107"/>
    </row>
    <row r="95" spans="2:11" ht="12.75" customHeight="1" x14ac:dyDescent="0.2">
      <c r="B95" s="109" t="s">
        <v>50</v>
      </c>
      <c r="C95" s="25"/>
      <c r="D95" s="110">
        <f>'Analyse CA Initial'!C37</f>
        <v>3567500</v>
      </c>
      <c r="E95" s="111">
        <f t="shared" ref="E95:E97" si="48">D95/$D$98</f>
        <v>0.69855100841981599</v>
      </c>
      <c r="F95" s="45">
        <f>'Analyse CA Initial'!F37</f>
        <v>10442500</v>
      </c>
      <c r="G95" s="111">
        <f t="shared" ref="G95:G97" si="49">F95/$F$98</f>
        <v>0.64694493920854956</v>
      </c>
      <c r="H95" s="45">
        <f>'Analyse CA Initial'!I37</f>
        <v>19468500</v>
      </c>
      <c r="I95" s="111">
        <f t="shared" ref="I95:I97" si="50">H95/$H$98</f>
        <v>0.72822315943031879</v>
      </c>
      <c r="J95" s="45">
        <f>'Analyse CA Initial'!L37</f>
        <v>22621500</v>
      </c>
      <c r="K95" s="111">
        <f t="shared" ref="K95:K97" si="51">J95/$J$98</f>
        <v>0.72038405197121202</v>
      </c>
    </row>
    <row r="96" spans="2:11" ht="12.75" customHeight="1" x14ac:dyDescent="0.2">
      <c r="B96" s="112" t="s">
        <v>51</v>
      </c>
      <c r="C96" s="113"/>
      <c r="D96" s="114">
        <f>'Analyse CA Initial'!C38</f>
        <v>1243500</v>
      </c>
      <c r="E96" s="115">
        <f t="shared" si="48"/>
        <v>0.24348932837282161</v>
      </c>
      <c r="F96" s="45">
        <f>'Analyse CA Initial'!F38</f>
        <v>3720250</v>
      </c>
      <c r="G96" s="115">
        <f t="shared" si="49"/>
        <v>0.23048091071013707</v>
      </c>
      <c r="H96" s="45">
        <f>'Analyse CA Initial'!I38</f>
        <v>4562750</v>
      </c>
      <c r="I96" s="115">
        <f t="shared" si="50"/>
        <v>0.17067058174439156</v>
      </c>
      <c r="J96" s="45">
        <f>'Analyse CA Initial'!L38</f>
        <v>4868000</v>
      </c>
      <c r="K96" s="115">
        <f t="shared" si="51"/>
        <v>0.15502197312273103</v>
      </c>
    </row>
    <row r="97" spans="2:14" ht="13.5" customHeight="1" x14ac:dyDescent="0.2">
      <c r="B97" s="116" t="s">
        <v>52</v>
      </c>
      <c r="C97" s="117"/>
      <c r="D97" s="118">
        <f>'Analyse CA Initial'!C39</f>
        <v>296000</v>
      </c>
      <c r="E97" s="119">
        <f t="shared" si="48"/>
        <v>5.7959663207362441E-2</v>
      </c>
      <c r="F97" s="48">
        <f>'Analyse CA Initial'!F39</f>
        <v>1978500</v>
      </c>
      <c r="G97" s="119">
        <f t="shared" si="49"/>
        <v>0.12257415008131341</v>
      </c>
      <c r="H97" s="48">
        <f>'Analyse CA Initial'!I39</f>
        <v>2703000</v>
      </c>
      <c r="I97" s="119">
        <f t="shared" si="50"/>
        <v>0.10110625882528966</v>
      </c>
      <c r="J97" s="48">
        <f>'Analyse CA Initial'!L39</f>
        <v>3912500</v>
      </c>
      <c r="K97" s="119">
        <f t="shared" si="51"/>
        <v>0.12459397490605693</v>
      </c>
    </row>
    <row r="98" spans="2:14" ht="13.5" customHeight="1" x14ac:dyDescent="0.25">
      <c r="B98" s="120" t="s">
        <v>53</v>
      </c>
      <c r="C98" s="47"/>
      <c r="D98" s="118">
        <f>'Analyse CA Initial'!C40</f>
        <v>5107000</v>
      </c>
      <c r="E98" s="121"/>
      <c r="F98" s="118">
        <f>'Analyse CA Initial'!F40</f>
        <v>16141250</v>
      </c>
      <c r="G98" s="121"/>
      <c r="H98" s="118">
        <f>'Analyse CA Initial'!I40</f>
        <v>26734250</v>
      </c>
      <c r="I98" s="121"/>
      <c r="J98" s="118">
        <f>'Analyse CA Initial'!L40</f>
        <v>31402000</v>
      </c>
      <c r="K98" s="121"/>
    </row>
    <row r="99" spans="2:14" ht="13.5" customHeight="1" x14ac:dyDescent="0.25">
      <c r="B99" s="122"/>
      <c r="D99" s="45"/>
      <c r="E99" s="46"/>
      <c r="F99" s="45"/>
      <c r="G99" s="46"/>
      <c r="H99" s="45"/>
      <c r="I99" s="46"/>
      <c r="J99" s="45"/>
      <c r="K99" s="46"/>
    </row>
    <row r="100" spans="2:14" ht="12.75" customHeight="1" x14ac:dyDescent="0.25">
      <c r="B100" s="105" t="s">
        <v>54</v>
      </c>
      <c r="C100" s="123"/>
      <c r="D100" s="124"/>
      <c r="E100" s="124"/>
      <c r="F100" s="124"/>
      <c r="G100" s="124"/>
    </row>
    <row r="101" spans="2:14" ht="12.75" customHeight="1" x14ac:dyDescent="0.25">
      <c r="B101" s="105"/>
      <c r="C101" s="123"/>
      <c r="D101" s="125" t="s">
        <v>2</v>
      </c>
      <c r="E101" s="125" t="s">
        <v>3</v>
      </c>
      <c r="F101" s="126" t="s">
        <v>4</v>
      </c>
      <c r="G101" s="126" t="s">
        <v>5</v>
      </c>
      <c r="H101" s="127" t="s">
        <v>6</v>
      </c>
      <c r="K101" s="128" t="s">
        <v>2</v>
      </c>
      <c r="L101" s="129" t="s">
        <v>3</v>
      </c>
      <c r="M101" s="129" t="s">
        <v>4</v>
      </c>
      <c r="N101" s="127" t="s">
        <v>5</v>
      </c>
    </row>
    <row r="102" spans="2:14" ht="12.75" customHeight="1" x14ac:dyDescent="0.2">
      <c r="B102" s="130" t="s">
        <v>50</v>
      </c>
      <c r="C102" s="131"/>
      <c r="D102" s="114">
        <f t="shared" ref="D102:D104" si="52">$D$105*E95</f>
        <v>2463998.9719992168</v>
      </c>
      <c r="E102" s="45">
        <f t="shared" ref="E102:E104" si="53">E$105*G95</f>
        <v>7908934.2290714793</v>
      </c>
      <c r="F102" s="45">
        <f t="shared" ref="F102:F104" si="54">F$105*I95</f>
        <v>14907456.296698056</v>
      </c>
      <c r="G102" s="45">
        <f t="shared" ref="G102:G104" si="55">G$105*K95</f>
        <v>20762729.049901281</v>
      </c>
      <c r="H102" s="132">
        <f t="shared" ref="H102:H104" si="56">H$105*K95</f>
        <v>5083930.3507738365</v>
      </c>
      <c r="J102" s="133" t="s">
        <v>50</v>
      </c>
      <c r="K102" s="134">
        <f t="shared" ref="K102:K104" si="57">E95</f>
        <v>0.69855100841981599</v>
      </c>
      <c r="L102" s="135">
        <f t="shared" ref="L102:L104" si="58">G95</f>
        <v>0.64694493920854956</v>
      </c>
      <c r="M102" s="135">
        <f t="shared" ref="M102:M104" si="59">I95</f>
        <v>0.72822315943031879</v>
      </c>
      <c r="N102" s="136">
        <f t="shared" ref="N102:N104" si="60">K95</f>
        <v>0.72038405197121202</v>
      </c>
    </row>
    <row r="103" spans="2:14" ht="12.75" customHeight="1" x14ac:dyDescent="0.2">
      <c r="B103" s="89" t="s">
        <v>51</v>
      </c>
      <c r="C103" s="99"/>
      <c r="D103" s="114">
        <f t="shared" si="52"/>
        <v>858859.90796945372</v>
      </c>
      <c r="E103" s="45">
        <f t="shared" si="53"/>
        <v>2817640.6574769611</v>
      </c>
      <c r="F103" s="45">
        <f t="shared" si="54"/>
        <v>3493797.4788894397</v>
      </c>
      <c r="G103" s="45">
        <f t="shared" si="55"/>
        <v>4468004.5538500734</v>
      </c>
      <c r="H103" s="132">
        <f t="shared" si="56"/>
        <v>1094028.8198203936</v>
      </c>
      <c r="J103" s="137" t="s">
        <v>51</v>
      </c>
      <c r="K103" s="134">
        <f t="shared" si="57"/>
        <v>0.24348932837282161</v>
      </c>
      <c r="L103" s="135">
        <f t="shared" si="58"/>
        <v>0.23048091071013707</v>
      </c>
      <c r="M103" s="135">
        <f t="shared" si="59"/>
        <v>0.17067058174439156</v>
      </c>
      <c r="N103" s="136">
        <f t="shared" si="60"/>
        <v>0.15502197312273103</v>
      </c>
    </row>
    <row r="104" spans="2:14" ht="12.75" customHeight="1" x14ac:dyDescent="0.2">
      <c r="B104" s="138" t="s">
        <v>52</v>
      </c>
      <c r="C104" s="139"/>
      <c r="D104" s="118">
        <f t="shared" si="52"/>
        <v>204441.12003132954</v>
      </c>
      <c r="E104" s="48">
        <f t="shared" si="53"/>
        <v>1498475.1134515605</v>
      </c>
      <c r="F104" s="48">
        <f t="shared" si="54"/>
        <v>2069746.2244125046</v>
      </c>
      <c r="G104" s="48">
        <f t="shared" si="55"/>
        <v>3591016.3962486465</v>
      </c>
      <c r="H104" s="140">
        <f t="shared" si="56"/>
        <v>879290.82940577029</v>
      </c>
      <c r="J104" s="141" t="s">
        <v>52</v>
      </c>
      <c r="K104" s="142">
        <f t="shared" si="57"/>
        <v>5.7959663207362441E-2</v>
      </c>
      <c r="L104" s="143">
        <f t="shared" si="58"/>
        <v>0.12257415008131341</v>
      </c>
      <c r="M104" s="143">
        <f t="shared" si="59"/>
        <v>0.10110625882528966</v>
      </c>
      <c r="N104" s="144">
        <f t="shared" si="60"/>
        <v>0.12459397490605693</v>
      </c>
    </row>
    <row r="105" spans="2:14" ht="12.75" customHeight="1" x14ac:dyDescent="0.25">
      <c r="B105" s="145" t="s">
        <v>53</v>
      </c>
      <c r="C105" s="146"/>
      <c r="D105" s="147">
        <f>'Analyse Globale'!C8</f>
        <v>3527300</v>
      </c>
      <c r="E105" s="148">
        <f>'Analyse Globale'!D8</f>
        <v>12225050</v>
      </c>
      <c r="F105" s="148">
        <f>'Analyse Globale'!E8</f>
        <v>20471000</v>
      </c>
      <c r="G105" s="148">
        <f>'Analyse Globale'!F8</f>
        <v>28821750</v>
      </c>
      <c r="H105" s="149">
        <f>'Analyse Globale'!G8</f>
        <v>7057250</v>
      </c>
      <c r="J105" s="133" t="s">
        <v>50</v>
      </c>
      <c r="K105" s="150">
        <v>0.69855100841981599</v>
      </c>
      <c r="L105" s="151">
        <v>0.64694493920854956</v>
      </c>
      <c r="M105" s="151">
        <v>0.72822315943031879</v>
      </c>
      <c r="N105" s="152">
        <v>0.72038405197121202</v>
      </c>
    </row>
    <row r="106" spans="2:14" ht="12" customHeight="1" x14ac:dyDescent="0.2">
      <c r="J106" s="137" t="s">
        <v>51</v>
      </c>
      <c r="K106" s="134">
        <v>0.24348932837282161</v>
      </c>
      <c r="L106" s="135">
        <v>0.23048091071013707</v>
      </c>
      <c r="M106" s="135">
        <v>0.17067058174439156</v>
      </c>
      <c r="N106" s="136">
        <v>0.15502197312273103</v>
      </c>
    </row>
    <row r="107" spans="2:14" ht="12.75" customHeight="1" x14ac:dyDescent="0.25">
      <c r="B107" s="105" t="s">
        <v>55</v>
      </c>
      <c r="C107" s="124"/>
      <c r="D107" s="124"/>
      <c r="E107" s="124"/>
      <c r="J107" s="141" t="s">
        <v>52</v>
      </c>
      <c r="K107" s="142">
        <v>5.7959663207362441E-2</v>
      </c>
      <c r="L107" s="143">
        <v>0.12257415008131341</v>
      </c>
      <c r="M107" s="143">
        <v>0.10110625882528966</v>
      </c>
      <c r="N107" s="144">
        <v>0.12459397490605693</v>
      </c>
    </row>
    <row r="108" spans="2:14" ht="12.75" customHeight="1" x14ac:dyDescent="0.2">
      <c r="B108" s="153" t="s">
        <v>41</v>
      </c>
      <c r="C108" s="153"/>
      <c r="D108" s="154">
        <f>SUM(D10:G10)</f>
        <v>23217558.547670033</v>
      </c>
      <c r="E108" s="155">
        <f t="shared" ref="E108:E111" si="61">D108/$D$111</f>
        <v>0.72068688333531317</v>
      </c>
    </row>
    <row r="109" spans="2:14" ht="12.75" customHeight="1" x14ac:dyDescent="0.2">
      <c r="B109" s="153" t="s">
        <v>42</v>
      </c>
      <c r="C109" s="153"/>
      <c r="D109" s="154">
        <f>SUM(D38:G38)</f>
        <v>3322437.5981859281</v>
      </c>
      <c r="E109" s="155">
        <f t="shared" si="61"/>
        <v>0.10313044727749683</v>
      </c>
    </row>
    <row r="110" spans="2:14" ht="12.75" customHeight="1" x14ac:dyDescent="0.2">
      <c r="B110" s="156" t="s">
        <v>43</v>
      </c>
      <c r="C110" s="156"/>
      <c r="D110" s="157">
        <f>SUM(D67:G67)</f>
        <v>5675878.8541440405</v>
      </c>
      <c r="E110" s="158">
        <f t="shared" si="61"/>
        <v>0.17618266938719002</v>
      </c>
    </row>
    <row r="111" spans="2:14" ht="18.75" customHeight="1" x14ac:dyDescent="0.25">
      <c r="B111" s="122" t="s">
        <v>56</v>
      </c>
      <c r="C111" s="122"/>
      <c r="D111" s="159">
        <f>SUM(D108:D110)</f>
        <v>32215875</v>
      </c>
      <c r="E111" s="160">
        <f t="shared" si="61"/>
        <v>1</v>
      </c>
    </row>
    <row r="112" spans="2:14" ht="18.75" customHeight="1" x14ac:dyDescent="0.25">
      <c r="B112" s="122"/>
      <c r="C112" s="122"/>
      <c r="D112" s="159"/>
      <c r="E112" s="160"/>
    </row>
    <row r="113" spans="1:11" ht="18.75" customHeight="1" x14ac:dyDescent="0.25">
      <c r="B113" s="122" t="s">
        <v>57</v>
      </c>
      <c r="C113" s="122"/>
      <c r="D113" s="159"/>
      <c r="E113" s="160"/>
    </row>
    <row r="114" spans="1:11" ht="18.75" customHeight="1" x14ac:dyDescent="0.25">
      <c r="C114" s="122"/>
      <c r="D114" s="159"/>
      <c r="E114" s="160"/>
    </row>
    <row r="115" spans="1:11" ht="18.75" customHeight="1" x14ac:dyDescent="0.2">
      <c r="A115" s="33"/>
      <c r="B115" s="74"/>
      <c r="C115" s="106" t="s">
        <v>14</v>
      </c>
      <c r="D115" s="108" t="s">
        <v>58</v>
      </c>
      <c r="E115" s="161" t="s">
        <v>59</v>
      </c>
      <c r="F115" s="162" t="s">
        <v>60</v>
      </c>
      <c r="G115" s="163" t="s">
        <v>21</v>
      </c>
      <c r="H115" s="164" t="s">
        <v>47</v>
      </c>
    </row>
    <row r="116" spans="1:11" ht="18.75" customHeight="1" x14ac:dyDescent="0.2">
      <c r="A116" s="99"/>
      <c r="B116" s="165" t="s">
        <v>41</v>
      </c>
      <c r="C116" s="166">
        <f>SUM(D10:G10)</f>
        <v>23217558.547670033</v>
      </c>
      <c r="D116" s="167">
        <f t="shared" ref="D116:D119" si="62">C116/$C$119</f>
        <v>0.72068688333531317</v>
      </c>
      <c r="E116" s="168">
        <f>SUM(D23:G23)</f>
        <v>14975980.668376612</v>
      </c>
      <c r="F116" s="167">
        <f t="shared" ref="F116:F119" si="63">E116/$E$119</f>
        <v>0.82420729899919298</v>
      </c>
      <c r="G116" s="169">
        <f>SUM(D26:G26)</f>
        <v>8241577.8792934213</v>
      </c>
      <c r="H116" s="170">
        <f t="shared" ref="H116:H119" si="64">G116/$G$119</f>
        <v>0.5867682368508832</v>
      </c>
    </row>
    <row r="117" spans="1:11" ht="18.75" customHeight="1" x14ac:dyDescent="0.2">
      <c r="A117" s="99"/>
      <c r="B117" s="165" t="s">
        <v>42</v>
      </c>
      <c r="C117" s="166">
        <f>SUM(D38:G38)</f>
        <v>3322437.5981859281</v>
      </c>
      <c r="D117" s="167">
        <f t="shared" si="62"/>
        <v>0.10313044727749683</v>
      </c>
      <c r="E117" s="168">
        <f>SUM(D51:G51)</f>
        <v>1179389.4355716857</v>
      </c>
      <c r="F117" s="167">
        <f t="shared" si="63"/>
        <v>6.4908028574938909E-2</v>
      </c>
      <c r="G117" s="168">
        <f>SUM(D54:G54)</f>
        <v>2143048.1626142422</v>
      </c>
      <c r="H117" s="171">
        <f t="shared" si="64"/>
        <v>0.15257668013100073</v>
      </c>
    </row>
    <row r="118" spans="1:11" ht="18.75" customHeight="1" x14ac:dyDescent="0.2">
      <c r="A118" s="99"/>
      <c r="B118" s="172" t="s">
        <v>43</v>
      </c>
      <c r="C118" s="173">
        <f>SUM(D67:G67)</f>
        <v>5675878.8541440405</v>
      </c>
      <c r="D118" s="167">
        <f t="shared" si="62"/>
        <v>0.17618266938719002</v>
      </c>
      <c r="E118" s="174">
        <f>SUM(D80:G80)</f>
        <v>2014792.5317884157</v>
      </c>
      <c r="F118" s="167">
        <f t="shared" si="63"/>
        <v>0.11088467242586823</v>
      </c>
      <c r="G118" s="174">
        <f>SUM(D83:G83)</f>
        <v>3661086.3223556257</v>
      </c>
      <c r="H118" s="171">
        <f t="shared" si="64"/>
        <v>0.26065508301811596</v>
      </c>
    </row>
    <row r="119" spans="1:11" ht="20.25" customHeight="1" x14ac:dyDescent="0.2">
      <c r="A119" s="99"/>
      <c r="B119" s="175" t="s">
        <v>44</v>
      </c>
      <c r="C119" s="176">
        <f>SUM(C116:C118)</f>
        <v>32215875</v>
      </c>
      <c r="D119" s="177">
        <f t="shared" si="62"/>
        <v>1</v>
      </c>
      <c r="E119" s="176">
        <f>SUM(E116:E118)</f>
        <v>18170162.635736711</v>
      </c>
      <c r="F119" s="177">
        <f t="shared" si="63"/>
        <v>1</v>
      </c>
      <c r="G119" s="176">
        <f>SUM(G116:G118)</f>
        <v>14045712.364263291</v>
      </c>
      <c r="H119" s="178">
        <f t="shared" si="64"/>
        <v>1</v>
      </c>
    </row>
    <row r="120" spans="1:11" ht="20.25" customHeight="1" x14ac:dyDescent="0.2">
      <c r="A120" s="33"/>
      <c r="B120" s="153"/>
      <c r="C120" s="179"/>
      <c r="D120" s="179"/>
      <c r="E120" s="179"/>
      <c r="F120" s="179"/>
      <c r="G120" s="179"/>
      <c r="H120" s="179"/>
    </row>
    <row r="121" spans="1:11" ht="12.75" customHeight="1" x14ac:dyDescent="0.2"/>
    <row r="122" spans="1:11" ht="12.75" customHeight="1" x14ac:dyDescent="0.25">
      <c r="B122" s="180" t="s">
        <v>37</v>
      </c>
      <c r="C122" s="180"/>
      <c r="D122" s="180"/>
      <c r="E122" s="180"/>
      <c r="F122" s="180"/>
      <c r="G122" s="180"/>
      <c r="H122" s="180"/>
      <c r="I122" s="180"/>
      <c r="J122" s="180"/>
      <c r="K122" s="180"/>
    </row>
    <row r="123" spans="1:11" ht="14.25" customHeight="1" x14ac:dyDescent="0.2"/>
    <row r="124" spans="1:11" ht="12.75" customHeight="1" x14ac:dyDescent="0.2">
      <c r="B124" s="181"/>
    </row>
    <row r="125" spans="1:11" ht="12.75" customHeight="1" x14ac:dyDescent="0.2">
      <c r="B125" s="181"/>
    </row>
    <row r="126" spans="1:11" ht="12.75" customHeight="1" x14ac:dyDescent="0.2"/>
    <row r="127" spans="1:11" ht="12.75" customHeight="1" x14ac:dyDescent="0.2"/>
    <row r="128" spans="1: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00"/>
  <sheetViews>
    <sheetView workbookViewId="0">
      <pane ySplit="1" topLeftCell="A2" activePane="bottomLeft" state="frozen"/>
      <selection pane="bottomLeft" activeCell="B3" sqref="B3"/>
    </sheetView>
  </sheetViews>
  <sheetFormatPr baseColWidth="10" defaultColWidth="12.5703125" defaultRowHeight="15" customHeight="1" x14ac:dyDescent="0.2"/>
  <cols>
    <col min="1" max="1" width="10.5703125" customWidth="1"/>
    <col min="2" max="2" width="34.5703125" customWidth="1"/>
    <col min="3" max="3" width="9.140625" customWidth="1"/>
    <col min="4" max="4" width="10.5703125" customWidth="1"/>
    <col min="5" max="5" width="34.5703125" customWidth="1"/>
    <col min="6" max="6" width="11.42578125" customWidth="1"/>
    <col min="7" max="7" width="10.5703125" customWidth="1"/>
    <col min="8" max="8" width="34.5703125" customWidth="1"/>
    <col min="9" max="9" width="11.42578125" customWidth="1"/>
    <col min="10" max="10" width="10.5703125" customWidth="1"/>
    <col min="11" max="11" width="28.140625" customWidth="1"/>
    <col min="12" max="13" width="10.5703125" customWidth="1"/>
    <col min="14" max="14" width="11.5703125" customWidth="1"/>
    <col min="15" max="15" width="13.85546875" customWidth="1"/>
    <col min="16" max="26" width="10.5703125" customWidth="1"/>
  </cols>
  <sheetData>
    <row r="1" spans="2:15" ht="12.75" customHeight="1" x14ac:dyDescent="0.2">
      <c r="C1" s="45"/>
      <c r="F1" s="45"/>
      <c r="I1" s="45"/>
    </row>
    <row r="2" spans="2:15" ht="12.75" customHeight="1" x14ac:dyDescent="0.2">
      <c r="C2" s="45"/>
      <c r="F2" s="45"/>
      <c r="I2" s="45"/>
    </row>
    <row r="3" spans="2:15" ht="12.75" customHeight="1" x14ac:dyDescent="0.2">
      <c r="C3" s="45"/>
      <c r="F3" s="45"/>
      <c r="I3" s="45"/>
    </row>
    <row r="4" spans="2:15" ht="12.75" customHeight="1" x14ac:dyDescent="0.2">
      <c r="C4" s="45"/>
      <c r="F4" s="45"/>
      <c r="I4" s="45"/>
    </row>
    <row r="5" spans="2:15" ht="12.75" customHeight="1" x14ac:dyDescent="0.2">
      <c r="B5" s="44" t="s">
        <v>29</v>
      </c>
      <c r="C5" s="45"/>
      <c r="F5" s="45"/>
      <c r="I5" s="45"/>
    </row>
    <row r="6" spans="2:15" ht="12.75" customHeight="1" x14ac:dyDescent="0.2">
      <c r="B6" s="44" t="s">
        <v>29</v>
      </c>
      <c r="C6" s="45"/>
      <c r="F6" s="45"/>
      <c r="I6" s="45"/>
    </row>
    <row r="7" spans="2:15" ht="12.75" customHeight="1" x14ac:dyDescent="0.2">
      <c r="B7" s="44" t="s">
        <v>29</v>
      </c>
      <c r="C7" s="45"/>
      <c r="F7" s="45"/>
      <c r="I7" s="45"/>
    </row>
    <row r="8" spans="2:15" ht="12.75" customHeight="1" x14ac:dyDescent="0.2">
      <c r="B8" s="44" t="s">
        <v>29</v>
      </c>
      <c r="C8" s="45"/>
      <c r="F8" s="45"/>
      <c r="I8" s="45"/>
    </row>
    <row r="9" spans="2:15" ht="12.75" customHeight="1" x14ac:dyDescent="0.2">
      <c r="B9" s="44" t="s">
        <v>29</v>
      </c>
      <c r="C9" s="45"/>
      <c r="F9" s="45"/>
      <c r="I9" s="45"/>
    </row>
    <row r="10" spans="2:15" ht="12.75" customHeight="1" x14ac:dyDescent="0.2">
      <c r="B10" s="551" t="s">
        <v>2</v>
      </c>
      <c r="C10" s="552"/>
      <c r="E10" s="551" t="s">
        <v>3</v>
      </c>
      <c r="F10" s="552"/>
      <c r="H10" s="551" t="s">
        <v>4</v>
      </c>
      <c r="I10" s="552"/>
      <c r="K10" s="182" t="s">
        <v>5</v>
      </c>
      <c r="N10" s="551" t="s">
        <v>6</v>
      </c>
      <c r="O10" s="552"/>
    </row>
    <row r="11" spans="2:15" ht="12.75" customHeight="1" x14ac:dyDescent="0.2">
      <c r="B11" s="44" t="s">
        <v>29</v>
      </c>
      <c r="C11" s="45"/>
      <c r="F11" s="45"/>
      <c r="I11" s="45"/>
    </row>
    <row r="12" spans="2:15" ht="12.75" customHeight="1" x14ac:dyDescent="0.2">
      <c r="B12" s="44" t="s">
        <v>61</v>
      </c>
      <c r="C12" s="183">
        <v>163500</v>
      </c>
      <c r="E12" s="44" t="s">
        <v>61</v>
      </c>
      <c r="F12" s="183">
        <v>758500</v>
      </c>
      <c r="H12" s="44" t="s">
        <v>62</v>
      </c>
      <c r="I12" s="184">
        <v>201000</v>
      </c>
      <c r="K12" s="44" t="s">
        <v>63</v>
      </c>
      <c r="L12" s="44">
        <v>5920000</v>
      </c>
    </row>
    <row r="13" spans="2:15" ht="12.75" customHeight="1" x14ac:dyDescent="0.2">
      <c r="B13" s="44" t="s">
        <v>64</v>
      </c>
      <c r="C13" s="184">
        <v>414000</v>
      </c>
      <c r="E13" s="44" t="s">
        <v>64</v>
      </c>
      <c r="F13" s="184">
        <v>983250</v>
      </c>
      <c r="H13" s="44" t="s">
        <v>61</v>
      </c>
      <c r="I13" s="183">
        <v>1413000</v>
      </c>
      <c r="K13" s="44" t="s">
        <v>65</v>
      </c>
      <c r="L13" s="44">
        <v>3912500</v>
      </c>
    </row>
    <row r="14" spans="2:15" ht="12.75" customHeight="1" x14ac:dyDescent="0.2">
      <c r="B14" s="44" t="s">
        <v>66</v>
      </c>
      <c r="C14" s="183">
        <v>305000</v>
      </c>
      <c r="E14" s="44" t="s">
        <v>66</v>
      </c>
      <c r="F14" s="183">
        <v>865000</v>
      </c>
      <c r="H14" s="44" t="s">
        <v>64</v>
      </c>
      <c r="I14" s="184">
        <v>1034750</v>
      </c>
      <c r="K14" s="44" t="s">
        <v>67</v>
      </c>
      <c r="L14" s="44">
        <v>3011500</v>
      </c>
    </row>
    <row r="15" spans="2:15" ht="12.75" customHeight="1" x14ac:dyDescent="0.2">
      <c r="B15" s="44" t="s">
        <v>68</v>
      </c>
      <c r="C15" s="185">
        <v>296000</v>
      </c>
      <c r="E15" s="44" t="s">
        <v>68</v>
      </c>
      <c r="F15" s="185">
        <v>1978500</v>
      </c>
      <c r="H15" s="44" t="s">
        <v>66</v>
      </c>
      <c r="I15" s="183">
        <v>4935000</v>
      </c>
      <c r="K15" s="44" t="s">
        <v>69</v>
      </c>
      <c r="L15" s="44">
        <v>2382000</v>
      </c>
    </row>
    <row r="16" spans="2:15" ht="12.75" customHeight="1" x14ac:dyDescent="0.2">
      <c r="B16" s="44" t="s">
        <v>70</v>
      </c>
      <c r="C16" s="183">
        <v>576000</v>
      </c>
      <c r="E16" s="44" t="s">
        <v>70</v>
      </c>
      <c r="F16" s="183">
        <v>1494000</v>
      </c>
      <c r="H16" s="44" t="s">
        <v>68</v>
      </c>
      <c r="I16" s="185">
        <v>2703000</v>
      </c>
      <c r="K16" s="44" t="s">
        <v>71</v>
      </c>
      <c r="L16" s="44">
        <v>1901500</v>
      </c>
    </row>
    <row r="17" spans="2:12" ht="12.75" customHeight="1" x14ac:dyDescent="0.2">
      <c r="B17" s="44" t="s">
        <v>72</v>
      </c>
      <c r="C17" s="183">
        <v>352000</v>
      </c>
      <c r="E17" s="44" t="s">
        <v>72</v>
      </c>
      <c r="F17" s="183">
        <v>698000</v>
      </c>
      <c r="H17" s="44" t="s">
        <v>70</v>
      </c>
      <c r="I17" s="183">
        <v>1644000</v>
      </c>
      <c r="K17" s="44" t="s">
        <v>73</v>
      </c>
      <c r="L17" s="44">
        <v>1871500</v>
      </c>
    </row>
    <row r="18" spans="2:12" ht="12.75" customHeight="1" x14ac:dyDescent="0.2">
      <c r="B18" s="44" t="s">
        <v>74</v>
      </c>
      <c r="C18" s="183">
        <v>55000</v>
      </c>
      <c r="E18" s="44" t="s">
        <v>74</v>
      </c>
      <c r="F18" s="183">
        <v>809000</v>
      </c>
      <c r="H18" s="44" t="s">
        <v>72</v>
      </c>
      <c r="I18" s="183">
        <v>748000</v>
      </c>
      <c r="K18" s="44" t="s">
        <v>75</v>
      </c>
      <c r="L18" s="44">
        <v>1683000</v>
      </c>
    </row>
    <row r="19" spans="2:12" ht="12.75" customHeight="1" x14ac:dyDescent="0.2">
      <c r="B19" s="44" t="s">
        <v>76</v>
      </c>
      <c r="C19" s="184">
        <v>9500</v>
      </c>
      <c r="E19" s="44" t="s">
        <v>76</v>
      </c>
      <c r="F19" s="184">
        <v>66000</v>
      </c>
      <c r="H19" s="44" t="s">
        <v>74</v>
      </c>
      <c r="I19" s="183">
        <v>1487000</v>
      </c>
      <c r="K19" s="44" t="s">
        <v>77</v>
      </c>
      <c r="L19" s="44">
        <v>1362000</v>
      </c>
    </row>
    <row r="20" spans="2:12" ht="12.75" customHeight="1" x14ac:dyDescent="0.2">
      <c r="B20" s="44" t="s">
        <v>78</v>
      </c>
      <c r="C20" s="183">
        <v>50000</v>
      </c>
      <c r="E20" s="44" t="s">
        <v>78</v>
      </c>
      <c r="F20" s="183">
        <v>205000</v>
      </c>
      <c r="H20" s="44" t="s">
        <v>76</v>
      </c>
      <c r="I20" s="184">
        <v>142000</v>
      </c>
      <c r="K20" s="44" t="s">
        <v>79</v>
      </c>
      <c r="L20" s="44">
        <v>1135000</v>
      </c>
    </row>
    <row r="21" spans="2:12" ht="12.75" customHeight="1" x14ac:dyDescent="0.2">
      <c r="B21" s="44" t="s">
        <v>80</v>
      </c>
      <c r="C21" s="184">
        <v>120000</v>
      </c>
      <c r="E21" s="44" t="s">
        <v>80</v>
      </c>
      <c r="F21" s="184">
        <v>588000</v>
      </c>
      <c r="H21" s="44" t="s">
        <v>78</v>
      </c>
      <c r="I21" s="183">
        <v>750000</v>
      </c>
      <c r="K21" s="44" t="s">
        <v>81</v>
      </c>
      <c r="L21" s="44">
        <v>1124000</v>
      </c>
    </row>
    <row r="22" spans="2:12" ht="12.75" customHeight="1" x14ac:dyDescent="0.2">
      <c r="B22" s="44" t="s">
        <v>82</v>
      </c>
      <c r="C22" s="183">
        <v>144000</v>
      </c>
      <c r="E22" s="44" t="s">
        <v>82</v>
      </c>
      <c r="F22" s="183">
        <v>554000</v>
      </c>
      <c r="H22" s="44" t="s">
        <v>80</v>
      </c>
      <c r="I22" s="184">
        <v>930000</v>
      </c>
      <c r="K22" s="44" t="s">
        <v>83</v>
      </c>
      <c r="L22" s="44">
        <v>1061750</v>
      </c>
    </row>
    <row r="23" spans="2:12" ht="12.75" customHeight="1" x14ac:dyDescent="0.2">
      <c r="B23" s="44" t="s">
        <v>84</v>
      </c>
      <c r="C23" s="184">
        <v>102000</v>
      </c>
      <c r="E23" s="44" t="s">
        <v>84</v>
      </c>
      <c r="F23" s="184">
        <v>309000</v>
      </c>
      <c r="H23" s="44" t="s">
        <v>82</v>
      </c>
      <c r="I23" s="183">
        <v>288500</v>
      </c>
      <c r="K23" s="44" t="s">
        <v>85</v>
      </c>
      <c r="L23" s="44">
        <v>930000</v>
      </c>
    </row>
    <row r="24" spans="2:12" ht="12.75" customHeight="1" x14ac:dyDescent="0.2">
      <c r="B24" s="44" t="s">
        <v>86</v>
      </c>
      <c r="C24" s="184">
        <v>192000</v>
      </c>
      <c r="E24" s="44" t="s">
        <v>86</v>
      </c>
      <c r="F24" s="184">
        <v>1020500</v>
      </c>
      <c r="H24" s="44" t="s">
        <v>84</v>
      </c>
      <c r="I24" s="184">
        <v>292000</v>
      </c>
      <c r="K24" s="44" t="s">
        <v>87</v>
      </c>
      <c r="L24" s="44">
        <v>855000</v>
      </c>
    </row>
    <row r="25" spans="2:12" ht="12.75" customHeight="1" x14ac:dyDescent="0.2">
      <c r="B25" s="44" t="s">
        <v>88</v>
      </c>
      <c r="C25" s="183">
        <v>243000</v>
      </c>
      <c r="E25" s="44" t="s">
        <v>88</v>
      </c>
      <c r="F25" s="183">
        <v>889000</v>
      </c>
      <c r="H25" s="44" t="s">
        <v>86</v>
      </c>
      <c r="I25" s="184">
        <v>1354500</v>
      </c>
      <c r="K25" s="44" t="s">
        <v>89</v>
      </c>
      <c r="L25" s="44">
        <v>804000</v>
      </c>
    </row>
    <row r="26" spans="2:12" ht="12.75" customHeight="1" x14ac:dyDescent="0.2">
      <c r="B26" s="44" t="s">
        <v>90</v>
      </c>
      <c r="C26" s="184">
        <v>34000</v>
      </c>
      <c r="E26" s="44" t="s">
        <v>90</v>
      </c>
      <c r="F26" s="184">
        <v>260000</v>
      </c>
      <c r="H26" s="44" t="s">
        <v>88</v>
      </c>
      <c r="I26" s="183">
        <v>1052000</v>
      </c>
      <c r="K26" s="44" t="s">
        <v>91</v>
      </c>
      <c r="L26" s="44">
        <v>700000</v>
      </c>
    </row>
    <row r="27" spans="2:12" ht="12.75" customHeight="1" x14ac:dyDescent="0.2">
      <c r="B27" s="44" t="s">
        <v>92</v>
      </c>
      <c r="C27" s="183">
        <v>180000</v>
      </c>
      <c r="E27" s="44" t="s">
        <v>92</v>
      </c>
      <c r="F27" s="183">
        <v>676000</v>
      </c>
      <c r="H27" s="44" t="s">
        <v>90</v>
      </c>
      <c r="I27" s="184">
        <v>215000</v>
      </c>
      <c r="K27" s="44" t="s">
        <v>93</v>
      </c>
      <c r="L27" s="44">
        <v>631500</v>
      </c>
    </row>
    <row r="28" spans="2:12" ht="12.75" customHeight="1" x14ac:dyDescent="0.2">
      <c r="B28" s="44" t="s">
        <v>94</v>
      </c>
      <c r="C28" s="183">
        <v>385500</v>
      </c>
      <c r="E28" s="44" t="s">
        <v>94</v>
      </c>
      <c r="F28" s="183">
        <v>1367000</v>
      </c>
      <c r="H28" s="44" t="s">
        <v>92</v>
      </c>
      <c r="I28" s="183">
        <v>1397000</v>
      </c>
      <c r="K28" s="44" t="s">
        <v>95</v>
      </c>
      <c r="L28" s="44">
        <v>558000</v>
      </c>
    </row>
    <row r="29" spans="2:12" ht="12.75" customHeight="1" x14ac:dyDescent="0.2">
      <c r="B29" s="44" t="s">
        <v>96</v>
      </c>
      <c r="C29" s="184">
        <v>85000</v>
      </c>
      <c r="E29" s="44" t="s">
        <v>96</v>
      </c>
      <c r="F29" s="184">
        <v>51000</v>
      </c>
      <c r="H29" s="44" t="s">
        <v>94</v>
      </c>
      <c r="I29" s="183">
        <v>1918000</v>
      </c>
      <c r="K29" s="44" t="s">
        <v>97</v>
      </c>
      <c r="L29" s="44">
        <v>439000</v>
      </c>
    </row>
    <row r="30" spans="2:12" ht="12.75" customHeight="1" x14ac:dyDescent="0.2">
      <c r="B30" s="44" t="s">
        <v>98</v>
      </c>
      <c r="C30" s="184">
        <v>287000</v>
      </c>
      <c r="E30" s="44" t="s">
        <v>98</v>
      </c>
      <c r="F30" s="184">
        <v>442500</v>
      </c>
      <c r="H30" s="44" t="s">
        <v>98</v>
      </c>
      <c r="I30" s="184">
        <v>393500</v>
      </c>
      <c r="K30" s="44" t="s">
        <v>99</v>
      </c>
      <c r="L30" s="44">
        <v>329000</v>
      </c>
    </row>
    <row r="31" spans="2:12" ht="12.75" customHeight="1" x14ac:dyDescent="0.2">
      <c r="B31" s="44" t="s">
        <v>100</v>
      </c>
      <c r="C31" s="183">
        <v>30000</v>
      </c>
      <c r="E31" s="44" t="s">
        <v>100</v>
      </c>
      <c r="F31" s="183">
        <v>270000</v>
      </c>
      <c r="H31" s="44" t="s">
        <v>100</v>
      </c>
      <c r="I31" s="183">
        <v>484000</v>
      </c>
      <c r="K31" s="44" t="s">
        <v>101</v>
      </c>
      <c r="L31" s="44">
        <v>261000</v>
      </c>
    </row>
    <row r="32" spans="2:12" ht="12.75" customHeight="1" x14ac:dyDescent="0.2">
      <c r="B32" s="44" t="s">
        <v>102</v>
      </c>
      <c r="C32" s="183">
        <v>190000</v>
      </c>
      <c r="E32" s="44" t="s">
        <v>102</v>
      </c>
      <c r="F32" s="183">
        <v>300000</v>
      </c>
      <c r="H32" s="44" t="s">
        <v>102</v>
      </c>
      <c r="I32" s="183">
        <v>440000</v>
      </c>
      <c r="K32" s="44" t="s">
        <v>103</v>
      </c>
      <c r="L32" s="44">
        <v>210500</v>
      </c>
    </row>
    <row r="33" spans="2:15" ht="12.75" customHeight="1" x14ac:dyDescent="0.2">
      <c r="B33" s="44" t="s">
        <v>104</v>
      </c>
      <c r="C33" s="183">
        <v>145000</v>
      </c>
      <c r="E33" s="44" t="s">
        <v>104</v>
      </c>
      <c r="F33" s="183">
        <v>130000</v>
      </c>
      <c r="H33" s="44" t="s">
        <v>104</v>
      </c>
      <c r="I33" s="183">
        <v>431000</v>
      </c>
      <c r="K33" s="44" t="s">
        <v>105</v>
      </c>
      <c r="L33" s="44">
        <v>173250</v>
      </c>
    </row>
    <row r="34" spans="2:15" ht="12.75" customHeight="1" x14ac:dyDescent="0.2">
      <c r="B34" s="44" t="s">
        <v>106</v>
      </c>
      <c r="C34" s="183">
        <v>165000</v>
      </c>
      <c r="E34" s="44" t="s">
        <v>106</v>
      </c>
      <c r="F34" s="183">
        <v>405000</v>
      </c>
      <c r="H34" s="44" t="s">
        <v>106</v>
      </c>
      <c r="I34" s="183">
        <v>298000</v>
      </c>
      <c r="K34" s="44" t="s">
        <v>107</v>
      </c>
      <c r="L34" s="44">
        <v>102000</v>
      </c>
    </row>
    <row r="35" spans="2:15" ht="12.75" customHeight="1" x14ac:dyDescent="0.2">
      <c r="B35" s="44" t="s">
        <v>108</v>
      </c>
      <c r="C35" s="183">
        <v>583500</v>
      </c>
      <c r="E35" s="44" t="s">
        <v>108</v>
      </c>
      <c r="F35" s="183">
        <v>1022000</v>
      </c>
      <c r="H35" s="44" t="s">
        <v>108</v>
      </c>
      <c r="I35" s="183">
        <v>2183000</v>
      </c>
      <c r="K35" s="44" t="s">
        <v>109</v>
      </c>
      <c r="L35" s="44">
        <v>44000</v>
      </c>
    </row>
    <row r="36" spans="2:15" ht="12.75" customHeight="1" x14ac:dyDescent="0.2">
      <c r="B36" s="44" t="s">
        <v>29</v>
      </c>
      <c r="C36" s="45" t="s">
        <v>29</v>
      </c>
      <c r="F36" s="45"/>
      <c r="I36" s="45"/>
    </row>
    <row r="37" spans="2:15" ht="12.75" customHeight="1" x14ac:dyDescent="0.2">
      <c r="B37" s="186" t="s">
        <v>41</v>
      </c>
      <c r="C37" s="45">
        <f>SUM(C12,C14,C16,C17,C18,C20,C22,C25,C27,C28,C31,C32,C33,C34,C35)</f>
        <v>3567500</v>
      </c>
      <c r="E37" s="186" t="s">
        <v>41</v>
      </c>
      <c r="F37" s="45">
        <f>SUM(F12,F14,F16,F17,F18,F20,F22,F25,F27,F28,F31,F32,F33,F34,F35)</f>
        <v>10442500</v>
      </c>
      <c r="H37" s="186" t="s">
        <v>41</v>
      </c>
      <c r="I37" s="45">
        <f>SUM(I13,I15,I17,I18,I19,I21,I23,I26,I28,I29,I31,I32,I33,I34,I35)</f>
        <v>19468500</v>
      </c>
      <c r="K37" s="186" t="s">
        <v>41</v>
      </c>
      <c r="L37" s="45">
        <v>22621500</v>
      </c>
    </row>
    <row r="38" spans="2:15" ht="12.75" customHeight="1" x14ac:dyDescent="0.2">
      <c r="B38" s="187" t="s">
        <v>42</v>
      </c>
      <c r="C38" s="45">
        <f>SUM(C13,C19,C21,C23,C24,C26,C30,C29,)</f>
        <v>1243500</v>
      </c>
      <c r="E38" s="187" t="s">
        <v>42</v>
      </c>
      <c r="F38" s="45">
        <f>SUM(F13,F19,F21,F23,F24,F26,F30,F29,)</f>
        <v>3720250</v>
      </c>
      <c r="H38" s="187" t="s">
        <v>42</v>
      </c>
      <c r="I38" s="45">
        <f>SUM(I12,I14,I20,I22,I24,I25,I27,I30)</f>
        <v>4562750</v>
      </c>
      <c r="K38" s="187" t="s">
        <v>42</v>
      </c>
      <c r="L38" s="45">
        <v>4868000</v>
      </c>
    </row>
    <row r="39" spans="2:15" ht="12.75" customHeight="1" x14ac:dyDescent="0.2">
      <c r="B39" s="188" t="s">
        <v>43</v>
      </c>
      <c r="C39" s="45">
        <f>C15</f>
        <v>296000</v>
      </c>
      <c r="E39" s="188" t="s">
        <v>43</v>
      </c>
      <c r="F39" s="45">
        <f>F15</f>
        <v>1978500</v>
      </c>
      <c r="H39" s="188" t="s">
        <v>43</v>
      </c>
      <c r="I39" s="45">
        <f>I16</f>
        <v>2703000</v>
      </c>
      <c r="K39" s="188" t="s">
        <v>43</v>
      </c>
      <c r="L39" s="45">
        <v>3912500</v>
      </c>
    </row>
    <row r="40" spans="2:15" ht="12.75" customHeight="1" x14ac:dyDescent="0.2">
      <c r="B40" s="44" t="s">
        <v>110</v>
      </c>
      <c r="C40" s="45">
        <f>SUM(C37:C39)</f>
        <v>5107000</v>
      </c>
      <c r="E40" s="44" t="s">
        <v>110</v>
      </c>
      <c r="F40" s="45">
        <f>SUM(F37:F39)</f>
        <v>16141250</v>
      </c>
      <c r="H40" s="44" t="s">
        <v>110</v>
      </c>
      <c r="I40" s="45">
        <f>SUM(I37:I39)</f>
        <v>26734250</v>
      </c>
      <c r="K40" s="44" t="s">
        <v>110</v>
      </c>
      <c r="L40" s="45">
        <f>SUM(L37:L39)</f>
        <v>31402000</v>
      </c>
    </row>
    <row r="41" spans="2:15" ht="12.75" customHeight="1" x14ac:dyDescent="0.2">
      <c r="C41" s="45"/>
      <c r="F41" s="45"/>
      <c r="I41" s="45"/>
    </row>
    <row r="42" spans="2:15" ht="12.75" customHeight="1" x14ac:dyDescent="0.2">
      <c r="B42" s="44" t="s">
        <v>111</v>
      </c>
      <c r="C42" s="45">
        <f>'AVRIL 23'!$AA$13</f>
        <v>565500</v>
      </c>
      <c r="E42" s="44" t="s">
        <v>111</v>
      </c>
      <c r="F42" s="45">
        <f>'MAI 23'!$AB$34</f>
        <v>1790000</v>
      </c>
      <c r="H42" s="44" t="s">
        <v>111</v>
      </c>
      <c r="I42" s="45">
        <f>'JUIN 23'!$AO$33</f>
        <v>5082000</v>
      </c>
      <c r="K42" s="44" t="s">
        <v>111</v>
      </c>
      <c r="L42" s="45">
        <f>'JUILLET 23'!$AO$34</f>
        <v>2004000</v>
      </c>
    </row>
    <row r="43" spans="2:15" ht="12.75" customHeight="1" x14ac:dyDescent="0.2">
      <c r="B43" s="189" t="s">
        <v>112</v>
      </c>
      <c r="C43" s="45">
        <f>C40-C42-C45</f>
        <v>1014200</v>
      </c>
      <c r="E43" s="189" t="s">
        <v>112</v>
      </c>
      <c r="F43" s="45">
        <f>F40-F42-F45</f>
        <v>2126200</v>
      </c>
      <c r="H43" s="189" t="s">
        <v>112</v>
      </c>
      <c r="I43" s="45">
        <f>I40-I42-I45</f>
        <v>1181250</v>
      </c>
      <c r="K43" s="189" t="s">
        <v>112</v>
      </c>
      <c r="L43" s="45">
        <f>L40-L42-L45</f>
        <v>576250</v>
      </c>
    </row>
    <row r="44" spans="2:15" ht="12.75" customHeight="1" x14ac:dyDescent="0.2">
      <c r="C44" s="45"/>
      <c r="F44" s="45"/>
      <c r="I44" s="45"/>
      <c r="L44" s="45"/>
    </row>
    <row r="45" spans="2:15" ht="12.75" customHeight="1" x14ac:dyDescent="0.2">
      <c r="B45" s="44" t="s">
        <v>113</v>
      </c>
      <c r="C45" s="45">
        <f>'AVRIL 23'!$B$15</f>
        <v>3527300</v>
      </c>
      <c r="E45" s="44" t="s">
        <v>113</v>
      </c>
      <c r="F45" s="45">
        <f>'MAI 23'!$B$36</f>
        <v>12225050</v>
      </c>
      <c r="H45" s="44" t="s">
        <v>113</v>
      </c>
      <c r="I45" s="45">
        <f>'JUIN 23'!$B$36</f>
        <v>20471000</v>
      </c>
      <c r="K45" s="44" t="s">
        <v>113</v>
      </c>
      <c r="L45" s="45">
        <f>'JUILLET 23'!$C$34</f>
        <v>28821750</v>
      </c>
      <c r="N45" s="44" t="s">
        <v>113</v>
      </c>
      <c r="O45" s="190">
        <f>'AOUT 23'!$B$37</f>
        <v>7057250</v>
      </c>
    </row>
    <row r="46" spans="2:15" ht="12.75" customHeight="1" x14ac:dyDescent="0.2">
      <c r="C46" s="45"/>
      <c r="F46" s="45"/>
      <c r="I46" s="45"/>
    </row>
    <row r="47" spans="2:15" ht="12.75" customHeight="1" x14ac:dyDescent="0.2">
      <c r="B47" s="44" t="s">
        <v>114</v>
      </c>
      <c r="C47" s="191">
        <f>C43/C40</f>
        <v>0.19859017035441551</v>
      </c>
      <c r="E47" s="44" t="s">
        <v>114</v>
      </c>
      <c r="F47" s="191">
        <f>F43/F40</f>
        <v>0.13172461860140944</v>
      </c>
      <c r="H47" s="44" t="s">
        <v>114</v>
      </c>
      <c r="I47" s="191">
        <f>I43/I40</f>
        <v>4.4184893909498119E-2</v>
      </c>
      <c r="K47" s="44" t="s">
        <v>114</v>
      </c>
      <c r="L47" s="191">
        <f>L43/L40</f>
        <v>1.8350741990955991E-2</v>
      </c>
    </row>
    <row r="48" spans="2:15" ht="12.75" customHeight="1" x14ac:dyDescent="0.2">
      <c r="C48" s="45"/>
      <c r="F48" s="45"/>
      <c r="I48" s="45"/>
    </row>
    <row r="49" spans="3:9" ht="12.75" customHeight="1" x14ac:dyDescent="0.2">
      <c r="C49" s="45"/>
      <c r="F49" s="45"/>
      <c r="I49" s="45"/>
    </row>
    <row r="50" spans="3:9" ht="12.75" customHeight="1" x14ac:dyDescent="0.2">
      <c r="C50" s="45"/>
      <c r="F50" s="45"/>
      <c r="I50" s="45"/>
    </row>
    <row r="51" spans="3:9" ht="12.75" customHeight="1" x14ac:dyDescent="0.2">
      <c r="C51" s="45"/>
      <c r="F51" s="45"/>
      <c r="I51" s="45"/>
    </row>
    <row r="52" spans="3:9" ht="12.75" customHeight="1" x14ac:dyDescent="0.2">
      <c r="C52" s="45"/>
      <c r="F52" s="45"/>
      <c r="I52" s="45"/>
    </row>
    <row r="53" spans="3:9" ht="12.75" customHeight="1" x14ac:dyDescent="0.2">
      <c r="C53" s="45"/>
      <c r="F53" s="45"/>
      <c r="I53" s="45"/>
    </row>
    <row r="54" spans="3:9" ht="12.75" customHeight="1" x14ac:dyDescent="0.2">
      <c r="C54" s="45"/>
      <c r="F54" s="45"/>
      <c r="I54" s="45"/>
    </row>
    <row r="55" spans="3:9" ht="12.75" customHeight="1" x14ac:dyDescent="0.2">
      <c r="C55" s="45"/>
      <c r="F55" s="45"/>
      <c r="I55" s="45"/>
    </row>
    <row r="56" spans="3:9" ht="12.75" customHeight="1" x14ac:dyDescent="0.2">
      <c r="C56" s="45"/>
      <c r="F56" s="45"/>
      <c r="I56" s="45"/>
    </row>
    <row r="57" spans="3:9" ht="12.75" customHeight="1" x14ac:dyDescent="0.2">
      <c r="C57" s="45"/>
      <c r="F57" s="45"/>
      <c r="I57" s="45"/>
    </row>
    <row r="58" spans="3:9" ht="12.75" customHeight="1" x14ac:dyDescent="0.2">
      <c r="C58" s="45"/>
      <c r="F58" s="45"/>
      <c r="I58" s="45"/>
    </row>
    <row r="59" spans="3:9" ht="12.75" customHeight="1" x14ac:dyDescent="0.2">
      <c r="C59" s="45"/>
      <c r="F59" s="45"/>
      <c r="I59" s="45"/>
    </row>
    <row r="60" spans="3:9" ht="12.75" customHeight="1" x14ac:dyDescent="0.2">
      <c r="C60" s="45"/>
      <c r="F60" s="45"/>
      <c r="I60" s="45"/>
    </row>
    <row r="61" spans="3:9" ht="12.75" customHeight="1" x14ac:dyDescent="0.2">
      <c r="C61" s="45"/>
      <c r="F61" s="45"/>
      <c r="I61" s="45"/>
    </row>
    <row r="62" spans="3:9" ht="12.75" customHeight="1" x14ac:dyDescent="0.2">
      <c r="C62" s="45"/>
      <c r="F62" s="45"/>
      <c r="I62" s="45"/>
    </row>
    <row r="63" spans="3:9" ht="12.75" customHeight="1" x14ac:dyDescent="0.2">
      <c r="C63" s="45"/>
      <c r="F63" s="45"/>
      <c r="I63" s="45"/>
    </row>
    <row r="64" spans="3:9" ht="12.75" customHeight="1" x14ac:dyDescent="0.2">
      <c r="C64" s="45"/>
      <c r="F64" s="45"/>
      <c r="I64" s="45"/>
    </row>
    <row r="65" spans="3:9" ht="12.75" customHeight="1" x14ac:dyDescent="0.2">
      <c r="C65" s="45"/>
      <c r="F65" s="45"/>
      <c r="I65" s="45"/>
    </row>
    <row r="66" spans="3:9" ht="12.75" customHeight="1" x14ac:dyDescent="0.2">
      <c r="C66" s="45"/>
      <c r="F66" s="45"/>
      <c r="I66" s="45"/>
    </row>
    <row r="67" spans="3:9" ht="12.75" customHeight="1" x14ac:dyDescent="0.2">
      <c r="C67" s="45"/>
      <c r="F67" s="45"/>
      <c r="I67" s="45"/>
    </row>
    <row r="68" spans="3:9" ht="12.75" customHeight="1" x14ac:dyDescent="0.2">
      <c r="C68" s="45"/>
      <c r="F68" s="45"/>
      <c r="I68" s="45"/>
    </row>
    <row r="69" spans="3:9" ht="12.75" customHeight="1" x14ac:dyDescent="0.2">
      <c r="C69" s="45"/>
      <c r="F69" s="45"/>
      <c r="I69" s="45"/>
    </row>
    <row r="70" spans="3:9" ht="12.75" customHeight="1" x14ac:dyDescent="0.2">
      <c r="C70" s="45"/>
      <c r="F70" s="45"/>
      <c r="I70" s="45"/>
    </row>
    <row r="71" spans="3:9" ht="12.75" customHeight="1" x14ac:dyDescent="0.2">
      <c r="C71" s="45"/>
      <c r="F71" s="45"/>
      <c r="I71" s="45"/>
    </row>
    <row r="72" spans="3:9" ht="12.75" customHeight="1" x14ac:dyDescent="0.2">
      <c r="C72" s="45"/>
      <c r="F72" s="45"/>
      <c r="I72" s="45"/>
    </row>
    <row r="73" spans="3:9" ht="12.75" customHeight="1" x14ac:dyDescent="0.2">
      <c r="C73" s="45"/>
      <c r="F73" s="45"/>
      <c r="I73" s="45"/>
    </row>
    <row r="74" spans="3:9" ht="12.75" customHeight="1" x14ac:dyDescent="0.2">
      <c r="C74" s="45"/>
      <c r="F74" s="45"/>
      <c r="I74" s="45"/>
    </row>
    <row r="75" spans="3:9" ht="12.75" customHeight="1" x14ac:dyDescent="0.2">
      <c r="C75" s="45"/>
      <c r="F75" s="45"/>
      <c r="I75" s="45"/>
    </row>
    <row r="76" spans="3:9" ht="12.75" customHeight="1" x14ac:dyDescent="0.2">
      <c r="C76" s="45"/>
      <c r="F76" s="45"/>
      <c r="I76" s="45"/>
    </row>
    <row r="77" spans="3:9" ht="12.75" customHeight="1" x14ac:dyDescent="0.2">
      <c r="C77" s="45"/>
      <c r="F77" s="45"/>
      <c r="I77" s="45"/>
    </row>
    <row r="78" spans="3:9" ht="12.75" customHeight="1" x14ac:dyDescent="0.2">
      <c r="C78" s="45"/>
      <c r="F78" s="45"/>
      <c r="I78" s="45"/>
    </row>
    <row r="79" spans="3:9" ht="12.75" customHeight="1" x14ac:dyDescent="0.2">
      <c r="C79" s="45"/>
      <c r="F79" s="45"/>
      <c r="I79" s="45"/>
    </row>
    <row r="80" spans="3:9" ht="12.75" customHeight="1" x14ac:dyDescent="0.2">
      <c r="C80" s="45"/>
      <c r="F80" s="45"/>
      <c r="I80" s="45"/>
    </row>
    <row r="81" spans="3:9" ht="12.75" customHeight="1" x14ac:dyDescent="0.2">
      <c r="C81" s="45"/>
      <c r="F81" s="45"/>
      <c r="I81" s="45"/>
    </row>
    <row r="82" spans="3:9" ht="12.75" customHeight="1" x14ac:dyDescent="0.2">
      <c r="C82" s="45"/>
      <c r="F82" s="45"/>
      <c r="I82" s="45"/>
    </row>
    <row r="83" spans="3:9" ht="12.75" customHeight="1" x14ac:dyDescent="0.2">
      <c r="C83" s="45"/>
      <c r="F83" s="45"/>
      <c r="I83" s="45"/>
    </row>
    <row r="84" spans="3:9" ht="12.75" customHeight="1" x14ac:dyDescent="0.2">
      <c r="C84" s="45"/>
      <c r="F84" s="45"/>
      <c r="I84" s="45"/>
    </row>
    <row r="85" spans="3:9" ht="12.75" customHeight="1" x14ac:dyDescent="0.2">
      <c r="C85" s="45"/>
      <c r="F85" s="45"/>
      <c r="I85" s="45"/>
    </row>
    <row r="86" spans="3:9" ht="12.75" customHeight="1" x14ac:dyDescent="0.2">
      <c r="C86" s="45"/>
      <c r="F86" s="45"/>
      <c r="I86" s="45"/>
    </row>
    <row r="87" spans="3:9" ht="12.75" customHeight="1" x14ac:dyDescent="0.2">
      <c r="C87" s="45"/>
      <c r="F87" s="45"/>
      <c r="I87" s="45"/>
    </row>
    <row r="88" spans="3:9" ht="12.75" customHeight="1" x14ac:dyDescent="0.2">
      <c r="C88" s="45"/>
      <c r="F88" s="45"/>
      <c r="I88" s="45"/>
    </row>
    <row r="89" spans="3:9" ht="12.75" customHeight="1" x14ac:dyDescent="0.2">
      <c r="C89" s="45"/>
      <c r="F89" s="45"/>
      <c r="I89" s="45"/>
    </row>
    <row r="90" spans="3:9" ht="12.75" customHeight="1" x14ac:dyDescent="0.2">
      <c r="C90" s="45"/>
      <c r="F90" s="45"/>
      <c r="I90" s="45"/>
    </row>
    <row r="91" spans="3:9" ht="12.75" customHeight="1" x14ac:dyDescent="0.2">
      <c r="C91" s="45"/>
      <c r="F91" s="45"/>
      <c r="I91" s="45"/>
    </row>
    <row r="92" spans="3:9" ht="12.75" customHeight="1" x14ac:dyDescent="0.2">
      <c r="C92" s="45"/>
      <c r="F92" s="45"/>
      <c r="I92" s="45"/>
    </row>
    <row r="93" spans="3:9" ht="12.75" customHeight="1" x14ac:dyDescent="0.2">
      <c r="C93" s="45"/>
      <c r="F93" s="45"/>
      <c r="I93" s="45"/>
    </row>
    <row r="94" spans="3:9" ht="12.75" customHeight="1" x14ac:dyDescent="0.2">
      <c r="C94" s="45"/>
      <c r="F94" s="45"/>
      <c r="I94" s="45"/>
    </row>
    <row r="95" spans="3:9" ht="12.75" customHeight="1" x14ac:dyDescent="0.2">
      <c r="C95" s="45"/>
      <c r="F95" s="45"/>
      <c r="I95" s="45"/>
    </row>
    <row r="96" spans="3:9" ht="12.75" customHeight="1" x14ac:dyDescent="0.2">
      <c r="C96" s="45"/>
      <c r="F96" s="45"/>
      <c r="I96" s="45"/>
    </row>
    <row r="97" spans="3:9" ht="12.75" customHeight="1" x14ac:dyDescent="0.2">
      <c r="C97" s="45"/>
      <c r="F97" s="45"/>
      <c r="I97" s="45"/>
    </row>
    <row r="98" spans="3:9" ht="12.75" customHeight="1" x14ac:dyDescent="0.2">
      <c r="C98" s="45"/>
      <c r="F98" s="45"/>
      <c r="I98" s="45"/>
    </row>
    <row r="99" spans="3:9" ht="12.75" customHeight="1" x14ac:dyDescent="0.2">
      <c r="C99" s="45"/>
      <c r="F99" s="45"/>
      <c r="I99" s="45"/>
    </row>
    <row r="100" spans="3:9" ht="12.75" customHeight="1" x14ac:dyDescent="0.2">
      <c r="C100" s="45"/>
      <c r="F100" s="45"/>
      <c r="I100" s="45"/>
    </row>
    <row r="101" spans="3:9" ht="12.75" customHeight="1" x14ac:dyDescent="0.2">
      <c r="C101" s="45"/>
      <c r="F101" s="45"/>
      <c r="I101" s="45"/>
    </row>
    <row r="102" spans="3:9" ht="12.75" customHeight="1" x14ac:dyDescent="0.2">
      <c r="C102" s="45"/>
      <c r="F102" s="45"/>
      <c r="I102" s="45"/>
    </row>
    <row r="103" spans="3:9" ht="12.75" customHeight="1" x14ac:dyDescent="0.2">
      <c r="C103" s="45"/>
      <c r="F103" s="45"/>
      <c r="I103" s="45"/>
    </row>
    <row r="104" spans="3:9" ht="12.75" customHeight="1" x14ac:dyDescent="0.2">
      <c r="C104" s="45"/>
      <c r="F104" s="45"/>
      <c r="I104" s="45"/>
    </row>
    <row r="105" spans="3:9" ht="12.75" customHeight="1" x14ac:dyDescent="0.2">
      <c r="C105" s="45"/>
      <c r="F105" s="45"/>
      <c r="I105" s="45"/>
    </row>
    <row r="106" spans="3:9" ht="12.75" customHeight="1" x14ac:dyDescent="0.2">
      <c r="C106" s="45"/>
      <c r="F106" s="45"/>
      <c r="I106" s="45"/>
    </row>
    <row r="107" spans="3:9" ht="12.75" customHeight="1" x14ac:dyDescent="0.2">
      <c r="C107" s="45"/>
      <c r="F107" s="45"/>
      <c r="I107" s="45"/>
    </row>
    <row r="108" spans="3:9" ht="12.75" customHeight="1" x14ac:dyDescent="0.2">
      <c r="C108" s="45"/>
      <c r="F108" s="45"/>
      <c r="I108" s="45"/>
    </row>
    <row r="109" spans="3:9" ht="12.75" customHeight="1" x14ac:dyDescent="0.2">
      <c r="C109" s="45"/>
      <c r="F109" s="45"/>
      <c r="I109" s="45"/>
    </row>
    <row r="110" spans="3:9" ht="12.75" customHeight="1" x14ac:dyDescent="0.2">
      <c r="C110" s="45"/>
      <c r="F110" s="45"/>
      <c r="I110" s="45"/>
    </row>
    <row r="111" spans="3:9" ht="12.75" customHeight="1" x14ac:dyDescent="0.2">
      <c r="C111" s="45"/>
      <c r="F111" s="45"/>
      <c r="I111" s="45"/>
    </row>
    <row r="112" spans="3:9" ht="12.75" customHeight="1" x14ac:dyDescent="0.2">
      <c r="C112" s="45"/>
      <c r="F112" s="45"/>
      <c r="I112" s="45"/>
    </row>
    <row r="113" spans="3:9" ht="12.75" customHeight="1" x14ac:dyDescent="0.2">
      <c r="C113" s="45"/>
      <c r="F113" s="45"/>
      <c r="I113" s="45"/>
    </row>
    <row r="114" spans="3:9" ht="12.75" customHeight="1" x14ac:dyDescent="0.2">
      <c r="C114" s="45"/>
      <c r="F114" s="45"/>
      <c r="I114" s="45"/>
    </row>
    <row r="115" spans="3:9" ht="12.75" customHeight="1" x14ac:dyDescent="0.2">
      <c r="C115" s="45"/>
      <c r="F115" s="45"/>
      <c r="I115" s="45"/>
    </row>
    <row r="116" spans="3:9" ht="12.75" customHeight="1" x14ac:dyDescent="0.2">
      <c r="C116" s="45"/>
      <c r="F116" s="45"/>
      <c r="I116" s="45"/>
    </row>
    <row r="117" spans="3:9" ht="12.75" customHeight="1" x14ac:dyDescent="0.2">
      <c r="C117" s="45"/>
      <c r="F117" s="45"/>
      <c r="I117" s="45"/>
    </row>
    <row r="118" spans="3:9" ht="12.75" customHeight="1" x14ac:dyDescent="0.2">
      <c r="C118" s="45"/>
      <c r="F118" s="45"/>
      <c r="I118" s="45"/>
    </row>
    <row r="119" spans="3:9" ht="12.75" customHeight="1" x14ac:dyDescent="0.2">
      <c r="C119" s="45"/>
      <c r="F119" s="45"/>
      <c r="I119" s="45"/>
    </row>
    <row r="120" spans="3:9" ht="12.75" customHeight="1" x14ac:dyDescent="0.2">
      <c r="C120" s="45"/>
      <c r="F120" s="45"/>
      <c r="I120" s="45"/>
    </row>
    <row r="121" spans="3:9" ht="12.75" customHeight="1" x14ac:dyDescent="0.2">
      <c r="C121" s="45"/>
      <c r="F121" s="45"/>
      <c r="I121" s="45"/>
    </row>
    <row r="122" spans="3:9" ht="12.75" customHeight="1" x14ac:dyDescent="0.2">
      <c r="C122" s="45"/>
      <c r="F122" s="45"/>
      <c r="I122" s="45"/>
    </row>
    <row r="123" spans="3:9" ht="12.75" customHeight="1" x14ac:dyDescent="0.2">
      <c r="C123" s="45"/>
      <c r="F123" s="45"/>
      <c r="I123" s="45"/>
    </row>
    <row r="124" spans="3:9" ht="12.75" customHeight="1" x14ac:dyDescent="0.2">
      <c r="C124" s="45"/>
      <c r="F124" s="45"/>
      <c r="I124" s="45"/>
    </row>
    <row r="125" spans="3:9" ht="12.75" customHeight="1" x14ac:dyDescent="0.2">
      <c r="C125" s="45"/>
      <c r="F125" s="45"/>
      <c r="I125" s="45"/>
    </row>
    <row r="126" spans="3:9" ht="12.75" customHeight="1" x14ac:dyDescent="0.2">
      <c r="C126" s="45"/>
      <c r="F126" s="45"/>
      <c r="I126" s="45"/>
    </row>
    <row r="127" spans="3:9" ht="12.75" customHeight="1" x14ac:dyDescent="0.2">
      <c r="C127" s="45"/>
      <c r="F127" s="45"/>
      <c r="I127" s="45"/>
    </row>
    <row r="128" spans="3:9" ht="12.75" customHeight="1" x14ac:dyDescent="0.2">
      <c r="C128" s="45"/>
      <c r="F128" s="45"/>
      <c r="I128" s="45"/>
    </row>
    <row r="129" spans="3:9" ht="12.75" customHeight="1" x14ac:dyDescent="0.2">
      <c r="C129" s="45"/>
      <c r="F129" s="45"/>
      <c r="I129" s="45"/>
    </row>
    <row r="130" spans="3:9" ht="12.75" customHeight="1" x14ac:dyDescent="0.2">
      <c r="C130" s="45"/>
      <c r="F130" s="45"/>
      <c r="I130" s="45"/>
    </row>
    <row r="131" spans="3:9" ht="12.75" customHeight="1" x14ac:dyDescent="0.2">
      <c r="C131" s="45"/>
      <c r="F131" s="45"/>
      <c r="I131" s="45"/>
    </row>
    <row r="132" spans="3:9" ht="12.75" customHeight="1" x14ac:dyDescent="0.2">
      <c r="C132" s="45"/>
      <c r="F132" s="45"/>
      <c r="I132" s="45"/>
    </row>
    <row r="133" spans="3:9" ht="12.75" customHeight="1" x14ac:dyDescent="0.2">
      <c r="C133" s="45"/>
      <c r="F133" s="45"/>
      <c r="I133" s="45"/>
    </row>
    <row r="134" spans="3:9" ht="12.75" customHeight="1" x14ac:dyDescent="0.2">
      <c r="C134" s="45"/>
      <c r="F134" s="45"/>
      <c r="I134" s="45"/>
    </row>
    <row r="135" spans="3:9" ht="12.75" customHeight="1" x14ac:dyDescent="0.2">
      <c r="C135" s="45"/>
      <c r="F135" s="45"/>
      <c r="I135" s="45"/>
    </row>
    <row r="136" spans="3:9" ht="12.75" customHeight="1" x14ac:dyDescent="0.2">
      <c r="C136" s="45"/>
      <c r="F136" s="45"/>
      <c r="I136" s="45"/>
    </row>
    <row r="137" spans="3:9" ht="12.75" customHeight="1" x14ac:dyDescent="0.2">
      <c r="C137" s="45"/>
      <c r="F137" s="45"/>
      <c r="I137" s="45"/>
    </row>
    <row r="138" spans="3:9" ht="12.75" customHeight="1" x14ac:dyDescent="0.2">
      <c r="C138" s="45"/>
      <c r="F138" s="45"/>
      <c r="I138" s="45"/>
    </row>
    <row r="139" spans="3:9" ht="12.75" customHeight="1" x14ac:dyDescent="0.2">
      <c r="C139" s="45"/>
      <c r="F139" s="45"/>
      <c r="I139" s="45"/>
    </row>
    <row r="140" spans="3:9" ht="12.75" customHeight="1" x14ac:dyDescent="0.2">
      <c r="C140" s="45"/>
      <c r="F140" s="45"/>
      <c r="I140" s="45"/>
    </row>
    <row r="141" spans="3:9" ht="12.75" customHeight="1" x14ac:dyDescent="0.2">
      <c r="C141" s="45"/>
      <c r="F141" s="45"/>
      <c r="I141" s="45"/>
    </row>
    <row r="142" spans="3:9" ht="12.75" customHeight="1" x14ac:dyDescent="0.2">
      <c r="C142" s="45"/>
      <c r="F142" s="45"/>
      <c r="I142" s="45"/>
    </row>
    <row r="143" spans="3:9" ht="12.75" customHeight="1" x14ac:dyDescent="0.2">
      <c r="C143" s="45"/>
      <c r="F143" s="45"/>
      <c r="I143" s="45"/>
    </row>
    <row r="144" spans="3:9" ht="12.75" customHeight="1" x14ac:dyDescent="0.2">
      <c r="C144" s="45"/>
      <c r="F144" s="45"/>
      <c r="I144" s="45"/>
    </row>
    <row r="145" spans="3:9" ht="12.75" customHeight="1" x14ac:dyDescent="0.2">
      <c r="C145" s="45"/>
      <c r="F145" s="45"/>
      <c r="I145" s="45"/>
    </row>
    <row r="146" spans="3:9" ht="12.75" customHeight="1" x14ac:dyDescent="0.2">
      <c r="C146" s="45"/>
      <c r="F146" s="45"/>
      <c r="I146" s="45"/>
    </row>
    <row r="147" spans="3:9" ht="12.75" customHeight="1" x14ac:dyDescent="0.2">
      <c r="C147" s="45"/>
      <c r="F147" s="45"/>
      <c r="I147" s="45"/>
    </row>
    <row r="148" spans="3:9" ht="12.75" customHeight="1" x14ac:dyDescent="0.2">
      <c r="C148" s="45"/>
      <c r="F148" s="45"/>
      <c r="I148" s="45"/>
    </row>
    <row r="149" spans="3:9" ht="12.75" customHeight="1" x14ac:dyDescent="0.2">
      <c r="C149" s="45"/>
      <c r="F149" s="45"/>
      <c r="I149" s="45"/>
    </row>
    <row r="150" spans="3:9" ht="12.75" customHeight="1" x14ac:dyDescent="0.2">
      <c r="C150" s="45"/>
      <c r="F150" s="45"/>
      <c r="I150" s="45"/>
    </row>
    <row r="151" spans="3:9" ht="12.75" customHeight="1" x14ac:dyDescent="0.2">
      <c r="C151" s="45"/>
      <c r="F151" s="45"/>
      <c r="I151" s="45"/>
    </row>
    <row r="152" spans="3:9" ht="12.75" customHeight="1" x14ac:dyDescent="0.2">
      <c r="C152" s="45"/>
      <c r="F152" s="45"/>
      <c r="I152" s="45"/>
    </row>
    <row r="153" spans="3:9" ht="12.75" customHeight="1" x14ac:dyDescent="0.2">
      <c r="C153" s="45"/>
      <c r="F153" s="45"/>
      <c r="I153" s="45"/>
    </row>
    <row r="154" spans="3:9" ht="12.75" customHeight="1" x14ac:dyDescent="0.2">
      <c r="C154" s="45"/>
      <c r="F154" s="45"/>
      <c r="I154" s="45"/>
    </row>
    <row r="155" spans="3:9" ht="12.75" customHeight="1" x14ac:dyDescent="0.2">
      <c r="C155" s="45"/>
      <c r="F155" s="45"/>
      <c r="I155" s="45"/>
    </row>
    <row r="156" spans="3:9" ht="12.75" customHeight="1" x14ac:dyDescent="0.2">
      <c r="C156" s="45"/>
      <c r="F156" s="45"/>
      <c r="I156" s="45"/>
    </row>
    <row r="157" spans="3:9" ht="12.75" customHeight="1" x14ac:dyDescent="0.2">
      <c r="C157" s="45"/>
      <c r="F157" s="45"/>
      <c r="I157" s="45"/>
    </row>
    <row r="158" spans="3:9" ht="12.75" customHeight="1" x14ac:dyDescent="0.2">
      <c r="C158" s="45"/>
      <c r="F158" s="45"/>
      <c r="I158" s="45"/>
    </row>
    <row r="159" spans="3:9" ht="12.75" customHeight="1" x14ac:dyDescent="0.2">
      <c r="C159" s="45"/>
      <c r="F159" s="45"/>
      <c r="I159" s="45"/>
    </row>
    <row r="160" spans="3:9" ht="12.75" customHeight="1" x14ac:dyDescent="0.2">
      <c r="C160" s="45"/>
      <c r="F160" s="45"/>
      <c r="I160" s="45"/>
    </row>
    <row r="161" spans="3:9" ht="12.75" customHeight="1" x14ac:dyDescent="0.2">
      <c r="C161" s="45"/>
      <c r="F161" s="45"/>
      <c r="I161" s="45"/>
    </row>
    <row r="162" spans="3:9" ht="12.75" customHeight="1" x14ac:dyDescent="0.2">
      <c r="C162" s="45"/>
      <c r="F162" s="45"/>
      <c r="I162" s="45"/>
    </row>
    <row r="163" spans="3:9" ht="12.75" customHeight="1" x14ac:dyDescent="0.2">
      <c r="C163" s="45"/>
      <c r="F163" s="45"/>
      <c r="I163" s="45"/>
    </row>
    <row r="164" spans="3:9" ht="12.75" customHeight="1" x14ac:dyDescent="0.2">
      <c r="C164" s="45"/>
      <c r="F164" s="45"/>
      <c r="I164" s="45"/>
    </row>
    <row r="165" spans="3:9" ht="12.75" customHeight="1" x14ac:dyDescent="0.2">
      <c r="C165" s="45"/>
      <c r="F165" s="45"/>
      <c r="I165" s="45"/>
    </row>
    <row r="166" spans="3:9" ht="12.75" customHeight="1" x14ac:dyDescent="0.2">
      <c r="C166" s="45"/>
      <c r="F166" s="45"/>
      <c r="I166" s="45"/>
    </row>
    <row r="167" spans="3:9" ht="12.75" customHeight="1" x14ac:dyDescent="0.2">
      <c r="C167" s="45"/>
      <c r="F167" s="45"/>
      <c r="I167" s="45"/>
    </row>
    <row r="168" spans="3:9" ht="12.75" customHeight="1" x14ac:dyDescent="0.2">
      <c r="C168" s="45"/>
      <c r="F168" s="45"/>
      <c r="I168" s="45"/>
    </row>
    <row r="169" spans="3:9" ht="12.75" customHeight="1" x14ac:dyDescent="0.2">
      <c r="C169" s="45"/>
      <c r="F169" s="45"/>
      <c r="I169" s="45"/>
    </row>
    <row r="170" spans="3:9" ht="12.75" customHeight="1" x14ac:dyDescent="0.2">
      <c r="C170" s="45"/>
      <c r="F170" s="45"/>
      <c r="I170" s="45"/>
    </row>
    <row r="171" spans="3:9" ht="12.75" customHeight="1" x14ac:dyDescent="0.2">
      <c r="C171" s="45"/>
      <c r="F171" s="45"/>
      <c r="I171" s="45"/>
    </row>
    <row r="172" spans="3:9" ht="12.75" customHeight="1" x14ac:dyDescent="0.2">
      <c r="C172" s="45"/>
      <c r="F172" s="45"/>
      <c r="I172" s="45"/>
    </row>
    <row r="173" spans="3:9" ht="12.75" customHeight="1" x14ac:dyDescent="0.2">
      <c r="C173" s="45"/>
      <c r="F173" s="45"/>
      <c r="I173" s="45"/>
    </row>
    <row r="174" spans="3:9" ht="12.75" customHeight="1" x14ac:dyDescent="0.2">
      <c r="C174" s="45"/>
      <c r="F174" s="45"/>
      <c r="I174" s="45"/>
    </row>
    <row r="175" spans="3:9" ht="12.75" customHeight="1" x14ac:dyDescent="0.2">
      <c r="C175" s="45"/>
      <c r="F175" s="45"/>
      <c r="I175" s="45"/>
    </row>
    <row r="176" spans="3:9" ht="12.75" customHeight="1" x14ac:dyDescent="0.2">
      <c r="C176" s="45"/>
      <c r="F176" s="45"/>
      <c r="I176" s="45"/>
    </row>
    <row r="177" spans="3:9" ht="12.75" customHeight="1" x14ac:dyDescent="0.2">
      <c r="C177" s="45"/>
      <c r="F177" s="45"/>
      <c r="I177" s="45"/>
    </row>
    <row r="178" spans="3:9" ht="12.75" customHeight="1" x14ac:dyDescent="0.2">
      <c r="C178" s="45"/>
      <c r="F178" s="45"/>
      <c r="I178" s="45"/>
    </row>
    <row r="179" spans="3:9" ht="12.75" customHeight="1" x14ac:dyDescent="0.2">
      <c r="C179" s="45"/>
      <c r="F179" s="45"/>
      <c r="I179" s="45"/>
    </row>
    <row r="180" spans="3:9" ht="12.75" customHeight="1" x14ac:dyDescent="0.2">
      <c r="C180" s="45"/>
      <c r="F180" s="45"/>
      <c r="I180" s="45"/>
    </row>
    <row r="181" spans="3:9" ht="12.75" customHeight="1" x14ac:dyDescent="0.2">
      <c r="C181" s="45"/>
      <c r="F181" s="45"/>
      <c r="I181" s="45"/>
    </row>
    <row r="182" spans="3:9" ht="12.75" customHeight="1" x14ac:dyDescent="0.2">
      <c r="C182" s="45"/>
      <c r="F182" s="45"/>
      <c r="I182" s="45"/>
    </row>
    <row r="183" spans="3:9" ht="12.75" customHeight="1" x14ac:dyDescent="0.2">
      <c r="C183" s="45"/>
      <c r="F183" s="45"/>
      <c r="I183" s="45"/>
    </row>
    <row r="184" spans="3:9" ht="12.75" customHeight="1" x14ac:dyDescent="0.2">
      <c r="C184" s="45"/>
      <c r="F184" s="45"/>
      <c r="I184" s="45"/>
    </row>
    <row r="185" spans="3:9" ht="12.75" customHeight="1" x14ac:dyDescent="0.2">
      <c r="C185" s="45"/>
      <c r="F185" s="45"/>
      <c r="I185" s="45"/>
    </row>
    <row r="186" spans="3:9" ht="12.75" customHeight="1" x14ac:dyDescent="0.2">
      <c r="C186" s="45"/>
      <c r="F186" s="45"/>
      <c r="I186" s="45"/>
    </row>
    <row r="187" spans="3:9" ht="12.75" customHeight="1" x14ac:dyDescent="0.2">
      <c r="C187" s="45"/>
      <c r="F187" s="45"/>
      <c r="I187" s="45"/>
    </row>
    <row r="188" spans="3:9" ht="12.75" customHeight="1" x14ac:dyDescent="0.2">
      <c r="C188" s="45"/>
      <c r="F188" s="45"/>
      <c r="I188" s="45"/>
    </row>
    <row r="189" spans="3:9" ht="12.75" customHeight="1" x14ac:dyDescent="0.2">
      <c r="C189" s="45"/>
      <c r="F189" s="45"/>
      <c r="I189" s="45"/>
    </row>
    <row r="190" spans="3:9" ht="12.75" customHeight="1" x14ac:dyDescent="0.2">
      <c r="C190" s="45"/>
      <c r="F190" s="45"/>
      <c r="I190" s="45"/>
    </row>
    <row r="191" spans="3:9" ht="12.75" customHeight="1" x14ac:dyDescent="0.2">
      <c r="C191" s="45"/>
      <c r="F191" s="45"/>
      <c r="I191" s="45"/>
    </row>
    <row r="192" spans="3:9" ht="12.75" customHeight="1" x14ac:dyDescent="0.2">
      <c r="C192" s="45"/>
      <c r="F192" s="45"/>
      <c r="I192" s="45"/>
    </row>
    <row r="193" spans="3:9" ht="12.75" customHeight="1" x14ac:dyDescent="0.2">
      <c r="C193" s="45"/>
      <c r="F193" s="45"/>
      <c r="I193" s="45"/>
    </row>
    <row r="194" spans="3:9" ht="12.75" customHeight="1" x14ac:dyDescent="0.2">
      <c r="C194" s="45"/>
      <c r="F194" s="45"/>
      <c r="I194" s="45"/>
    </row>
    <row r="195" spans="3:9" ht="12.75" customHeight="1" x14ac:dyDescent="0.2">
      <c r="C195" s="45"/>
      <c r="F195" s="45"/>
      <c r="I195" s="45"/>
    </row>
    <row r="196" spans="3:9" ht="12.75" customHeight="1" x14ac:dyDescent="0.2">
      <c r="C196" s="45"/>
      <c r="F196" s="45"/>
      <c r="I196" s="45"/>
    </row>
    <row r="197" spans="3:9" ht="12.75" customHeight="1" x14ac:dyDescent="0.2">
      <c r="C197" s="45"/>
      <c r="F197" s="45"/>
      <c r="I197" s="45"/>
    </row>
    <row r="198" spans="3:9" ht="12.75" customHeight="1" x14ac:dyDescent="0.2">
      <c r="C198" s="45"/>
      <c r="F198" s="45"/>
      <c r="I198" s="45"/>
    </row>
    <row r="199" spans="3:9" ht="12.75" customHeight="1" x14ac:dyDescent="0.2">
      <c r="C199" s="45"/>
      <c r="F199" s="45"/>
      <c r="I199" s="45"/>
    </row>
    <row r="200" spans="3:9" ht="12.75" customHeight="1" x14ac:dyDescent="0.2">
      <c r="C200" s="45"/>
      <c r="F200" s="45"/>
      <c r="I200" s="45"/>
    </row>
    <row r="201" spans="3:9" ht="12.75" customHeight="1" x14ac:dyDescent="0.2">
      <c r="C201" s="45"/>
      <c r="F201" s="45"/>
      <c r="I201" s="45"/>
    </row>
    <row r="202" spans="3:9" ht="12.75" customHeight="1" x14ac:dyDescent="0.2">
      <c r="C202" s="45"/>
      <c r="F202" s="45"/>
      <c r="I202" s="45"/>
    </row>
    <row r="203" spans="3:9" ht="12.75" customHeight="1" x14ac:dyDescent="0.2">
      <c r="C203" s="45"/>
      <c r="F203" s="45"/>
      <c r="I203" s="45"/>
    </row>
    <row r="204" spans="3:9" ht="12.75" customHeight="1" x14ac:dyDescent="0.2">
      <c r="C204" s="45"/>
      <c r="F204" s="45"/>
      <c r="I204" s="45"/>
    </row>
    <row r="205" spans="3:9" ht="12.75" customHeight="1" x14ac:dyDescent="0.2">
      <c r="C205" s="45"/>
      <c r="F205" s="45"/>
      <c r="I205" s="45"/>
    </row>
    <row r="206" spans="3:9" ht="12.75" customHeight="1" x14ac:dyDescent="0.2">
      <c r="C206" s="45"/>
      <c r="F206" s="45"/>
      <c r="I206" s="45"/>
    </row>
    <row r="207" spans="3:9" ht="12.75" customHeight="1" x14ac:dyDescent="0.2">
      <c r="C207" s="45"/>
      <c r="F207" s="45"/>
      <c r="I207" s="45"/>
    </row>
    <row r="208" spans="3:9" ht="12.75" customHeight="1" x14ac:dyDescent="0.2">
      <c r="C208" s="45"/>
      <c r="F208" s="45"/>
      <c r="I208" s="45"/>
    </row>
    <row r="209" spans="3:9" ht="12.75" customHeight="1" x14ac:dyDescent="0.2">
      <c r="C209" s="45"/>
      <c r="F209" s="45"/>
      <c r="I209" s="45"/>
    </row>
    <row r="210" spans="3:9" ht="12.75" customHeight="1" x14ac:dyDescent="0.2">
      <c r="C210" s="45"/>
      <c r="F210" s="45"/>
      <c r="I210" s="45"/>
    </row>
    <row r="211" spans="3:9" ht="12.75" customHeight="1" x14ac:dyDescent="0.2">
      <c r="C211" s="45"/>
      <c r="F211" s="45"/>
      <c r="I211" s="45"/>
    </row>
    <row r="212" spans="3:9" ht="12.75" customHeight="1" x14ac:dyDescent="0.2">
      <c r="C212" s="45"/>
      <c r="F212" s="45"/>
      <c r="I212" s="45"/>
    </row>
    <row r="213" spans="3:9" ht="12.75" customHeight="1" x14ac:dyDescent="0.2">
      <c r="C213" s="45"/>
      <c r="F213" s="45"/>
      <c r="I213" s="45"/>
    </row>
    <row r="214" spans="3:9" ht="12.75" customHeight="1" x14ac:dyDescent="0.2">
      <c r="C214" s="45"/>
      <c r="F214" s="45"/>
      <c r="I214" s="45"/>
    </row>
    <row r="215" spans="3:9" ht="12.75" customHeight="1" x14ac:dyDescent="0.2">
      <c r="C215" s="45"/>
      <c r="F215" s="45"/>
      <c r="I215" s="45"/>
    </row>
    <row r="216" spans="3:9" ht="12.75" customHeight="1" x14ac:dyDescent="0.2">
      <c r="C216" s="45"/>
      <c r="F216" s="45"/>
      <c r="I216" s="45"/>
    </row>
    <row r="217" spans="3:9" ht="12.75" customHeight="1" x14ac:dyDescent="0.2">
      <c r="C217" s="45"/>
      <c r="F217" s="45"/>
      <c r="I217" s="45"/>
    </row>
    <row r="218" spans="3:9" ht="12.75" customHeight="1" x14ac:dyDescent="0.2">
      <c r="C218" s="45"/>
      <c r="F218" s="45"/>
      <c r="I218" s="45"/>
    </row>
    <row r="219" spans="3:9" ht="12.75" customHeight="1" x14ac:dyDescent="0.2">
      <c r="C219" s="45"/>
      <c r="F219" s="45"/>
      <c r="I219" s="45"/>
    </row>
    <row r="220" spans="3:9" ht="12.75" customHeight="1" x14ac:dyDescent="0.2">
      <c r="C220" s="45"/>
      <c r="F220" s="45"/>
      <c r="I220" s="45"/>
    </row>
    <row r="221" spans="3:9" ht="12.75" customHeight="1" x14ac:dyDescent="0.2">
      <c r="C221" s="45"/>
      <c r="F221" s="45"/>
      <c r="I221" s="45"/>
    </row>
    <row r="222" spans="3:9" ht="12.75" customHeight="1" x14ac:dyDescent="0.2">
      <c r="C222" s="45"/>
      <c r="F222" s="45"/>
      <c r="I222" s="45"/>
    </row>
    <row r="223" spans="3:9" ht="12.75" customHeight="1" x14ac:dyDescent="0.2">
      <c r="C223" s="45"/>
      <c r="F223" s="45"/>
      <c r="I223" s="45"/>
    </row>
    <row r="224" spans="3:9" ht="12.75" customHeight="1" x14ac:dyDescent="0.2">
      <c r="C224" s="45"/>
      <c r="F224" s="45"/>
      <c r="I224" s="45"/>
    </row>
    <row r="225" spans="3:9" ht="12.75" customHeight="1" x14ac:dyDescent="0.2">
      <c r="C225" s="45"/>
      <c r="F225" s="45"/>
      <c r="I225" s="45"/>
    </row>
    <row r="226" spans="3:9" ht="12.75" customHeight="1" x14ac:dyDescent="0.2">
      <c r="C226" s="45"/>
      <c r="F226" s="45"/>
      <c r="I226" s="45"/>
    </row>
    <row r="227" spans="3:9" ht="12.75" customHeight="1" x14ac:dyDescent="0.2">
      <c r="C227" s="45"/>
      <c r="F227" s="45"/>
      <c r="I227" s="45"/>
    </row>
    <row r="228" spans="3:9" ht="12.75" customHeight="1" x14ac:dyDescent="0.2">
      <c r="C228" s="45"/>
      <c r="F228" s="45"/>
      <c r="I228" s="45"/>
    </row>
    <row r="229" spans="3:9" ht="12.75" customHeight="1" x14ac:dyDescent="0.2">
      <c r="C229" s="45"/>
      <c r="F229" s="45"/>
      <c r="I229" s="45"/>
    </row>
    <row r="230" spans="3:9" ht="12.75" customHeight="1" x14ac:dyDescent="0.2">
      <c r="C230" s="45"/>
      <c r="F230" s="45"/>
      <c r="I230" s="45"/>
    </row>
    <row r="231" spans="3:9" ht="12.75" customHeight="1" x14ac:dyDescent="0.2">
      <c r="C231" s="45"/>
      <c r="F231" s="45"/>
      <c r="I231" s="45"/>
    </row>
    <row r="232" spans="3:9" ht="12.75" customHeight="1" x14ac:dyDescent="0.2">
      <c r="C232" s="45"/>
      <c r="F232" s="45"/>
      <c r="I232" s="45"/>
    </row>
    <row r="233" spans="3:9" ht="12.75" customHeight="1" x14ac:dyDescent="0.2">
      <c r="C233" s="45"/>
      <c r="F233" s="45"/>
      <c r="I233" s="45"/>
    </row>
    <row r="234" spans="3:9" ht="12.75" customHeight="1" x14ac:dyDescent="0.2">
      <c r="C234" s="45"/>
      <c r="F234" s="45"/>
      <c r="I234" s="45"/>
    </row>
    <row r="235" spans="3:9" ht="12.75" customHeight="1" x14ac:dyDescent="0.2">
      <c r="C235" s="45"/>
      <c r="F235" s="45"/>
      <c r="I235" s="45"/>
    </row>
    <row r="236" spans="3:9" ht="12.75" customHeight="1" x14ac:dyDescent="0.2">
      <c r="C236" s="45"/>
      <c r="F236" s="45"/>
      <c r="I236" s="45"/>
    </row>
    <row r="237" spans="3:9" ht="12.75" customHeight="1" x14ac:dyDescent="0.2">
      <c r="C237" s="45"/>
      <c r="F237" s="45"/>
      <c r="I237" s="45"/>
    </row>
    <row r="238" spans="3:9" ht="12.75" customHeight="1" x14ac:dyDescent="0.2">
      <c r="C238" s="45"/>
      <c r="F238" s="45"/>
      <c r="I238" s="45"/>
    </row>
    <row r="239" spans="3:9" ht="12.75" customHeight="1" x14ac:dyDescent="0.2">
      <c r="C239" s="45"/>
      <c r="F239" s="45"/>
      <c r="I239" s="45"/>
    </row>
    <row r="240" spans="3:9" ht="12.75" customHeight="1" x14ac:dyDescent="0.2">
      <c r="C240" s="45"/>
      <c r="F240" s="45"/>
      <c r="I240" s="45"/>
    </row>
    <row r="241" spans="3:9" ht="12.75" customHeight="1" x14ac:dyDescent="0.2">
      <c r="C241" s="45"/>
      <c r="F241" s="45"/>
      <c r="I241" s="45"/>
    </row>
    <row r="242" spans="3:9" ht="12.75" customHeight="1" x14ac:dyDescent="0.2">
      <c r="C242" s="45"/>
      <c r="F242" s="45"/>
      <c r="I242" s="45"/>
    </row>
    <row r="243" spans="3:9" ht="12.75" customHeight="1" x14ac:dyDescent="0.2">
      <c r="C243" s="45"/>
      <c r="F243" s="45"/>
      <c r="I243" s="45"/>
    </row>
    <row r="244" spans="3:9" ht="12.75" customHeight="1" x14ac:dyDescent="0.2">
      <c r="C244" s="45"/>
      <c r="F244" s="45"/>
      <c r="I244" s="45"/>
    </row>
    <row r="245" spans="3:9" ht="12.75" customHeight="1" x14ac:dyDescent="0.2">
      <c r="C245" s="45"/>
      <c r="F245" s="45"/>
      <c r="I245" s="45"/>
    </row>
    <row r="246" spans="3:9" ht="12.75" customHeight="1" x14ac:dyDescent="0.2">
      <c r="C246" s="45"/>
      <c r="F246" s="45"/>
      <c r="I246" s="45"/>
    </row>
    <row r="247" spans="3:9" ht="12.75" customHeight="1" x14ac:dyDescent="0.2">
      <c r="C247" s="45"/>
      <c r="F247" s="45"/>
      <c r="I247" s="45"/>
    </row>
    <row r="248" spans="3:9" ht="12.75" customHeight="1" x14ac:dyDescent="0.2">
      <c r="C248" s="45"/>
      <c r="F248" s="45"/>
      <c r="I248" s="45"/>
    </row>
    <row r="249" spans="3:9" ht="12.75" customHeight="1" x14ac:dyDescent="0.2">
      <c r="C249" s="45"/>
      <c r="F249" s="45"/>
      <c r="I249" s="45"/>
    </row>
    <row r="250" spans="3:9" ht="12.75" customHeight="1" x14ac:dyDescent="0.2">
      <c r="C250" s="45"/>
      <c r="F250" s="45"/>
      <c r="I250" s="45"/>
    </row>
    <row r="251" spans="3:9" ht="12.75" customHeight="1" x14ac:dyDescent="0.2">
      <c r="C251" s="45"/>
      <c r="F251" s="45"/>
      <c r="I251" s="45"/>
    </row>
    <row r="252" spans="3:9" ht="12.75" customHeight="1" x14ac:dyDescent="0.2">
      <c r="C252" s="45"/>
      <c r="F252" s="45"/>
      <c r="I252" s="45"/>
    </row>
    <row r="253" spans="3:9" ht="12.75" customHeight="1" x14ac:dyDescent="0.2">
      <c r="C253" s="45"/>
      <c r="F253" s="45"/>
      <c r="I253" s="45"/>
    </row>
    <row r="254" spans="3:9" ht="12.75" customHeight="1" x14ac:dyDescent="0.2">
      <c r="C254" s="45"/>
      <c r="F254" s="45"/>
      <c r="I254" s="45"/>
    </row>
    <row r="255" spans="3:9" ht="12.75" customHeight="1" x14ac:dyDescent="0.2">
      <c r="C255" s="45"/>
      <c r="F255" s="45"/>
      <c r="I255" s="45"/>
    </row>
    <row r="256" spans="3:9" ht="12.75" customHeight="1" x14ac:dyDescent="0.2">
      <c r="C256" s="45"/>
      <c r="F256" s="45"/>
      <c r="I256" s="45"/>
    </row>
    <row r="257" spans="3:9" ht="12.75" customHeight="1" x14ac:dyDescent="0.2">
      <c r="C257" s="45"/>
      <c r="F257" s="45"/>
      <c r="I257" s="45"/>
    </row>
    <row r="258" spans="3:9" ht="12.75" customHeight="1" x14ac:dyDescent="0.2">
      <c r="C258" s="45"/>
      <c r="F258" s="45"/>
      <c r="I258" s="45"/>
    </row>
    <row r="259" spans="3:9" ht="12.75" customHeight="1" x14ac:dyDescent="0.2">
      <c r="C259" s="45"/>
      <c r="F259" s="45"/>
      <c r="I259" s="45"/>
    </row>
    <row r="260" spans="3:9" ht="12.75" customHeight="1" x14ac:dyDescent="0.2">
      <c r="C260" s="45"/>
      <c r="F260" s="45"/>
      <c r="I260" s="45"/>
    </row>
    <row r="261" spans="3:9" ht="12.75" customHeight="1" x14ac:dyDescent="0.2">
      <c r="C261" s="45"/>
      <c r="F261" s="45"/>
      <c r="I261" s="45"/>
    </row>
    <row r="262" spans="3:9" ht="12.75" customHeight="1" x14ac:dyDescent="0.2">
      <c r="C262" s="45"/>
      <c r="F262" s="45"/>
      <c r="I262" s="45"/>
    </row>
    <row r="263" spans="3:9" ht="12.75" customHeight="1" x14ac:dyDescent="0.2">
      <c r="C263" s="45"/>
      <c r="F263" s="45"/>
      <c r="I263" s="45"/>
    </row>
    <row r="264" spans="3:9" ht="12.75" customHeight="1" x14ac:dyDescent="0.2">
      <c r="C264" s="45"/>
      <c r="F264" s="45"/>
      <c r="I264" s="45"/>
    </row>
    <row r="265" spans="3:9" ht="12.75" customHeight="1" x14ac:dyDescent="0.2">
      <c r="C265" s="45"/>
      <c r="F265" s="45"/>
      <c r="I265" s="45"/>
    </row>
    <row r="266" spans="3:9" ht="12.75" customHeight="1" x14ac:dyDescent="0.2">
      <c r="C266" s="45"/>
      <c r="F266" s="45"/>
      <c r="I266" s="45"/>
    </row>
    <row r="267" spans="3:9" ht="12.75" customHeight="1" x14ac:dyDescent="0.2">
      <c r="C267" s="45"/>
      <c r="F267" s="45"/>
      <c r="I267" s="45"/>
    </row>
    <row r="268" spans="3:9" ht="12.75" customHeight="1" x14ac:dyDescent="0.2">
      <c r="C268" s="45"/>
      <c r="F268" s="45"/>
      <c r="I268" s="45"/>
    </row>
    <row r="269" spans="3:9" ht="12.75" customHeight="1" x14ac:dyDescent="0.2">
      <c r="C269" s="45"/>
      <c r="F269" s="45"/>
      <c r="I269" s="45"/>
    </row>
    <row r="270" spans="3:9" ht="12.75" customHeight="1" x14ac:dyDescent="0.2">
      <c r="C270" s="45"/>
      <c r="F270" s="45"/>
      <c r="I270" s="45"/>
    </row>
    <row r="271" spans="3:9" ht="12.75" customHeight="1" x14ac:dyDescent="0.2">
      <c r="C271" s="45"/>
      <c r="F271" s="45"/>
      <c r="I271" s="45"/>
    </row>
    <row r="272" spans="3:9" ht="12.75" customHeight="1" x14ac:dyDescent="0.2">
      <c r="C272" s="45"/>
      <c r="F272" s="45"/>
      <c r="I272" s="45"/>
    </row>
    <row r="273" spans="3:9" ht="12.75" customHeight="1" x14ac:dyDescent="0.2">
      <c r="C273" s="45"/>
      <c r="F273" s="45"/>
      <c r="I273" s="45"/>
    </row>
    <row r="274" spans="3:9" ht="12.75" customHeight="1" x14ac:dyDescent="0.2">
      <c r="C274" s="45"/>
      <c r="F274" s="45"/>
      <c r="I274" s="45"/>
    </row>
    <row r="275" spans="3:9" ht="12.75" customHeight="1" x14ac:dyDescent="0.2">
      <c r="C275" s="45"/>
      <c r="F275" s="45"/>
      <c r="I275" s="45"/>
    </row>
    <row r="276" spans="3:9" ht="12.75" customHeight="1" x14ac:dyDescent="0.2">
      <c r="C276" s="45"/>
      <c r="F276" s="45"/>
      <c r="I276" s="45"/>
    </row>
    <row r="277" spans="3:9" ht="12.75" customHeight="1" x14ac:dyDescent="0.2">
      <c r="C277" s="45"/>
      <c r="F277" s="45"/>
      <c r="I277" s="45"/>
    </row>
    <row r="278" spans="3:9" ht="12.75" customHeight="1" x14ac:dyDescent="0.2">
      <c r="C278" s="45"/>
      <c r="F278" s="45"/>
      <c r="I278" s="45"/>
    </row>
    <row r="279" spans="3:9" ht="12.75" customHeight="1" x14ac:dyDescent="0.2">
      <c r="C279" s="45"/>
      <c r="F279" s="45"/>
      <c r="I279" s="45"/>
    </row>
    <row r="280" spans="3:9" ht="12.75" customHeight="1" x14ac:dyDescent="0.2">
      <c r="C280" s="45"/>
      <c r="F280" s="45"/>
      <c r="I280" s="45"/>
    </row>
    <row r="281" spans="3:9" ht="12.75" customHeight="1" x14ac:dyDescent="0.2">
      <c r="C281" s="45"/>
      <c r="F281" s="45"/>
      <c r="I281" s="45"/>
    </row>
    <row r="282" spans="3:9" ht="12.75" customHeight="1" x14ac:dyDescent="0.2">
      <c r="C282" s="45"/>
      <c r="F282" s="45"/>
      <c r="I282" s="45"/>
    </row>
    <row r="283" spans="3:9" ht="12.75" customHeight="1" x14ac:dyDescent="0.2">
      <c r="C283" s="45"/>
      <c r="F283" s="45"/>
      <c r="I283" s="45"/>
    </row>
    <row r="284" spans="3:9" ht="12.75" customHeight="1" x14ac:dyDescent="0.2">
      <c r="C284" s="45"/>
      <c r="F284" s="45"/>
      <c r="I284" s="45"/>
    </row>
    <row r="285" spans="3:9" ht="12.75" customHeight="1" x14ac:dyDescent="0.2">
      <c r="C285" s="45"/>
      <c r="F285" s="45"/>
      <c r="I285" s="45"/>
    </row>
    <row r="286" spans="3:9" ht="12.75" customHeight="1" x14ac:dyDescent="0.2">
      <c r="C286" s="45"/>
      <c r="F286" s="45"/>
      <c r="I286" s="45"/>
    </row>
    <row r="287" spans="3:9" ht="12.75" customHeight="1" x14ac:dyDescent="0.2">
      <c r="C287" s="45"/>
      <c r="F287" s="45"/>
      <c r="I287" s="45"/>
    </row>
    <row r="288" spans="3:9" ht="12.75" customHeight="1" x14ac:dyDescent="0.2">
      <c r="C288" s="45"/>
      <c r="F288" s="45"/>
      <c r="I288" s="45"/>
    </row>
    <row r="289" spans="3:9" ht="12.75" customHeight="1" x14ac:dyDescent="0.2">
      <c r="C289" s="45"/>
      <c r="F289" s="45"/>
      <c r="I289" s="45"/>
    </row>
    <row r="290" spans="3:9" ht="12.75" customHeight="1" x14ac:dyDescent="0.2">
      <c r="C290" s="45"/>
      <c r="F290" s="45"/>
      <c r="I290" s="45"/>
    </row>
    <row r="291" spans="3:9" ht="12.75" customHeight="1" x14ac:dyDescent="0.2">
      <c r="C291" s="45"/>
      <c r="F291" s="45"/>
      <c r="I291" s="45"/>
    </row>
    <row r="292" spans="3:9" ht="12.75" customHeight="1" x14ac:dyDescent="0.2">
      <c r="C292" s="45"/>
      <c r="F292" s="45"/>
      <c r="I292" s="45"/>
    </row>
    <row r="293" spans="3:9" ht="12.75" customHeight="1" x14ac:dyDescent="0.2">
      <c r="C293" s="45"/>
      <c r="F293" s="45"/>
      <c r="I293" s="45"/>
    </row>
    <row r="294" spans="3:9" ht="12.75" customHeight="1" x14ac:dyDescent="0.2">
      <c r="C294" s="45"/>
      <c r="F294" s="45"/>
      <c r="I294" s="45"/>
    </row>
    <row r="295" spans="3:9" ht="12.75" customHeight="1" x14ac:dyDescent="0.2">
      <c r="C295" s="45"/>
      <c r="F295" s="45"/>
      <c r="I295" s="45"/>
    </row>
    <row r="296" spans="3:9" ht="12.75" customHeight="1" x14ac:dyDescent="0.2">
      <c r="C296" s="45"/>
      <c r="F296" s="45"/>
      <c r="I296" s="45"/>
    </row>
    <row r="297" spans="3:9" ht="12.75" customHeight="1" x14ac:dyDescent="0.2">
      <c r="C297" s="45"/>
      <c r="F297" s="45"/>
      <c r="I297" s="45"/>
    </row>
    <row r="298" spans="3:9" ht="12.75" customHeight="1" x14ac:dyDescent="0.2">
      <c r="C298" s="45"/>
      <c r="F298" s="45"/>
      <c r="I298" s="45"/>
    </row>
    <row r="299" spans="3:9" ht="12.75" customHeight="1" x14ac:dyDescent="0.2">
      <c r="C299" s="45"/>
      <c r="F299" s="45"/>
      <c r="I299" s="45"/>
    </row>
    <row r="300" spans="3:9" ht="12.75" customHeight="1" x14ac:dyDescent="0.2">
      <c r="C300" s="45"/>
      <c r="F300" s="45"/>
      <c r="I300" s="45"/>
    </row>
    <row r="301" spans="3:9" ht="12.75" customHeight="1" x14ac:dyDescent="0.2">
      <c r="C301" s="45"/>
      <c r="F301" s="45"/>
      <c r="I301" s="45"/>
    </row>
    <row r="302" spans="3:9" ht="12.75" customHeight="1" x14ac:dyDescent="0.2">
      <c r="C302" s="45"/>
      <c r="F302" s="45"/>
      <c r="I302" s="45"/>
    </row>
    <row r="303" spans="3:9" ht="12.75" customHeight="1" x14ac:dyDescent="0.2">
      <c r="C303" s="45"/>
      <c r="F303" s="45"/>
      <c r="I303" s="45"/>
    </row>
    <row r="304" spans="3:9" ht="12.75" customHeight="1" x14ac:dyDescent="0.2">
      <c r="C304" s="45"/>
      <c r="F304" s="45"/>
      <c r="I304" s="45"/>
    </row>
    <row r="305" spans="3:9" ht="12.75" customHeight="1" x14ac:dyDescent="0.2">
      <c r="C305" s="45"/>
      <c r="F305" s="45"/>
      <c r="I305" s="45"/>
    </row>
    <row r="306" spans="3:9" ht="12.75" customHeight="1" x14ac:dyDescent="0.2">
      <c r="C306" s="45"/>
      <c r="F306" s="45"/>
      <c r="I306" s="45"/>
    </row>
    <row r="307" spans="3:9" ht="12.75" customHeight="1" x14ac:dyDescent="0.2">
      <c r="C307" s="45"/>
      <c r="F307" s="45"/>
      <c r="I307" s="45"/>
    </row>
    <row r="308" spans="3:9" ht="12.75" customHeight="1" x14ac:dyDescent="0.2">
      <c r="C308" s="45"/>
      <c r="F308" s="45"/>
      <c r="I308" s="45"/>
    </row>
    <row r="309" spans="3:9" ht="12.75" customHeight="1" x14ac:dyDescent="0.2">
      <c r="C309" s="45"/>
      <c r="F309" s="45"/>
      <c r="I309" s="45"/>
    </row>
    <row r="310" spans="3:9" ht="12.75" customHeight="1" x14ac:dyDescent="0.2">
      <c r="C310" s="45"/>
      <c r="F310" s="45"/>
      <c r="I310" s="45"/>
    </row>
    <row r="311" spans="3:9" ht="12.75" customHeight="1" x14ac:dyDescent="0.2">
      <c r="C311" s="45"/>
      <c r="F311" s="45"/>
      <c r="I311" s="45"/>
    </row>
    <row r="312" spans="3:9" ht="12.75" customHeight="1" x14ac:dyDescent="0.2">
      <c r="C312" s="45"/>
      <c r="F312" s="45"/>
      <c r="I312" s="45"/>
    </row>
    <row r="313" spans="3:9" ht="12.75" customHeight="1" x14ac:dyDescent="0.2">
      <c r="C313" s="45"/>
      <c r="F313" s="45"/>
      <c r="I313" s="45"/>
    </row>
    <row r="314" spans="3:9" ht="12.75" customHeight="1" x14ac:dyDescent="0.2">
      <c r="C314" s="45"/>
      <c r="F314" s="45"/>
      <c r="I314" s="45"/>
    </row>
    <row r="315" spans="3:9" ht="12.75" customHeight="1" x14ac:dyDescent="0.2">
      <c r="C315" s="45"/>
      <c r="F315" s="45"/>
      <c r="I315" s="45"/>
    </row>
    <row r="316" spans="3:9" ht="12.75" customHeight="1" x14ac:dyDescent="0.2">
      <c r="C316" s="45"/>
      <c r="F316" s="45"/>
      <c r="I316" s="45"/>
    </row>
    <row r="317" spans="3:9" ht="12.75" customHeight="1" x14ac:dyDescent="0.2">
      <c r="C317" s="45"/>
      <c r="F317" s="45"/>
      <c r="I317" s="45"/>
    </row>
    <row r="318" spans="3:9" ht="12.75" customHeight="1" x14ac:dyDescent="0.2">
      <c r="C318" s="45"/>
      <c r="F318" s="45"/>
      <c r="I318" s="45"/>
    </row>
    <row r="319" spans="3:9" ht="12.75" customHeight="1" x14ac:dyDescent="0.2">
      <c r="C319" s="45"/>
      <c r="F319" s="45"/>
      <c r="I319" s="45"/>
    </row>
    <row r="320" spans="3:9" ht="12.75" customHeight="1" x14ac:dyDescent="0.2">
      <c r="C320" s="45"/>
      <c r="F320" s="45"/>
      <c r="I320" s="45"/>
    </row>
    <row r="321" spans="3:9" ht="12.75" customHeight="1" x14ac:dyDescent="0.2">
      <c r="C321" s="45"/>
      <c r="F321" s="45"/>
      <c r="I321" s="45"/>
    </row>
    <row r="322" spans="3:9" ht="12.75" customHeight="1" x14ac:dyDescent="0.2">
      <c r="C322" s="45"/>
      <c r="F322" s="45"/>
      <c r="I322" s="45"/>
    </row>
    <row r="323" spans="3:9" ht="12.75" customHeight="1" x14ac:dyDescent="0.2">
      <c r="C323" s="45"/>
      <c r="F323" s="45"/>
      <c r="I323" s="45"/>
    </row>
    <row r="324" spans="3:9" ht="12.75" customHeight="1" x14ac:dyDescent="0.2">
      <c r="C324" s="45"/>
      <c r="F324" s="45"/>
      <c r="I324" s="45"/>
    </row>
    <row r="325" spans="3:9" ht="12.75" customHeight="1" x14ac:dyDescent="0.2">
      <c r="C325" s="45"/>
      <c r="F325" s="45"/>
      <c r="I325" s="45"/>
    </row>
    <row r="326" spans="3:9" ht="12.75" customHeight="1" x14ac:dyDescent="0.2">
      <c r="C326" s="45"/>
      <c r="F326" s="45"/>
      <c r="I326" s="45"/>
    </row>
    <row r="327" spans="3:9" ht="12.75" customHeight="1" x14ac:dyDescent="0.2">
      <c r="C327" s="45"/>
      <c r="F327" s="45"/>
      <c r="I327" s="45"/>
    </row>
    <row r="328" spans="3:9" ht="12.75" customHeight="1" x14ac:dyDescent="0.2">
      <c r="C328" s="45"/>
      <c r="F328" s="45"/>
      <c r="I328" s="45"/>
    </row>
    <row r="329" spans="3:9" ht="12.75" customHeight="1" x14ac:dyDescent="0.2">
      <c r="C329" s="45"/>
      <c r="F329" s="45"/>
      <c r="I329" s="45"/>
    </row>
    <row r="330" spans="3:9" ht="12.75" customHeight="1" x14ac:dyDescent="0.2">
      <c r="C330" s="45"/>
      <c r="F330" s="45"/>
      <c r="I330" s="45"/>
    </row>
    <row r="331" spans="3:9" ht="12.75" customHeight="1" x14ac:dyDescent="0.2">
      <c r="C331" s="45"/>
      <c r="F331" s="45"/>
      <c r="I331" s="45"/>
    </row>
    <row r="332" spans="3:9" ht="12.75" customHeight="1" x14ac:dyDescent="0.2">
      <c r="C332" s="45"/>
      <c r="F332" s="45"/>
      <c r="I332" s="45"/>
    </row>
    <row r="333" spans="3:9" ht="12.75" customHeight="1" x14ac:dyDescent="0.2">
      <c r="C333" s="45"/>
      <c r="F333" s="45"/>
      <c r="I333" s="45"/>
    </row>
    <row r="334" spans="3:9" ht="12.75" customHeight="1" x14ac:dyDescent="0.2">
      <c r="C334" s="45"/>
      <c r="F334" s="45"/>
      <c r="I334" s="45"/>
    </row>
    <row r="335" spans="3:9" ht="12.75" customHeight="1" x14ac:dyDescent="0.2">
      <c r="C335" s="45"/>
      <c r="F335" s="45"/>
      <c r="I335" s="45"/>
    </row>
    <row r="336" spans="3:9" ht="12.75" customHeight="1" x14ac:dyDescent="0.2">
      <c r="C336" s="45"/>
      <c r="F336" s="45"/>
      <c r="I336" s="45"/>
    </row>
    <row r="337" spans="3:9" ht="12.75" customHeight="1" x14ac:dyDescent="0.2">
      <c r="C337" s="45"/>
      <c r="F337" s="45"/>
      <c r="I337" s="45"/>
    </row>
    <row r="338" spans="3:9" ht="12.75" customHeight="1" x14ac:dyDescent="0.2">
      <c r="C338" s="45"/>
      <c r="F338" s="45"/>
      <c r="I338" s="45"/>
    </row>
    <row r="339" spans="3:9" ht="12.75" customHeight="1" x14ac:dyDescent="0.2">
      <c r="C339" s="45"/>
      <c r="F339" s="45"/>
      <c r="I339" s="45"/>
    </row>
    <row r="340" spans="3:9" ht="12.75" customHeight="1" x14ac:dyDescent="0.2">
      <c r="C340" s="45"/>
      <c r="F340" s="45"/>
      <c r="I340" s="45"/>
    </row>
    <row r="341" spans="3:9" ht="12.75" customHeight="1" x14ac:dyDescent="0.2">
      <c r="C341" s="45"/>
      <c r="F341" s="45"/>
      <c r="I341" s="45"/>
    </row>
    <row r="342" spans="3:9" ht="12.75" customHeight="1" x14ac:dyDescent="0.2">
      <c r="C342" s="45"/>
      <c r="F342" s="45"/>
      <c r="I342" s="45"/>
    </row>
    <row r="343" spans="3:9" ht="12.75" customHeight="1" x14ac:dyDescent="0.2">
      <c r="C343" s="45"/>
      <c r="F343" s="45"/>
      <c r="I343" s="45"/>
    </row>
    <row r="344" spans="3:9" ht="12.75" customHeight="1" x14ac:dyDescent="0.2">
      <c r="C344" s="45"/>
      <c r="F344" s="45"/>
      <c r="I344" s="45"/>
    </row>
    <row r="345" spans="3:9" ht="12.75" customHeight="1" x14ac:dyDescent="0.2">
      <c r="C345" s="45"/>
      <c r="F345" s="45"/>
      <c r="I345" s="45"/>
    </row>
    <row r="346" spans="3:9" ht="12.75" customHeight="1" x14ac:dyDescent="0.2">
      <c r="C346" s="45"/>
      <c r="F346" s="45"/>
      <c r="I346" s="45"/>
    </row>
    <row r="347" spans="3:9" ht="12.75" customHeight="1" x14ac:dyDescent="0.2">
      <c r="C347" s="45"/>
      <c r="F347" s="45"/>
      <c r="I347" s="45"/>
    </row>
    <row r="348" spans="3:9" ht="12.75" customHeight="1" x14ac:dyDescent="0.2">
      <c r="C348" s="45"/>
      <c r="F348" s="45"/>
      <c r="I348" s="45"/>
    </row>
    <row r="349" spans="3:9" ht="12.75" customHeight="1" x14ac:dyDescent="0.2">
      <c r="C349" s="45"/>
      <c r="F349" s="45"/>
      <c r="I349" s="45"/>
    </row>
    <row r="350" spans="3:9" ht="12.75" customHeight="1" x14ac:dyDescent="0.2">
      <c r="C350" s="45"/>
      <c r="F350" s="45"/>
      <c r="I350" s="45"/>
    </row>
    <row r="351" spans="3:9" ht="12.75" customHeight="1" x14ac:dyDescent="0.2">
      <c r="C351" s="45"/>
      <c r="F351" s="45"/>
      <c r="I351" s="45"/>
    </row>
    <row r="352" spans="3:9" ht="12.75" customHeight="1" x14ac:dyDescent="0.2">
      <c r="C352" s="45"/>
      <c r="F352" s="45"/>
      <c r="I352" s="45"/>
    </row>
    <row r="353" spans="3:9" ht="12.75" customHeight="1" x14ac:dyDescent="0.2">
      <c r="C353" s="45"/>
      <c r="F353" s="45"/>
      <c r="I353" s="45"/>
    </row>
    <row r="354" spans="3:9" ht="12.75" customHeight="1" x14ac:dyDescent="0.2">
      <c r="C354" s="45"/>
      <c r="F354" s="45"/>
      <c r="I354" s="45"/>
    </row>
    <row r="355" spans="3:9" ht="12.75" customHeight="1" x14ac:dyDescent="0.2">
      <c r="C355" s="45"/>
      <c r="F355" s="45"/>
      <c r="I355" s="45"/>
    </row>
    <row r="356" spans="3:9" ht="12.75" customHeight="1" x14ac:dyDescent="0.2">
      <c r="C356" s="45"/>
      <c r="F356" s="45"/>
      <c r="I356" s="45"/>
    </row>
    <row r="357" spans="3:9" ht="12.75" customHeight="1" x14ac:dyDescent="0.2">
      <c r="C357" s="45"/>
      <c r="F357" s="45"/>
      <c r="I357" s="45"/>
    </row>
    <row r="358" spans="3:9" ht="12.75" customHeight="1" x14ac:dyDescent="0.2">
      <c r="C358" s="45"/>
      <c r="F358" s="45"/>
      <c r="I358" s="45"/>
    </row>
    <row r="359" spans="3:9" ht="12.75" customHeight="1" x14ac:dyDescent="0.2">
      <c r="C359" s="45"/>
      <c r="F359" s="45"/>
      <c r="I359" s="45"/>
    </row>
    <row r="360" spans="3:9" ht="12.75" customHeight="1" x14ac:dyDescent="0.2">
      <c r="C360" s="45"/>
      <c r="F360" s="45"/>
      <c r="I360" s="45"/>
    </row>
    <row r="361" spans="3:9" ht="12.75" customHeight="1" x14ac:dyDescent="0.2">
      <c r="C361" s="45"/>
      <c r="F361" s="45"/>
      <c r="I361" s="45"/>
    </row>
    <row r="362" spans="3:9" ht="12.75" customHeight="1" x14ac:dyDescent="0.2">
      <c r="C362" s="45"/>
      <c r="F362" s="45"/>
      <c r="I362" s="45"/>
    </row>
    <row r="363" spans="3:9" ht="12.75" customHeight="1" x14ac:dyDescent="0.2">
      <c r="C363" s="45"/>
      <c r="F363" s="45"/>
      <c r="I363" s="45"/>
    </row>
    <row r="364" spans="3:9" ht="12.75" customHeight="1" x14ac:dyDescent="0.2">
      <c r="C364" s="45"/>
      <c r="F364" s="45"/>
      <c r="I364" s="45"/>
    </row>
    <row r="365" spans="3:9" ht="12.75" customHeight="1" x14ac:dyDescent="0.2">
      <c r="C365" s="45"/>
      <c r="F365" s="45"/>
      <c r="I365" s="45"/>
    </row>
    <row r="366" spans="3:9" ht="12.75" customHeight="1" x14ac:dyDescent="0.2">
      <c r="C366" s="45"/>
      <c r="F366" s="45"/>
      <c r="I366" s="45"/>
    </row>
    <row r="367" spans="3:9" ht="12.75" customHeight="1" x14ac:dyDescent="0.2">
      <c r="C367" s="45"/>
      <c r="F367" s="45"/>
      <c r="I367" s="45"/>
    </row>
    <row r="368" spans="3:9" ht="12.75" customHeight="1" x14ac:dyDescent="0.2">
      <c r="C368" s="45"/>
      <c r="F368" s="45"/>
      <c r="I368" s="45"/>
    </row>
    <row r="369" spans="3:9" ht="12.75" customHeight="1" x14ac:dyDescent="0.2">
      <c r="C369" s="45"/>
      <c r="F369" s="45"/>
      <c r="I369" s="45"/>
    </row>
    <row r="370" spans="3:9" ht="12.75" customHeight="1" x14ac:dyDescent="0.2">
      <c r="C370" s="45"/>
      <c r="F370" s="45"/>
      <c r="I370" s="45"/>
    </row>
    <row r="371" spans="3:9" ht="12.75" customHeight="1" x14ac:dyDescent="0.2">
      <c r="C371" s="45"/>
      <c r="F371" s="45"/>
      <c r="I371" s="45"/>
    </row>
    <row r="372" spans="3:9" ht="12.75" customHeight="1" x14ac:dyDescent="0.2">
      <c r="C372" s="45"/>
      <c r="F372" s="45"/>
      <c r="I372" s="45"/>
    </row>
    <row r="373" spans="3:9" ht="12.75" customHeight="1" x14ac:dyDescent="0.2">
      <c r="C373" s="45"/>
      <c r="F373" s="45"/>
      <c r="I373" s="45"/>
    </row>
    <row r="374" spans="3:9" ht="12.75" customHeight="1" x14ac:dyDescent="0.2">
      <c r="C374" s="45"/>
      <c r="F374" s="45"/>
      <c r="I374" s="45"/>
    </row>
    <row r="375" spans="3:9" ht="12.75" customHeight="1" x14ac:dyDescent="0.2">
      <c r="C375" s="45"/>
      <c r="F375" s="45"/>
      <c r="I375" s="45"/>
    </row>
    <row r="376" spans="3:9" ht="12.75" customHeight="1" x14ac:dyDescent="0.2">
      <c r="C376" s="45"/>
      <c r="F376" s="45"/>
      <c r="I376" s="45"/>
    </row>
    <row r="377" spans="3:9" ht="12.75" customHeight="1" x14ac:dyDescent="0.2">
      <c r="C377" s="45"/>
      <c r="F377" s="45"/>
      <c r="I377" s="45"/>
    </row>
    <row r="378" spans="3:9" ht="12.75" customHeight="1" x14ac:dyDescent="0.2">
      <c r="C378" s="45"/>
      <c r="F378" s="45"/>
      <c r="I378" s="45"/>
    </row>
    <row r="379" spans="3:9" ht="12.75" customHeight="1" x14ac:dyDescent="0.2">
      <c r="C379" s="45"/>
      <c r="F379" s="45"/>
      <c r="I379" s="45"/>
    </row>
    <row r="380" spans="3:9" ht="12.75" customHeight="1" x14ac:dyDescent="0.2">
      <c r="C380" s="45"/>
      <c r="F380" s="45"/>
      <c r="I380" s="45"/>
    </row>
    <row r="381" spans="3:9" ht="12.75" customHeight="1" x14ac:dyDescent="0.2">
      <c r="C381" s="45"/>
      <c r="F381" s="45"/>
      <c r="I381" s="45"/>
    </row>
    <row r="382" spans="3:9" ht="12.75" customHeight="1" x14ac:dyDescent="0.2">
      <c r="C382" s="45"/>
      <c r="F382" s="45"/>
      <c r="I382" s="45"/>
    </row>
    <row r="383" spans="3:9" ht="12.75" customHeight="1" x14ac:dyDescent="0.2">
      <c r="C383" s="45"/>
      <c r="F383" s="45"/>
      <c r="I383" s="45"/>
    </row>
    <row r="384" spans="3:9" ht="12.75" customHeight="1" x14ac:dyDescent="0.2">
      <c r="C384" s="45"/>
      <c r="F384" s="45"/>
      <c r="I384" s="45"/>
    </row>
    <row r="385" spans="3:9" ht="12.75" customHeight="1" x14ac:dyDescent="0.2">
      <c r="C385" s="45"/>
      <c r="F385" s="45"/>
      <c r="I385" s="45"/>
    </row>
    <row r="386" spans="3:9" ht="12.75" customHeight="1" x14ac:dyDescent="0.2">
      <c r="C386" s="45"/>
      <c r="F386" s="45"/>
      <c r="I386" s="45"/>
    </row>
    <row r="387" spans="3:9" ht="12.75" customHeight="1" x14ac:dyDescent="0.2">
      <c r="C387" s="45"/>
      <c r="F387" s="45"/>
      <c r="I387" s="45"/>
    </row>
    <row r="388" spans="3:9" ht="12.75" customHeight="1" x14ac:dyDescent="0.2">
      <c r="C388" s="45"/>
      <c r="F388" s="45"/>
      <c r="I388" s="45"/>
    </row>
    <row r="389" spans="3:9" ht="12.75" customHeight="1" x14ac:dyDescent="0.2">
      <c r="C389" s="45"/>
      <c r="F389" s="45"/>
      <c r="I389" s="45"/>
    </row>
    <row r="390" spans="3:9" ht="12.75" customHeight="1" x14ac:dyDescent="0.2">
      <c r="C390" s="45"/>
      <c r="F390" s="45"/>
      <c r="I390" s="45"/>
    </row>
    <row r="391" spans="3:9" ht="12.75" customHeight="1" x14ac:dyDescent="0.2">
      <c r="C391" s="45"/>
      <c r="F391" s="45"/>
      <c r="I391" s="45"/>
    </row>
    <row r="392" spans="3:9" ht="12.75" customHeight="1" x14ac:dyDescent="0.2">
      <c r="C392" s="45"/>
      <c r="F392" s="45"/>
      <c r="I392" s="45"/>
    </row>
    <row r="393" spans="3:9" ht="12.75" customHeight="1" x14ac:dyDescent="0.2">
      <c r="C393" s="45"/>
      <c r="F393" s="45"/>
      <c r="I393" s="45"/>
    </row>
    <row r="394" spans="3:9" ht="12.75" customHeight="1" x14ac:dyDescent="0.2">
      <c r="C394" s="45"/>
      <c r="F394" s="45"/>
      <c r="I394" s="45"/>
    </row>
    <row r="395" spans="3:9" ht="12.75" customHeight="1" x14ac:dyDescent="0.2">
      <c r="C395" s="45"/>
      <c r="F395" s="45"/>
      <c r="I395" s="45"/>
    </row>
    <row r="396" spans="3:9" ht="12.75" customHeight="1" x14ac:dyDescent="0.2">
      <c r="C396" s="45"/>
      <c r="F396" s="45"/>
      <c r="I396" s="45"/>
    </row>
    <row r="397" spans="3:9" ht="12.75" customHeight="1" x14ac:dyDescent="0.2">
      <c r="C397" s="45"/>
      <c r="F397" s="45"/>
      <c r="I397" s="45"/>
    </row>
    <row r="398" spans="3:9" ht="12.75" customHeight="1" x14ac:dyDescent="0.2">
      <c r="C398" s="45"/>
      <c r="F398" s="45"/>
      <c r="I398" s="45"/>
    </row>
    <row r="399" spans="3:9" ht="12.75" customHeight="1" x14ac:dyDescent="0.2">
      <c r="C399" s="45"/>
      <c r="F399" s="45"/>
      <c r="I399" s="45"/>
    </row>
    <row r="400" spans="3:9" ht="12.75" customHeight="1" x14ac:dyDescent="0.2">
      <c r="C400" s="45"/>
      <c r="F400" s="45"/>
      <c r="I400" s="45"/>
    </row>
    <row r="401" spans="3:9" ht="12.75" customHeight="1" x14ac:dyDescent="0.2">
      <c r="C401" s="45"/>
      <c r="F401" s="45"/>
      <c r="I401" s="45"/>
    </row>
    <row r="402" spans="3:9" ht="12.75" customHeight="1" x14ac:dyDescent="0.2">
      <c r="C402" s="45"/>
      <c r="F402" s="45"/>
      <c r="I402" s="45"/>
    </row>
    <row r="403" spans="3:9" ht="12.75" customHeight="1" x14ac:dyDescent="0.2">
      <c r="C403" s="45"/>
      <c r="F403" s="45"/>
      <c r="I403" s="45"/>
    </row>
    <row r="404" spans="3:9" ht="12.75" customHeight="1" x14ac:dyDescent="0.2">
      <c r="C404" s="45"/>
      <c r="F404" s="45"/>
      <c r="I404" s="45"/>
    </row>
    <row r="405" spans="3:9" ht="12.75" customHeight="1" x14ac:dyDescent="0.2">
      <c r="C405" s="45"/>
      <c r="F405" s="45"/>
      <c r="I405" s="45"/>
    </row>
    <row r="406" spans="3:9" ht="12.75" customHeight="1" x14ac:dyDescent="0.2">
      <c r="C406" s="45"/>
      <c r="F406" s="45"/>
      <c r="I406" s="45"/>
    </row>
    <row r="407" spans="3:9" ht="12.75" customHeight="1" x14ac:dyDescent="0.2">
      <c r="C407" s="45"/>
      <c r="F407" s="45"/>
      <c r="I407" s="45"/>
    </row>
    <row r="408" spans="3:9" ht="12.75" customHeight="1" x14ac:dyDescent="0.2">
      <c r="C408" s="45"/>
      <c r="F408" s="45"/>
      <c r="I408" s="45"/>
    </row>
    <row r="409" spans="3:9" ht="12.75" customHeight="1" x14ac:dyDescent="0.2">
      <c r="C409" s="45"/>
      <c r="F409" s="45"/>
      <c r="I409" s="45"/>
    </row>
    <row r="410" spans="3:9" ht="12.75" customHeight="1" x14ac:dyDescent="0.2">
      <c r="C410" s="45"/>
      <c r="F410" s="45"/>
      <c r="I410" s="45"/>
    </row>
    <row r="411" spans="3:9" ht="12.75" customHeight="1" x14ac:dyDescent="0.2">
      <c r="C411" s="45"/>
      <c r="F411" s="45"/>
      <c r="I411" s="45"/>
    </row>
    <row r="412" spans="3:9" ht="12.75" customHeight="1" x14ac:dyDescent="0.2">
      <c r="C412" s="45"/>
      <c r="F412" s="45"/>
      <c r="I412" s="45"/>
    </row>
    <row r="413" spans="3:9" ht="12.75" customHeight="1" x14ac:dyDescent="0.2">
      <c r="C413" s="45"/>
      <c r="F413" s="45"/>
      <c r="I413" s="45"/>
    </row>
    <row r="414" spans="3:9" ht="12.75" customHeight="1" x14ac:dyDescent="0.2">
      <c r="C414" s="45"/>
      <c r="F414" s="45"/>
      <c r="I414" s="45"/>
    </row>
    <row r="415" spans="3:9" ht="12.75" customHeight="1" x14ac:dyDescent="0.2">
      <c r="C415" s="45"/>
      <c r="F415" s="45"/>
      <c r="I415" s="45"/>
    </row>
    <row r="416" spans="3:9" ht="12.75" customHeight="1" x14ac:dyDescent="0.2">
      <c r="C416" s="45"/>
      <c r="F416" s="45"/>
      <c r="I416" s="45"/>
    </row>
    <row r="417" spans="3:9" ht="12.75" customHeight="1" x14ac:dyDescent="0.2">
      <c r="C417" s="45"/>
      <c r="F417" s="45"/>
      <c r="I417" s="45"/>
    </row>
    <row r="418" spans="3:9" ht="12.75" customHeight="1" x14ac:dyDescent="0.2">
      <c r="C418" s="45"/>
      <c r="F418" s="45"/>
      <c r="I418" s="45"/>
    </row>
    <row r="419" spans="3:9" ht="12.75" customHeight="1" x14ac:dyDescent="0.2">
      <c r="C419" s="45"/>
      <c r="F419" s="45"/>
      <c r="I419" s="45"/>
    </row>
    <row r="420" spans="3:9" ht="12.75" customHeight="1" x14ac:dyDescent="0.2">
      <c r="C420" s="45"/>
      <c r="F420" s="45"/>
      <c r="I420" s="45"/>
    </row>
    <row r="421" spans="3:9" ht="12.75" customHeight="1" x14ac:dyDescent="0.2">
      <c r="C421" s="45"/>
      <c r="F421" s="45"/>
      <c r="I421" s="45"/>
    </row>
    <row r="422" spans="3:9" ht="12.75" customHeight="1" x14ac:dyDescent="0.2">
      <c r="C422" s="45"/>
      <c r="F422" s="45"/>
      <c r="I422" s="45"/>
    </row>
    <row r="423" spans="3:9" ht="12.75" customHeight="1" x14ac:dyDescent="0.2">
      <c r="C423" s="45"/>
      <c r="F423" s="45"/>
      <c r="I423" s="45"/>
    </row>
    <row r="424" spans="3:9" ht="12.75" customHeight="1" x14ac:dyDescent="0.2">
      <c r="C424" s="45"/>
      <c r="F424" s="45"/>
      <c r="I424" s="45"/>
    </row>
    <row r="425" spans="3:9" ht="12.75" customHeight="1" x14ac:dyDescent="0.2">
      <c r="C425" s="45"/>
      <c r="F425" s="45"/>
      <c r="I425" s="45"/>
    </row>
    <row r="426" spans="3:9" ht="12.75" customHeight="1" x14ac:dyDescent="0.2">
      <c r="C426" s="45"/>
      <c r="F426" s="45"/>
      <c r="I426" s="45"/>
    </row>
    <row r="427" spans="3:9" ht="12.75" customHeight="1" x14ac:dyDescent="0.2">
      <c r="C427" s="45"/>
      <c r="F427" s="45"/>
      <c r="I427" s="45"/>
    </row>
    <row r="428" spans="3:9" ht="12.75" customHeight="1" x14ac:dyDescent="0.2">
      <c r="C428" s="45"/>
      <c r="F428" s="45"/>
      <c r="I428" s="45"/>
    </row>
    <row r="429" spans="3:9" ht="12.75" customHeight="1" x14ac:dyDescent="0.2">
      <c r="C429" s="45"/>
      <c r="F429" s="45"/>
      <c r="I429" s="45"/>
    </row>
    <row r="430" spans="3:9" ht="12.75" customHeight="1" x14ac:dyDescent="0.2">
      <c r="C430" s="45"/>
      <c r="F430" s="45"/>
      <c r="I430" s="45"/>
    </row>
    <row r="431" spans="3:9" ht="12.75" customHeight="1" x14ac:dyDescent="0.2">
      <c r="C431" s="45"/>
      <c r="F431" s="45"/>
      <c r="I431" s="45"/>
    </row>
    <row r="432" spans="3:9" ht="12.75" customHeight="1" x14ac:dyDescent="0.2">
      <c r="C432" s="45"/>
      <c r="F432" s="45"/>
      <c r="I432" s="45"/>
    </row>
    <row r="433" spans="3:9" ht="12.75" customHeight="1" x14ac:dyDescent="0.2">
      <c r="C433" s="45"/>
      <c r="F433" s="45"/>
      <c r="I433" s="45"/>
    </row>
    <row r="434" spans="3:9" ht="12.75" customHeight="1" x14ac:dyDescent="0.2">
      <c r="C434" s="45"/>
      <c r="F434" s="45"/>
      <c r="I434" s="45"/>
    </row>
    <row r="435" spans="3:9" ht="12.75" customHeight="1" x14ac:dyDescent="0.2">
      <c r="C435" s="45"/>
      <c r="F435" s="45"/>
      <c r="I435" s="45"/>
    </row>
    <row r="436" spans="3:9" ht="12.75" customHeight="1" x14ac:dyDescent="0.2">
      <c r="C436" s="45"/>
      <c r="F436" s="45"/>
      <c r="I436" s="45"/>
    </row>
    <row r="437" spans="3:9" ht="12.75" customHeight="1" x14ac:dyDescent="0.2">
      <c r="C437" s="45"/>
      <c r="F437" s="45"/>
      <c r="I437" s="45"/>
    </row>
    <row r="438" spans="3:9" ht="12.75" customHeight="1" x14ac:dyDescent="0.2">
      <c r="C438" s="45"/>
      <c r="F438" s="45"/>
      <c r="I438" s="45"/>
    </row>
    <row r="439" spans="3:9" ht="12.75" customHeight="1" x14ac:dyDescent="0.2">
      <c r="C439" s="45"/>
      <c r="F439" s="45"/>
      <c r="I439" s="45"/>
    </row>
    <row r="440" spans="3:9" ht="12.75" customHeight="1" x14ac:dyDescent="0.2">
      <c r="C440" s="45"/>
      <c r="F440" s="45"/>
      <c r="I440" s="45"/>
    </row>
    <row r="441" spans="3:9" ht="12.75" customHeight="1" x14ac:dyDescent="0.2">
      <c r="C441" s="45"/>
      <c r="F441" s="45"/>
      <c r="I441" s="45"/>
    </row>
    <row r="442" spans="3:9" ht="12.75" customHeight="1" x14ac:dyDescent="0.2">
      <c r="C442" s="45"/>
      <c r="F442" s="45"/>
      <c r="I442" s="45"/>
    </row>
    <row r="443" spans="3:9" ht="12.75" customHeight="1" x14ac:dyDescent="0.2">
      <c r="C443" s="45"/>
      <c r="F443" s="45"/>
      <c r="I443" s="45"/>
    </row>
    <row r="444" spans="3:9" ht="12.75" customHeight="1" x14ac:dyDescent="0.2">
      <c r="C444" s="45"/>
      <c r="F444" s="45"/>
      <c r="I444" s="45"/>
    </row>
    <row r="445" spans="3:9" ht="12.75" customHeight="1" x14ac:dyDescent="0.2">
      <c r="C445" s="45"/>
      <c r="F445" s="45"/>
      <c r="I445" s="45"/>
    </row>
    <row r="446" spans="3:9" ht="12.75" customHeight="1" x14ac:dyDescent="0.2">
      <c r="C446" s="45"/>
      <c r="F446" s="45"/>
      <c r="I446" s="45"/>
    </row>
    <row r="447" spans="3:9" ht="12.75" customHeight="1" x14ac:dyDescent="0.2">
      <c r="C447" s="45"/>
      <c r="F447" s="45"/>
      <c r="I447" s="45"/>
    </row>
    <row r="448" spans="3:9" ht="12.75" customHeight="1" x14ac:dyDescent="0.2">
      <c r="C448" s="45"/>
      <c r="F448" s="45"/>
      <c r="I448" s="45"/>
    </row>
    <row r="449" spans="3:9" ht="12.75" customHeight="1" x14ac:dyDescent="0.2">
      <c r="C449" s="45"/>
      <c r="F449" s="45"/>
      <c r="I449" s="45"/>
    </row>
    <row r="450" spans="3:9" ht="12.75" customHeight="1" x14ac:dyDescent="0.2">
      <c r="C450" s="45"/>
      <c r="F450" s="45"/>
      <c r="I450" s="45"/>
    </row>
    <row r="451" spans="3:9" ht="12.75" customHeight="1" x14ac:dyDescent="0.2">
      <c r="C451" s="45"/>
      <c r="F451" s="45"/>
      <c r="I451" s="45"/>
    </row>
    <row r="452" spans="3:9" ht="12.75" customHeight="1" x14ac:dyDescent="0.2">
      <c r="C452" s="45"/>
      <c r="F452" s="45"/>
      <c r="I452" s="45"/>
    </row>
    <row r="453" spans="3:9" ht="12.75" customHeight="1" x14ac:dyDescent="0.2">
      <c r="C453" s="45"/>
      <c r="F453" s="45"/>
      <c r="I453" s="45"/>
    </row>
    <row r="454" spans="3:9" ht="12.75" customHeight="1" x14ac:dyDescent="0.2">
      <c r="C454" s="45"/>
      <c r="F454" s="45"/>
      <c r="I454" s="45"/>
    </row>
    <row r="455" spans="3:9" ht="12.75" customHeight="1" x14ac:dyDescent="0.2">
      <c r="C455" s="45"/>
      <c r="F455" s="45"/>
      <c r="I455" s="45"/>
    </row>
    <row r="456" spans="3:9" ht="12.75" customHeight="1" x14ac:dyDescent="0.2">
      <c r="C456" s="45"/>
      <c r="F456" s="45"/>
      <c r="I456" s="45"/>
    </row>
    <row r="457" spans="3:9" ht="12.75" customHeight="1" x14ac:dyDescent="0.2">
      <c r="C457" s="45"/>
      <c r="F457" s="45"/>
      <c r="I457" s="45"/>
    </row>
    <row r="458" spans="3:9" ht="12.75" customHeight="1" x14ac:dyDescent="0.2">
      <c r="C458" s="45"/>
      <c r="F458" s="45"/>
      <c r="I458" s="45"/>
    </row>
    <row r="459" spans="3:9" ht="12.75" customHeight="1" x14ac:dyDescent="0.2">
      <c r="C459" s="45"/>
      <c r="F459" s="45"/>
      <c r="I459" s="45"/>
    </row>
    <row r="460" spans="3:9" ht="12.75" customHeight="1" x14ac:dyDescent="0.2">
      <c r="C460" s="45"/>
      <c r="F460" s="45"/>
      <c r="I460" s="45"/>
    </row>
    <row r="461" spans="3:9" ht="12.75" customHeight="1" x14ac:dyDescent="0.2">
      <c r="C461" s="45"/>
      <c r="F461" s="45"/>
      <c r="I461" s="45"/>
    </row>
    <row r="462" spans="3:9" ht="12.75" customHeight="1" x14ac:dyDescent="0.2">
      <c r="C462" s="45"/>
      <c r="F462" s="45"/>
      <c r="I462" s="45"/>
    </row>
    <row r="463" spans="3:9" ht="12.75" customHeight="1" x14ac:dyDescent="0.2">
      <c r="C463" s="45"/>
      <c r="F463" s="45"/>
      <c r="I463" s="45"/>
    </row>
    <row r="464" spans="3:9" ht="12.75" customHeight="1" x14ac:dyDescent="0.2">
      <c r="C464" s="45"/>
      <c r="F464" s="45"/>
      <c r="I464" s="45"/>
    </row>
    <row r="465" spans="3:9" ht="12.75" customHeight="1" x14ac:dyDescent="0.2">
      <c r="C465" s="45"/>
      <c r="F465" s="45"/>
      <c r="I465" s="45"/>
    </row>
    <row r="466" spans="3:9" ht="12.75" customHeight="1" x14ac:dyDescent="0.2">
      <c r="C466" s="45"/>
      <c r="F466" s="45"/>
      <c r="I466" s="45"/>
    </row>
    <row r="467" spans="3:9" ht="12.75" customHeight="1" x14ac:dyDescent="0.2">
      <c r="C467" s="45"/>
      <c r="F467" s="45"/>
      <c r="I467" s="45"/>
    </row>
    <row r="468" spans="3:9" ht="12.75" customHeight="1" x14ac:dyDescent="0.2">
      <c r="C468" s="45"/>
      <c r="F468" s="45"/>
      <c r="I468" s="45"/>
    </row>
    <row r="469" spans="3:9" ht="12.75" customHeight="1" x14ac:dyDescent="0.2">
      <c r="C469" s="45"/>
      <c r="F469" s="45"/>
      <c r="I469" s="45"/>
    </row>
    <row r="470" spans="3:9" ht="12.75" customHeight="1" x14ac:dyDescent="0.2">
      <c r="C470" s="45"/>
      <c r="F470" s="45"/>
      <c r="I470" s="45"/>
    </row>
    <row r="471" spans="3:9" ht="12.75" customHeight="1" x14ac:dyDescent="0.2">
      <c r="C471" s="45"/>
      <c r="F471" s="45"/>
      <c r="I471" s="45"/>
    </row>
    <row r="472" spans="3:9" ht="12.75" customHeight="1" x14ac:dyDescent="0.2">
      <c r="C472" s="45"/>
      <c r="F472" s="45"/>
      <c r="I472" s="45"/>
    </row>
    <row r="473" spans="3:9" ht="12.75" customHeight="1" x14ac:dyDescent="0.2">
      <c r="C473" s="45"/>
      <c r="F473" s="45"/>
      <c r="I473" s="45"/>
    </row>
    <row r="474" spans="3:9" ht="12.75" customHeight="1" x14ac:dyDescent="0.2">
      <c r="C474" s="45"/>
      <c r="F474" s="45"/>
      <c r="I474" s="45"/>
    </row>
    <row r="475" spans="3:9" ht="12.75" customHeight="1" x14ac:dyDescent="0.2">
      <c r="C475" s="45"/>
      <c r="F475" s="45"/>
      <c r="I475" s="45"/>
    </row>
    <row r="476" spans="3:9" ht="12.75" customHeight="1" x14ac:dyDescent="0.2">
      <c r="C476" s="45"/>
      <c r="F476" s="45"/>
      <c r="I476" s="45"/>
    </row>
    <row r="477" spans="3:9" ht="12.75" customHeight="1" x14ac:dyDescent="0.2">
      <c r="C477" s="45"/>
      <c r="F477" s="45"/>
      <c r="I477" s="45"/>
    </row>
    <row r="478" spans="3:9" ht="12.75" customHeight="1" x14ac:dyDescent="0.2">
      <c r="C478" s="45"/>
      <c r="F478" s="45"/>
      <c r="I478" s="45"/>
    </row>
    <row r="479" spans="3:9" ht="12.75" customHeight="1" x14ac:dyDescent="0.2">
      <c r="C479" s="45"/>
      <c r="F479" s="45"/>
      <c r="I479" s="45"/>
    </row>
    <row r="480" spans="3:9" ht="12.75" customHeight="1" x14ac:dyDescent="0.2">
      <c r="C480" s="45"/>
      <c r="F480" s="45"/>
      <c r="I480" s="45"/>
    </row>
    <row r="481" spans="3:9" ht="12.75" customHeight="1" x14ac:dyDescent="0.2">
      <c r="C481" s="45"/>
      <c r="F481" s="45"/>
      <c r="I481" s="45"/>
    </row>
    <row r="482" spans="3:9" ht="12.75" customHeight="1" x14ac:dyDescent="0.2">
      <c r="C482" s="45"/>
      <c r="F482" s="45"/>
      <c r="I482" s="45"/>
    </row>
    <row r="483" spans="3:9" ht="12.75" customHeight="1" x14ac:dyDescent="0.2">
      <c r="C483" s="45"/>
      <c r="F483" s="45"/>
      <c r="I483" s="45"/>
    </row>
    <row r="484" spans="3:9" ht="12.75" customHeight="1" x14ac:dyDescent="0.2">
      <c r="C484" s="45"/>
      <c r="F484" s="45"/>
      <c r="I484" s="45"/>
    </row>
    <row r="485" spans="3:9" ht="12.75" customHeight="1" x14ac:dyDescent="0.2">
      <c r="C485" s="45"/>
      <c r="F485" s="45"/>
      <c r="I485" s="45"/>
    </row>
    <row r="486" spans="3:9" ht="12.75" customHeight="1" x14ac:dyDescent="0.2">
      <c r="C486" s="45"/>
      <c r="F486" s="45"/>
      <c r="I486" s="45"/>
    </row>
    <row r="487" spans="3:9" ht="12.75" customHeight="1" x14ac:dyDescent="0.2">
      <c r="C487" s="45"/>
      <c r="F487" s="45"/>
      <c r="I487" s="45"/>
    </row>
    <row r="488" spans="3:9" ht="12.75" customHeight="1" x14ac:dyDescent="0.2">
      <c r="C488" s="45"/>
      <c r="F488" s="45"/>
      <c r="I488" s="45"/>
    </row>
    <row r="489" spans="3:9" ht="12.75" customHeight="1" x14ac:dyDescent="0.2">
      <c r="C489" s="45"/>
      <c r="F489" s="45"/>
      <c r="I489" s="45"/>
    </row>
    <row r="490" spans="3:9" ht="12.75" customHeight="1" x14ac:dyDescent="0.2">
      <c r="C490" s="45"/>
      <c r="F490" s="45"/>
      <c r="I490" s="45"/>
    </row>
    <row r="491" spans="3:9" ht="12.75" customHeight="1" x14ac:dyDescent="0.2">
      <c r="C491" s="45"/>
      <c r="F491" s="45"/>
      <c r="I491" s="45"/>
    </row>
    <row r="492" spans="3:9" ht="12.75" customHeight="1" x14ac:dyDescent="0.2">
      <c r="C492" s="45"/>
      <c r="F492" s="45"/>
      <c r="I492" s="45"/>
    </row>
    <row r="493" spans="3:9" ht="12.75" customHeight="1" x14ac:dyDescent="0.2">
      <c r="C493" s="45"/>
      <c r="F493" s="45"/>
      <c r="I493" s="45"/>
    </row>
    <row r="494" spans="3:9" ht="12.75" customHeight="1" x14ac:dyDescent="0.2">
      <c r="C494" s="45"/>
      <c r="F494" s="45"/>
      <c r="I494" s="45"/>
    </row>
    <row r="495" spans="3:9" ht="12.75" customHeight="1" x14ac:dyDescent="0.2">
      <c r="C495" s="45"/>
      <c r="F495" s="45"/>
      <c r="I495" s="45"/>
    </row>
    <row r="496" spans="3:9" ht="12.75" customHeight="1" x14ac:dyDescent="0.2">
      <c r="C496" s="45"/>
      <c r="F496" s="45"/>
      <c r="I496" s="45"/>
    </row>
    <row r="497" spans="3:9" ht="12.75" customHeight="1" x14ac:dyDescent="0.2">
      <c r="C497" s="45"/>
      <c r="F497" s="45"/>
      <c r="I497" s="45"/>
    </row>
    <row r="498" spans="3:9" ht="12.75" customHeight="1" x14ac:dyDescent="0.2">
      <c r="C498" s="45"/>
      <c r="F498" s="45"/>
      <c r="I498" s="45"/>
    </row>
    <row r="499" spans="3:9" ht="12.75" customHeight="1" x14ac:dyDescent="0.2">
      <c r="C499" s="45"/>
      <c r="F499" s="45"/>
      <c r="I499" s="45"/>
    </row>
    <row r="500" spans="3:9" ht="12.75" customHeight="1" x14ac:dyDescent="0.2">
      <c r="C500" s="45"/>
      <c r="F500" s="45"/>
      <c r="I500" s="45"/>
    </row>
    <row r="501" spans="3:9" ht="12.75" customHeight="1" x14ac:dyDescent="0.2">
      <c r="C501" s="45"/>
      <c r="F501" s="45"/>
      <c r="I501" s="45"/>
    </row>
    <row r="502" spans="3:9" ht="12.75" customHeight="1" x14ac:dyDescent="0.2">
      <c r="C502" s="45"/>
      <c r="F502" s="45"/>
      <c r="I502" s="45"/>
    </row>
    <row r="503" spans="3:9" ht="12.75" customHeight="1" x14ac:dyDescent="0.2">
      <c r="C503" s="45"/>
      <c r="F503" s="45"/>
      <c r="I503" s="45"/>
    </row>
    <row r="504" spans="3:9" ht="12.75" customHeight="1" x14ac:dyDescent="0.2">
      <c r="C504" s="45"/>
      <c r="F504" s="45"/>
      <c r="I504" s="45"/>
    </row>
    <row r="505" spans="3:9" ht="12.75" customHeight="1" x14ac:dyDescent="0.2">
      <c r="C505" s="45"/>
      <c r="F505" s="45"/>
      <c r="I505" s="45"/>
    </row>
    <row r="506" spans="3:9" ht="12.75" customHeight="1" x14ac:dyDescent="0.2">
      <c r="C506" s="45"/>
      <c r="F506" s="45"/>
      <c r="I506" s="45"/>
    </row>
    <row r="507" spans="3:9" ht="12.75" customHeight="1" x14ac:dyDescent="0.2">
      <c r="C507" s="45"/>
      <c r="F507" s="45"/>
      <c r="I507" s="45"/>
    </row>
    <row r="508" spans="3:9" ht="12.75" customHeight="1" x14ac:dyDescent="0.2">
      <c r="C508" s="45"/>
      <c r="F508" s="45"/>
      <c r="I508" s="45"/>
    </row>
    <row r="509" spans="3:9" ht="12.75" customHeight="1" x14ac:dyDescent="0.2">
      <c r="C509" s="45"/>
      <c r="F509" s="45"/>
      <c r="I509" s="45"/>
    </row>
    <row r="510" spans="3:9" ht="12.75" customHeight="1" x14ac:dyDescent="0.2">
      <c r="C510" s="45"/>
      <c r="F510" s="45"/>
      <c r="I510" s="45"/>
    </row>
    <row r="511" spans="3:9" ht="12.75" customHeight="1" x14ac:dyDescent="0.2">
      <c r="C511" s="45"/>
      <c r="F511" s="45"/>
      <c r="I511" s="45"/>
    </row>
    <row r="512" spans="3:9" ht="12.75" customHeight="1" x14ac:dyDescent="0.2">
      <c r="C512" s="45"/>
      <c r="F512" s="45"/>
      <c r="I512" s="45"/>
    </row>
    <row r="513" spans="3:9" ht="12.75" customHeight="1" x14ac:dyDescent="0.2">
      <c r="C513" s="45"/>
      <c r="F513" s="45"/>
      <c r="I513" s="45"/>
    </row>
    <row r="514" spans="3:9" ht="12.75" customHeight="1" x14ac:dyDescent="0.2">
      <c r="C514" s="45"/>
      <c r="F514" s="45"/>
      <c r="I514" s="45"/>
    </row>
    <row r="515" spans="3:9" ht="12.75" customHeight="1" x14ac:dyDescent="0.2">
      <c r="C515" s="45"/>
      <c r="F515" s="45"/>
      <c r="I515" s="45"/>
    </row>
    <row r="516" spans="3:9" ht="12.75" customHeight="1" x14ac:dyDescent="0.2">
      <c r="C516" s="45"/>
      <c r="F516" s="45"/>
      <c r="I516" s="45"/>
    </row>
    <row r="517" spans="3:9" ht="12.75" customHeight="1" x14ac:dyDescent="0.2">
      <c r="C517" s="45"/>
      <c r="F517" s="45"/>
      <c r="I517" s="45"/>
    </row>
    <row r="518" spans="3:9" ht="12.75" customHeight="1" x14ac:dyDescent="0.2">
      <c r="C518" s="45"/>
      <c r="F518" s="45"/>
      <c r="I518" s="45"/>
    </row>
    <row r="519" spans="3:9" ht="12.75" customHeight="1" x14ac:dyDescent="0.2">
      <c r="C519" s="45"/>
      <c r="F519" s="45"/>
      <c r="I519" s="45"/>
    </row>
    <row r="520" spans="3:9" ht="12.75" customHeight="1" x14ac:dyDescent="0.2">
      <c r="C520" s="45"/>
      <c r="F520" s="45"/>
      <c r="I520" s="45"/>
    </row>
    <row r="521" spans="3:9" ht="12.75" customHeight="1" x14ac:dyDescent="0.2">
      <c r="C521" s="45"/>
      <c r="F521" s="45"/>
      <c r="I521" s="45"/>
    </row>
    <row r="522" spans="3:9" ht="12.75" customHeight="1" x14ac:dyDescent="0.2">
      <c r="C522" s="45"/>
      <c r="F522" s="45"/>
      <c r="I522" s="45"/>
    </row>
    <row r="523" spans="3:9" ht="12.75" customHeight="1" x14ac:dyDescent="0.2">
      <c r="C523" s="45"/>
      <c r="F523" s="45"/>
      <c r="I523" s="45"/>
    </row>
    <row r="524" spans="3:9" ht="12.75" customHeight="1" x14ac:dyDescent="0.2">
      <c r="C524" s="45"/>
      <c r="F524" s="45"/>
      <c r="I524" s="45"/>
    </row>
    <row r="525" spans="3:9" ht="12.75" customHeight="1" x14ac:dyDescent="0.2">
      <c r="C525" s="45"/>
      <c r="F525" s="45"/>
      <c r="I525" s="45"/>
    </row>
    <row r="526" spans="3:9" ht="12.75" customHeight="1" x14ac:dyDescent="0.2">
      <c r="C526" s="45"/>
      <c r="F526" s="45"/>
      <c r="I526" s="45"/>
    </row>
    <row r="527" spans="3:9" ht="12.75" customHeight="1" x14ac:dyDescent="0.2">
      <c r="C527" s="45"/>
      <c r="F527" s="45"/>
      <c r="I527" s="45"/>
    </row>
    <row r="528" spans="3:9" ht="12.75" customHeight="1" x14ac:dyDescent="0.2">
      <c r="C528" s="45"/>
      <c r="F528" s="45"/>
      <c r="I528" s="45"/>
    </row>
    <row r="529" spans="3:9" ht="12.75" customHeight="1" x14ac:dyDescent="0.2">
      <c r="C529" s="45"/>
      <c r="F529" s="45"/>
      <c r="I529" s="45"/>
    </row>
    <row r="530" spans="3:9" ht="12.75" customHeight="1" x14ac:dyDescent="0.2">
      <c r="C530" s="45"/>
      <c r="F530" s="45"/>
      <c r="I530" s="45"/>
    </row>
    <row r="531" spans="3:9" ht="12.75" customHeight="1" x14ac:dyDescent="0.2">
      <c r="C531" s="45"/>
      <c r="F531" s="45"/>
      <c r="I531" s="45"/>
    </row>
    <row r="532" spans="3:9" ht="12.75" customHeight="1" x14ac:dyDescent="0.2">
      <c r="C532" s="45"/>
      <c r="F532" s="45"/>
      <c r="I532" s="45"/>
    </row>
    <row r="533" spans="3:9" ht="12.75" customHeight="1" x14ac:dyDescent="0.2">
      <c r="C533" s="45"/>
      <c r="F533" s="45"/>
      <c r="I533" s="45"/>
    </row>
    <row r="534" spans="3:9" ht="12.75" customHeight="1" x14ac:dyDescent="0.2">
      <c r="C534" s="45"/>
      <c r="F534" s="45"/>
      <c r="I534" s="45"/>
    </row>
    <row r="535" spans="3:9" ht="12.75" customHeight="1" x14ac:dyDescent="0.2">
      <c r="C535" s="45"/>
      <c r="F535" s="45"/>
      <c r="I535" s="45"/>
    </row>
    <row r="536" spans="3:9" ht="12.75" customHeight="1" x14ac:dyDescent="0.2">
      <c r="C536" s="45"/>
      <c r="F536" s="45"/>
      <c r="I536" s="45"/>
    </row>
    <row r="537" spans="3:9" ht="12.75" customHeight="1" x14ac:dyDescent="0.2">
      <c r="C537" s="45"/>
      <c r="F537" s="45"/>
      <c r="I537" s="45"/>
    </row>
    <row r="538" spans="3:9" ht="12.75" customHeight="1" x14ac:dyDescent="0.2">
      <c r="C538" s="45"/>
      <c r="F538" s="45"/>
      <c r="I538" s="45"/>
    </row>
    <row r="539" spans="3:9" ht="12.75" customHeight="1" x14ac:dyDescent="0.2">
      <c r="C539" s="45"/>
      <c r="F539" s="45"/>
      <c r="I539" s="45"/>
    </row>
    <row r="540" spans="3:9" ht="12.75" customHeight="1" x14ac:dyDescent="0.2">
      <c r="C540" s="45"/>
      <c r="F540" s="45"/>
      <c r="I540" s="45"/>
    </row>
    <row r="541" spans="3:9" ht="12.75" customHeight="1" x14ac:dyDescent="0.2">
      <c r="C541" s="45"/>
      <c r="F541" s="45"/>
      <c r="I541" s="45"/>
    </row>
    <row r="542" spans="3:9" ht="12.75" customHeight="1" x14ac:dyDescent="0.2">
      <c r="C542" s="45"/>
      <c r="F542" s="45"/>
      <c r="I542" s="45"/>
    </row>
    <row r="543" spans="3:9" ht="12.75" customHeight="1" x14ac:dyDescent="0.2">
      <c r="C543" s="45"/>
      <c r="F543" s="45"/>
      <c r="I543" s="45"/>
    </row>
    <row r="544" spans="3:9" ht="12.75" customHeight="1" x14ac:dyDescent="0.2">
      <c r="C544" s="45"/>
      <c r="F544" s="45"/>
      <c r="I544" s="45"/>
    </row>
    <row r="545" spans="3:9" ht="12.75" customHeight="1" x14ac:dyDescent="0.2">
      <c r="C545" s="45"/>
      <c r="F545" s="45"/>
      <c r="I545" s="45"/>
    </row>
    <row r="546" spans="3:9" ht="12.75" customHeight="1" x14ac:dyDescent="0.2">
      <c r="C546" s="45"/>
      <c r="F546" s="45"/>
      <c r="I546" s="45"/>
    </row>
    <row r="547" spans="3:9" ht="12.75" customHeight="1" x14ac:dyDescent="0.2">
      <c r="C547" s="45"/>
      <c r="F547" s="45"/>
      <c r="I547" s="45"/>
    </row>
    <row r="548" spans="3:9" ht="12.75" customHeight="1" x14ac:dyDescent="0.2">
      <c r="C548" s="45"/>
      <c r="F548" s="45"/>
      <c r="I548" s="45"/>
    </row>
    <row r="549" spans="3:9" ht="12.75" customHeight="1" x14ac:dyDescent="0.2">
      <c r="C549" s="45"/>
      <c r="F549" s="45"/>
      <c r="I549" s="45"/>
    </row>
    <row r="550" spans="3:9" ht="12.75" customHeight="1" x14ac:dyDescent="0.2">
      <c r="C550" s="45"/>
      <c r="F550" s="45"/>
      <c r="I550" s="45"/>
    </row>
    <row r="551" spans="3:9" ht="12.75" customHeight="1" x14ac:dyDescent="0.2">
      <c r="C551" s="45"/>
      <c r="F551" s="45"/>
      <c r="I551" s="45"/>
    </row>
    <row r="552" spans="3:9" ht="12.75" customHeight="1" x14ac:dyDescent="0.2">
      <c r="C552" s="45"/>
      <c r="F552" s="45"/>
      <c r="I552" s="45"/>
    </row>
    <row r="553" spans="3:9" ht="12.75" customHeight="1" x14ac:dyDescent="0.2">
      <c r="C553" s="45"/>
      <c r="F553" s="45"/>
      <c r="I553" s="45"/>
    </row>
    <row r="554" spans="3:9" ht="12.75" customHeight="1" x14ac:dyDescent="0.2">
      <c r="C554" s="45"/>
      <c r="F554" s="45"/>
      <c r="I554" s="45"/>
    </row>
    <row r="555" spans="3:9" ht="12.75" customHeight="1" x14ac:dyDescent="0.2">
      <c r="C555" s="45"/>
      <c r="F555" s="45"/>
      <c r="I555" s="45"/>
    </row>
    <row r="556" spans="3:9" ht="12.75" customHeight="1" x14ac:dyDescent="0.2">
      <c r="C556" s="45"/>
      <c r="F556" s="45"/>
      <c r="I556" s="45"/>
    </row>
    <row r="557" spans="3:9" ht="12.75" customHeight="1" x14ac:dyDescent="0.2">
      <c r="C557" s="45"/>
      <c r="F557" s="45"/>
      <c r="I557" s="45"/>
    </row>
    <row r="558" spans="3:9" ht="12.75" customHeight="1" x14ac:dyDescent="0.2">
      <c r="C558" s="45"/>
      <c r="F558" s="45"/>
      <c r="I558" s="45"/>
    </row>
    <row r="559" spans="3:9" ht="12.75" customHeight="1" x14ac:dyDescent="0.2">
      <c r="C559" s="45"/>
      <c r="F559" s="45"/>
      <c r="I559" s="45"/>
    </row>
    <row r="560" spans="3:9" ht="12.75" customHeight="1" x14ac:dyDescent="0.2">
      <c r="C560" s="45"/>
      <c r="F560" s="45"/>
      <c r="I560" s="45"/>
    </row>
    <row r="561" spans="3:9" ht="12.75" customHeight="1" x14ac:dyDescent="0.2">
      <c r="C561" s="45"/>
      <c r="F561" s="45"/>
      <c r="I561" s="45"/>
    </row>
    <row r="562" spans="3:9" ht="12.75" customHeight="1" x14ac:dyDescent="0.2">
      <c r="C562" s="45"/>
      <c r="F562" s="45"/>
      <c r="I562" s="45"/>
    </row>
    <row r="563" spans="3:9" ht="12.75" customHeight="1" x14ac:dyDescent="0.2">
      <c r="C563" s="45"/>
      <c r="F563" s="45"/>
      <c r="I563" s="45"/>
    </row>
    <row r="564" spans="3:9" ht="12.75" customHeight="1" x14ac:dyDescent="0.2">
      <c r="C564" s="45"/>
      <c r="F564" s="45"/>
      <c r="I564" s="45"/>
    </row>
    <row r="565" spans="3:9" ht="12.75" customHeight="1" x14ac:dyDescent="0.2">
      <c r="C565" s="45"/>
      <c r="F565" s="45"/>
      <c r="I565" s="45"/>
    </row>
    <row r="566" spans="3:9" ht="12.75" customHeight="1" x14ac:dyDescent="0.2">
      <c r="C566" s="45"/>
      <c r="F566" s="45"/>
      <c r="I566" s="45"/>
    </row>
    <row r="567" spans="3:9" ht="12.75" customHeight="1" x14ac:dyDescent="0.2">
      <c r="C567" s="45"/>
      <c r="F567" s="45"/>
      <c r="I567" s="45"/>
    </row>
    <row r="568" spans="3:9" ht="12.75" customHeight="1" x14ac:dyDescent="0.2">
      <c r="C568" s="45"/>
      <c r="F568" s="45"/>
      <c r="I568" s="45"/>
    </row>
    <row r="569" spans="3:9" ht="12.75" customHeight="1" x14ac:dyDescent="0.2">
      <c r="C569" s="45"/>
      <c r="F569" s="45"/>
      <c r="I569" s="45"/>
    </row>
    <row r="570" spans="3:9" ht="12.75" customHeight="1" x14ac:dyDescent="0.2">
      <c r="C570" s="45"/>
      <c r="F570" s="45"/>
      <c r="I570" s="45"/>
    </row>
    <row r="571" spans="3:9" ht="12.75" customHeight="1" x14ac:dyDescent="0.2">
      <c r="C571" s="45"/>
      <c r="F571" s="45"/>
      <c r="I571" s="45"/>
    </row>
    <row r="572" spans="3:9" ht="12.75" customHeight="1" x14ac:dyDescent="0.2">
      <c r="C572" s="45"/>
      <c r="F572" s="45"/>
      <c r="I572" s="45"/>
    </row>
    <row r="573" spans="3:9" ht="12.75" customHeight="1" x14ac:dyDescent="0.2">
      <c r="C573" s="45"/>
      <c r="F573" s="45"/>
      <c r="I573" s="45"/>
    </row>
    <row r="574" spans="3:9" ht="12.75" customHeight="1" x14ac:dyDescent="0.2">
      <c r="C574" s="45"/>
      <c r="F574" s="45"/>
      <c r="I574" s="45"/>
    </row>
    <row r="575" spans="3:9" ht="12.75" customHeight="1" x14ac:dyDescent="0.2">
      <c r="C575" s="45"/>
      <c r="F575" s="45"/>
      <c r="I575" s="45"/>
    </row>
    <row r="576" spans="3:9" ht="12.75" customHeight="1" x14ac:dyDescent="0.2">
      <c r="C576" s="45"/>
      <c r="F576" s="45"/>
      <c r="I576" s="45"/>
    </row>
    <row r="577" spans="3:9" ht="12.75" customHeight="1" x14ac:dyDescent="0.2">
      <c r="C577" s="45"/>
      <c r="F577" s="45"/>
      <c r="I577" s="45"/>
    </row>
    <row r="578" spans="3:9" ht="12.75" customHeight="1" x14ac:dyDescent="0.2">
      <c r="C578" s="45"/>
      <c r="F578" s="45"/>
      <c r="I578" s="45"/>
    </row>
    <row r="579" spans="3:9" ht="12.75" customHeight="1" x14ac:dyDescent="0.2">
      <c r="C579" s="45"/>
      <c r="F579" s="45"/>
      <c r="I579" s="45"/>
    </row>
    <row r="580" spans="3:9" ht="12.75" customHeight="1" x14ac:dyDescent="0.2">
      <c r="C580" s="45"/>
      <c r="F580" s="45"/>
      <c r="I580" s="45"/>
    </row>
    <row r="581" spans="3:9" ht="12.75" customHeight="1" x14ac:dyDescent="0.2">
      <c r="C581" s="45"/>
      <c r="F581" s="45"/>
      <c r="I581" s="45"/>
    </row>
    <row r="582" spans="3:9" ht="12.75" customHeight="1" x14ac:dyDescent="0.2">
      <c r="C582" s="45"/>
      <c r="F582" s="45"/>
      <c r="I582" s="45"/>
    </row>
    <row r="583" spans="3:9" ht="12.75" customHeight="1" x14ac:dyDescent="0.2">
      <c r="C583" s="45"/>
      <c r="F583" s="45"/>
      <c r="I583" s="45"/>
    </row>
    <row r="584" spans="3:9" ht="12.75" customHeight="1" x14ac:dyDescent="0.2">
      <c r="C584" s="45"/>
      <c r="F584" s="45"/>
      <c r="I584" s="45"/>
    </row>
    <row r="585" spans="3:9" ht="12.75" customHeight="1" x14ac:dyDescent="0.2">
      <c r="C585" s="45"/>
      <c r="F585" s="45"/>
      <c r="I585" s="45"/>
    </row>
    <row r="586" spans="3:9" ht="12.75" customHeight="1" x14ac:dyDescent="0.2">
      <c r="C586" s="45"/>
      <c r="F586" s="45"/>
      <c r="I586" s="45"/>
    </row>
    <row r="587" spans="3:9" ht="12.75" customHeight="1" x14ac:dyDescent="0.2">
      <c r="C587" s="45"/>
      <c r="F587" s="45"/>
      <c r="I587" s="45"/>
    </row>
    <row r="588" spans="3:9" ht="12.75" customHeight="1" x14ac:dyDescent="0.2">
      <c r="C588" s="45"/>
      <c r="F588" s="45"/>
      <c r="I588" s="45"/>
    </row>
    <row r="589" spans="3:9" ht="12.75" customHeight="1" x14ac:dyDescent="0.2">
      <c r="C589" s="45"/>
      <c r="F589" s="45"/>
      <c r="I589" s="45"/>
    </row>
    <row r="590" spans="3:9" ht="12.75" customHeight="1" x14ac:dyDescent="0.2">
      <c r="C590" s="45"/>
      <c r="F590" s="45"/>
      <c r="I590" s="45"/>
    </row>
    <row r="591" spans="3:9" ht="12.75" customHeight="1" x14ac:dyDescent="0.2">
      <c r="C591" s="45"/>
      <c r="F591" s="45"/>
      <c r="I591" s="45"/>
    </row>
    <row r="592" spans="3:9" ht="12.75" customHeight="1" x14ac:dyDescent="0.2">
      <c r="C592" s="45"/>
      <c r="F592" s="45"/>
      <c r="I592" s="45"/>
    </row>
    <row r="593" spans="3:9" ht="12.75" customHeight="1" x14ac:dyDescent="0.2">
      <c r="C593" s="45"/>
      <c r="F593" s="45"/>
      <c r="I593" s="45"/>
    </row>
    <row r="594" spans="3:9" ht="12.75" customHeight="1" x14ac:dyDescent="0.2">
      <c r="C594" s="45"/>
      <c r="F594" s="45"/>
      <c r="I594" s="45"/>
    </row>
    <row r="595" spans="3:9" ht="12.75" customHeight="1" x14ac:dyDescent="0.2">
      <c r="C595" s="45"/>
      <c r="F595" s="45"/>
      <c r="I595" s="45"/>
    </row>
    <row r="596" spans="3:9" ht="12.75" customHeight="1" x14ac:dyDescent="0.2">
      <c r="C596" s="45"/>
      <c r="F596" s="45"/>
      <c r="I596" s="45"/>
    </row>
    <row r="597" spans="3:9" ht="12.75" customHeight="1" x14ac:dyDescent="0.2">
      <c r="C597" s="45"/>
      <c r="F597" s="45"/>
      <c r="I597" s="45"/>
    </row>
    <row r="598" spans="3:9" ht="12.75" customHeight="1" x14ac:dyDescent="0.2">
      <c r="C598" s="45"/>
      <c r="F598" s="45"/>
      <c r="I598" s="45"/>
    </row>
    <row r="599" spans="3:9" ht="12.75" customHeight="1" x14ac:dyDescent="0.2">
      <c r="C599" s="45"/>
      <c r="F599" s="45"/>
      <c r="I599" s="45"/>
    </row>
    <row r="600" spans="3:9" ht="12.75" customHeight="1" x14ac:dyDescent="0.2">
      <c r="C600" s="45"/>
      <c r="F600" s="45"/>
      <c r="I600" s="45"/>
    </row>
    <row r="601" spans="3:9" ht="12.75" customHeight="1" x14ac:dyDescent="0.2">
      <c r="C601" s="45"/>
      <c r="F601" s="45"/>
      <c r="I601" s="45"/>
    </row>
    <row r="602" spans="3:9" ht="12.75" customHeight="1" x14ac:dyDescent="0.2">
      <c r="C602" s="45"/>
      <c r="F602" s="45"/>
      <c r="I602" s="45"/>
    </row>
    <row r="603" spans="3:9" ht="12.75" customHeight="1" x14ac:dyDescent="0.2">
      <c r="C603" s="45"/>
      <c r="F603" s="45"/>
      <c r="I603" s="45"/>
    </row>
    <row r="604" spans="3:9" ht="12.75" customHeight="1" x14ac:dyDescent="0.2">
      <c r="C604" s="45"/>
      <c r="F604" s="45"/>
      <c r="I604" s="45"/>
    </row>
    <row r="605" spans="3:9" ht="12.75" customHeight="1" x14ac:dyDescent="0.2">
      <c r="C605" s="45"/>
      <c r="F605" s="45"/>
      <c r="I605" s="45"/>
    </row>
    <row r="606" spans="3:9" ht="12.75" customHeight="1" x14ac:dyDescent="0.2">
      <c r="C606" s="45"/>
      <c r="F606" s="45"/>
      <c r="I606" s="45"/>
    </row>
    <row r="607" spans="3:9" ht="12.75" customHeight="1" x14ac:dyDescent="0.2">
      <c r="C607" s="45"/>
      <c r="F607" s="45"/>
      <c r="I607" s="45"/>
    </row>
    <row r="608" spans="3:9" ht="12.75" customHeight="1" x14ac:dyDescent="0.2">
      <c r="C608" s="45"/>
      <c r="F608" s="45"/>
      <c r="I608" s="45"/>
    </row>
    <row r="609" spans="3:9" ht="12.75" customHeight="1" x14ac:dyDescent="0.2">
      <c r="C609" s="45"/>
      <c r="F609" s="45"/>
      <c r="I609" s="45"/>
    </row>
    <row r="610" spans="3:9" ht="12.75" customHeight="1" x14ac:dyDescent="0.2">
      <c r="C610" s="45"/>
      <c r="F610" s="45"/>
      <c r="I610" s="45"/>
    </row>
    <row r="611" spans="3:9" ht="12.75" customHeight="1" x14ac:dyDescent="0.2">
      <c r="C611" s="45"/>
      <c r="F611" s="45"/>
      <c r="I611" s="45"/>
    </row>
    <row r="612" spans="3:9" ht="12.75" customHeight="1" x14ac:dyDescent="0.2">
      <c r="C612" s="45"/>
      <c r="F612" s="45"/>
      <c r="I612" s="45"/>
    </row>
    <row r="613" spans="3:9" ht="12.75" customHeight="1" x14ac:dyDescent="0.2">
      <c r="C613" s="45"/>
      <c r="F613" s="45"/>
      <c r="I613" s="45"/>
    </row>
    <row r="614" spans="3:9" ht="12.75" customHeight="1" x14ac:dyDescent="0.2">
      <c r="C614" s="45"/>
      <c r="F614" s="45"/>
      <c r="I614" s="45"/>
    </row>
    <row r="615" spans="3:9" ht="12.75" customHeight="1" x14ac:dyDescent="0.2">
      <c r="C615" s="45"/>
      <c r="F615" s="45"/>
      <c r="I615" s="45"/>
    </row>
    <row r="616" spans="3:9" ht="12.75" customHeight="1" x14ac:dyDescent="0.2">
      <c r="C616" s="45"/>
      <c r="F616" s="45"/>
      <c r="I616" s="45"/>
    </row>
    <row r="617" spans="3:9" ht="12.75" customHeight="1" x14ac:dyDescent="0.2">
      <c r="C617" s="45"/>
      <c r="F617" s="45"/>
      <c r="I617" s="45"/>
    </row>
    <row r="618" spans="3:9" ht="12.75" customHeight="1" x14ac:dyDescent="0.2">
      <c r="C618" s="45"/>
      <c r="F618" s="45"/>
      <c r="I618" s="45"/>
    </row>
    <row r="619" spans="3:9" ht="12.75" customHeight="1" x14ac:dyDescent="0.2">
      <c r="C619" s="45"/>
      <c r="F619" s="45"/>
      <c r="I619" s="45"/>
    </row>
    <row r="620" spans="3:9" ht="12.75" customHeight="1" x14ac:dyDescent="0.2">
      <c r="C620" s="45"/>
      <c r="F620" s="45"/>
      <c r="I620" s="45"/>
    </row>
    <row r="621" spans="3:9" ht="12.75" customHeight="1" x14ac:dyDescent="0.2">
      <c r="C621" s="45"/>
      <c r="F621" s="45"/>
      <c r="I621" s="45"/>
    </row>
    <row r="622" spans="3:9" ht="12.75" customHeight="1" x14ac:dyDescent="0.2">
      <c r="C622" s="45"/>
      <c r="F622" s="45"/>
      <c r="I622" s="45"/>
    </row>
    <row r="623" spans="3:9" ht="12.75" customHeight="1" x14ac:dyDescent="0.2">
      <c r="C623" s="45"/>
      <c r="F623" s="45"/>
      <c r="I623" s="45"/>
    </row>
    <row r="624" spans="3:9" ht="12.75" customHeight="1" x14ac:dyDescent="0.2">
      <c r="C624" s="45"/>
      <c r="F624" s="45"/>
      <c r="I624" s="45"/>
    </row>
    <row r="625" spans="3:9" ht="12.75" customHeight="1" x14ac:dyDescent="0.2">
      <c r="C625" s="45"/>
      <c r="F625" s="45"/>
      <c r="I625" s="45"/>
    </row>
    <row r="626" spans="3:9" ht="12.75" customHeight="1" x14ac:dyDescent="0.2">
      <c r="C626" s="45"/>
      <c r="F626" s="45"/>
      <c r="I626" s="45"/>
    </row>
    <row r="627" spans="3:9" ht="12.75" customHeight="1" x14ac:dyDescent="0.2">
      <c r="C627" s="45"/>
      <c r="F627" s="45"/>
      <c r="I627" s="45"/>
    </row>
    <row r="628" spans="3:9" ht="12.75" customHeight="1" x14ac:dyDescent="0.2">
      <c r="C628" s="45"/>
      <c r="F628" s="45"/>
      <c r="I628" s="45"/>
    </row>
    <row r="629" spans="3:9" ht="12.75" customHeight="1" x14ac:dyDescent="0.2">
      <c r="C629" s="45"/>
      <c r="F629" s="45"/>
      <c r="I629" s="45"/>
    </row>
    <row r="630" spans="3:9" ht="12.75" customHeight="1" x14ac:dyDescent="0.2">
      <c r="C630" s="45"/>
      <c r="F630" s="45"/>
      <c r="I630" s="45"/>
    </row>
    <row r="631" spans="3:9" ht="12.75" customHeight="1" x14ac:dyDescent="0.2">
      <c r="C631" s="45"/>
      <c r="F631" s="45"/>
      <c r="I631" s="45"/>
    </row>
    <row r="632" spans="3:9" ht="12.75" customHeight="1" x14ac:dyDescent="0.2">
      <c r="C632" s="45"/>
      <c r="F632" s="45"/>
      <c r="I632" s="45"/>
    </row>
    <row r="633" spans="3:9" ht="12.75" customHeight="1" x14ac:dyDescent="0.2">
      <c r="C633" s="45"/>
      <c r="F633" s="45"/>
      <c r="I633" s="45"/>
    </row>
    <row r="634" spans="3:9" ht="12.75" customHeight="1" x14ac:dyDescent="0.2">
      <c r="C634" s="45"/>
      <c r="F634" s="45"/>
      <c r="I634" s="45"/>
    </row>
    <row r="635" spans="3:9" ht="12.75" customHeight="1" x14ac:dyDescent="0.2">
      <c r="C635" s="45"/>
      <c r="F635" s="45"/>
      <c r="I635" s="45"/>
    </row>
    <row r="636" spans="3:9" ht="12.75" customHeight="1" x14ac:dyDescent="0.2">
      <c r="C636" s="45"/>
      <c r="F636" s="45"/>
      <c r="I636" s="45"/>
    </row>
    <row r="637" spans="3:9" ht="12.75" customHeight="1" x14ac:dyDescent="0.2">
      <c r="C637" s="45"/>
      <c r="F637" s="45"/>
      <c r="I637" s="45"/>
    </row>
    <row r="638" spans="3:9" ht="12.75" customHeight="1" x14ac:dyDescent="0.2">
      <c r="C638" s="45"/>
      <c r="F638" s="45"/>
      <c r="I638" s="45"/>
    </row>
    <row r="639" spans="3:9" ht="12.75" customHeight="1" x14ac:dyDescent="0.2">
      <c r="C639" s="45"/>
      <c r="F639" s="45"/>
      <c r="I639" s="45"/>
    </row>
    <row r="640" spans="3:9" ht="12.75" customHeight="1" x14ac:dyDescent="0.2">
      <c r="C640" s="45"/>
      <c r="F640" s="45"/>
      <c r="I640" s="45"/>
    </row>
    <row r="641" spans="3:9" ht="12.75" customHeight="1" x14ac:dyDescent="0.2">
      <c r="C641" s="45"/>
      <c r="F641" s="45"/>
      <c r="I641" s="45"/>
    </row>
    <row r="642" spans="3:9" ht="12.75" customHeight="1" x14ac:dyDescent="0.2">
      <c r="C642" s="45"/>
      <c r="F642" s="45"/>
      <c r="I642" s="45"/>
    </row>
    <row r="643" spans="3:9" ht="12.75" customHeight="1" x14ac:dyDescent="0.2">
      <c r="C643" s="45"/>
      <c r="F643" s="45"/>
      <c r="I643" s="45"/>
    </row>
    <row r="644" spans="3:9" ht="12.75" customHeight="1" x14ac:dyDescent="0.2">
      <c r="C644" s="45"/>
      <c r="F644" s="45"/>
      <c r="I644" s="45"/>
    </row>
    <row r="645" spans="3:9" ht="12.75" customHeight="1" x14ac:dyDescent="0.2">
      <c r="C645" s="45"/>
      <c r="F645" s="45"/>
      <c r="I645" s="45"/>
    </row>
    <row r="646" spans="3:9" ht="12.75" customHeight="1" x14ac:dyDescent="0.2">
      <c r="C646" s="45"/>
      <c r="F646" s="45"/>
      <c r="I646" s="45"/>
    </row>
    <row r="647" spans="3:9" ht="12.75" customHeight="1" x14ac:dyDescent="0.2">
      <c r="C647" s="45"/>
      <c r="F647" s="45"/>
      <c r="I647" s="45"/>
    </row>
    <row r="648" spans="3:9" ht="12.75" customHeight="1" x14ac:dyDescent="0.2">
      <c r="C648" s="45"/>
      <c r="F648" s="45"/>
      <c r="I648" s="45"/>
    </row>
    <row r="649" spans="3:9" ht="12.75" customHeight="1" x14ac:dyDescent="0.2">
      <c r="C649" s="45"/>
      <c r="F649" s="45"/>
      <c r="I649" s="45"/>
    </row>
    <row r="650" spans="3:9" ht="12.75" customHeight="1" x14ac:dyDescent="0.2">
      <c r="C650" s="45"/>
      <c r="F650" s="45"/>
      <c r="I650" s="45"/>
    </row>
    <row r="651" spans="3:9" ht="12.75" customHeight="1" x14ac:dyDescent="0.2">
      <c r="C651" s="45"/>
      <c r="F651" s="45"/>
      <c r="I651" s="45"/>
    </row>
    <row r="652" spans="3:9" ht="12.75" customHeight="1" x14ac:dyDescent="0.2">
      <c r="C652" s="45"/>
      <c r="F652" s="45"/>
      <c r="I652" s="45"/>
    </row>
    <row r="653" spans="3:9" ht="12.75" customHeight="1" x14ac:dyDescent="0.2">
      <c r="C653" s="45"/>
      <c r="F653" s="45"/>
      <c r="I653" s="45"/>
    </row>
    <row r="654" spans="3:9" ht="12.75" customHeight="1" x14ac:dyDescent="0.2">
      <c r="C654" s="45"/>
      <c r="F654" s="45"/>
      <c r="I654" s="45"/>
    </row>
    <row r="655" spans="3:9" ht="12.75" customHeight="1" x14ac:dyDescent="0.2">
      <c r="C655" s="45"/>
      <c r="F655" s="45"/>
      <c r="I655" s="45"/>
    </row>
    <row r="656" spans="3:9" ht="12.75" customHeight="1" x14ac:dyDescent="0.2">
      <c r="C656" s="45"/>
      <c r="F656" s="45"/>
      <c r="I656" s="45"/>
    </row>
    <row r="657" spans="3:9" ht="12.75" customHeight="1" x14ac:dyDescent="0.2">
      <c r="C657" s="45"/>
      <c r="F657" s="45"/>
      <c r="I657" s="45"/>
    </row>
    <row r="658" spans="3:9" ht="12.75" customHeight="1" x14ac:dyDescent="0.2">
      <c r="C658" s="45"/>
      <c r="F658" s="45"/>
      <c r="I658" s="45"/>
    </row>
    <row r="659" spans="3:9" ht="12.75" customHeight="1" x14ac:dyDescent="0.2">
      <c r="C659" s="45"/>
      <c r="F659" s="45"/>
      <c r="I659" s="45"/>
    </row>
    <row r="660" spans="3:9" ht="12.75" customHeight="1" x14ac:dyDescent="0.2">
      <c r="C660" s="45"/>
      <c r="F660" s="45"/>
      <c r="I660" s="45"/>
    </row>
    <row r="661" spans="3:9" ht="12.75" customHeight="1" x14ac:dyDescent="0.2">
      <c r="C661" s="45"/>
      <c r="F661" s="45"/>
      <c r="I661" s="45"/>
    </row>
    <row r="662" spans="3:9" ht="12.75" customHeight="1" x14ac:dyDescent="0.2">
      <c r="C662" s="45"/>
      <c r="F662" s="45"/>
      <c r="I662" s="45"/>
    </row>
    <row r="663" spans="3:9" ht="12.75" customHeight="1" x14ac:dyDescent="0.2">
      <c r="C663" s="45"/>
      <c r="F663" s="45"/>
      <c r="I663" s="45"/>
    </row>
    <row r="664" spans="3:9" ht="12.75" customHeight="1" x14ac:dyDescent="0.2">
      <c r="C664" s="45"/>
      <c r="F664" s="45"/>
      <c r="I664" s="45"/>
    </row>
    <row r="665" spans="3:9" ht="12.75" customHeight="1" x14ac:dyDescent="0.2">
      <c r="C665" s="45"/>
      <c r="F665" s="45"/>
      <c r="I665" s="45"/>
    </row>
    <row r="666" spans="3:9" ht="12.75" customHeight="1" x14ac:dyDescent="0.2">
      <c r="C666" s="45"/>
      <c r="F666" s="45"/>
      <c r="I666" s="45"/>
    </row>
    <row r="667" spans="3:9" ht="12.75" customHeight="1" x14ac:dyDescent="0.2">
      <c r="C667" s="45"/>
      <c r="F667" s="45"/>
      <c r="I667" s="45"/>
    </row>
    <row r="668" spans="3:9" ht="12.75" customHeight="1" x14ac:dyDescent="0.2">
      <c r="C668" s="45"/>
      <c r="F668" s="45"/>
      <c r="I668" s="45"/>
    </row>
    <row r="669" spans="3:9" ht="12.75" customHeight="1" x14ac:dyDescent="0.2">
      <c r="C669" s="45"/>
      <c r="F669" s="45"/>
      <c r="I669" s="45"/>
    </row>
    <row r="670" spans="3:9" ht="12.75" customHeight="1" x14ac:dyDescent="0.2">
      <c r="C670" s="45"/>
      <c r="F670" s="45"/>
      <c r="I670" s="45"/>
    </row>
    <row r="671" spans="3:9" ht="12.75" customHeight="1" x14ac:dyDescent="0.2">
      <c r="C671" s="45"/>
      <c r="F671" s="45"/>
      <c r="I671" s="45"/>
    </row>
    <row r="672" spans="3:9" ht="12.75" customHeight="1" x14ac:dyDescent="0.2">
      <c r="C672" s="45"/>
      <c r="F672" s="45"/>
      <c r="I672" s="45"/>
    </row>
    <row r="673" spans="3:9" ht="12.75" customHeight="1" x14ac:dyDescent="0.2">
      <c r="C673" s="45"/>
      <c r="F673" s="45"/>
      <c r="I673" s="45"/>
    </row>
    <row r="674" spans="3:9" ht="12.75" customHeight="1" x14ac:dyDescent="0.2">
      <c r="C674" s="45"/>
      <c r="F674" s="45"/>
      <c r="I674" s="45"/>
    </row>
    <row r="675" spans="3:9" ht="12.75" customHeight="1" x14ac:dyDescent="0.2">
      <c r="C675" s="45"/>
      <c r="F675" s="45"/>
      <c r="I675" s="45"/>
    </row>
    <row r="676" spans="3:9" ht="12.75" customHeight="1" x14ac:dyDescent="0.2">
      <c r="C676" s="45"/>
      <c r="F676" s="45"/>
      <c r="I676" s="45"/>
    </row>
    <row r="677" spans="3:9" ht="12.75" customHeight="1" x14ac:dyDescent="0.2">
      <c r="C677" s="45"/>
      <c r="F677" s="45"/>
      <c r="I677" s="45"/>
    </row>
    <row r="678" spans="3:9" ht="12.75" customHeight="1" x14ac:dyDescent="0.2">
      <c r="C678" s="45"/>
      <c r="F678" s="45"/>
      <c r="I678" s="45"/>
    </row>
    <row r="679" spans="3:9" ht="12.75" customHeight="1" x14ac:dyDescent="0.2">
      <c r="C679" s="45"/>
      <c r="F679" s="45"/>
      <c r="I679" s="45"/>
    </row>
    <row r="680" spans="3:9" ht="12.75" customHeight="1" x14ac:dyDescent="0.2">
      <c r="C680" s="45"/>
      <c r="F680" s="45"/>
      <c r="I680" s="45"/>
    </row>
    <row r="681" spans="3:9" ht="12.75" customHeight="1" x14ac:dyDescent="0.2">
      <c r="C681" s="45"/>
      <c r="F681" s="45"/>
      <c r="I681" s="45"/>
    </row>
    <row r="682" spans="3:9" ht="12.75" customHeight="1" x14ac:dyDescent="0.2">
      <c r="C682" s="45"/>
      <c r="F682" s="45"/>
      <c r="I682" s="45"/>
    </row>
    <row r="683" spans="3:9" ht="12.75" customHeight="1" x14ac:dyDescent="0.2">
      <c r="C683" s="45"/>
      <c r="F683" s="45"/>
      <c r="I683" s="45"/>
    </row>
    <row r="684" spans="3:9" ht="12.75" customHeight="1" x14ac:dyDescent="0.2">
      <c r="C684" s="45"/>
      <c r="F684" s="45"/>
      <c r="I684" s="45"/>
    </row>
    <row r="685" spans="3:9" ht="12.75" customHeight="1" x14ac:dyDescent="0.2">
      <c r="C685" s="45"/>
      <c r="F685" s="45"/>
      <c r="I685" s="45"/>
    </row>
    <row r="686" spans="3:9" ht="12.75" customHeight="1" x14ac:dyDescent="0.2">
      <c r="C686" s="45"/>
      <c r="F686" s="45"/>
      <c r="I686" s="45"/>
    </row>
    <row r="687" spans="3:9" ht="12.75" customHeight="1" x14ac:dyDescent="0.2">
      <c r="C687" s="45"/>
      <c r="F687" s="45"/>
      <c r="I687" s="45"/>
    </row>
    <row r="688" spans="3:9" ht="12.75" customHeight="1" x14ac:dyDescent="0.2">
      <c r="C688" s="45"/>
      <c r="F688" s="45"/>
      <c r="I688" s="45"/>
    </row>
    <row r="689" spans="3:9" ht="12.75" customHeight="1" x14ac:dyDescent="0.2">
      <c r="C689" s="45"/>
      <c r="F689" s="45"/>
      <c r="I689" s="45"/>
    </row>
    <row r="690" spans="3:9" ht="12.75" customHeight="1" x14ac:dyDescent="0.2">
      <c r="C690" s="45"/>
      <c r="F690" s="45"/>
      <c r="I690" s="45"/>
    </row>
    <row r="691" spans="3:9" ht="12.75" customHeight="1" x14ac:dyDescent="0.2">
      <c r="C691" s="45"/>
      <c r="F691" s="45"/>
      <c r="I691" s="45"/>
    </row>
    <row r="692" spans="3:9" ht="12.75" customHeight="1" x14ac:dyDescent="0.2">
      <c r="C692" s="45"/>
      <c r="F692" s="45"/>
      <c r="I692" s="45"/>
    </row>
    <row r="693" spans="3:9" ht="12.75" customHeight="1" x14ac:dyDescent="0.2">
      <c r="C693" s="45"/>
      <c r="F693" s="45"/>
      <c r="I693" s="45"/>
    </row>
    <row r="694" spans="3:9" ht="12.75" customHeight="1" x14ac:dyDescent="0.2">
      <c r="C694" s="45"/>
      <c r="F694" s="45"/>
      <c r="I694" s="45"/>
    </row>
    <row r="695" spans="3:9" ht="12.75" customHeight="1" x14ac:dyDescent="0.2">
      <c r="C695" s="45"/>
      <c r="F695" s="45"/>
      <c r="I695" s="45"/>
    </row>
    <row r="696" spans="3:9" ht="12.75" customHeight="1" x14ac:dyDescent="0.2">
      <c r="C696" s="45"/>
      <c r="F696" s="45"/>
      <c r="I696" s="45"/>
    </row>
    <row r="697" spans="3:9" ht="12.75" customHeight="1" x14ac:dyDescent="0.2">
      <c r="C697" s="45"/>
      <c r="F697" s="45"/>
      <c r="I697" s="45"/>
    </row>
    <row r="698" spans="3:9" ht="12.75" customHeight="1" x14ac:dyDescent="0.2">
      <c r="C698" s="45"/>
      <c r="F698" s="45"/>
      <c r="I698" s="45"/>
    </row>
    <row r="699" spans="3:9" ht="12.75" customHeight="1" x14ac:dyDescent="0.2">
      <c r="C699" s="45"/>
      <c r="F699" s="45"/>
      <c r="I699" s="45"/>
    </row>
    <row r="700" spans="3:9" ht="12.75" customHeight="1" x14ac:dyDescent="0.2">
      <c r="C700" s="45"/>
      <c r="F700" s="45"/>
      <c r="I700" s="45"/>
    </row>
    <row r="701" spans="3:9" ht="12.75" customHeight="1" x14ac:dyDescent="0.2">
      <c r="C701" s="45"/>
      <c r="F701" s="45"/>
      <c r="I701" s="45"/>
    </row>
    <row r="702" spans="3:9" ht="12.75" customHeight="1" x14ac:dyDescent="0.2">
      <c r="C702" s="45"/>
      <c r="F702" s="45"/>
      <c r="I702" s="45"/>
    </row>
    <row r="703" spans="3:9" ht="12.75" customHeight="1" x14ac:dyDescent="0.2">
      <c r="C703" s="45"/>
      <c r="F703" s="45"/>
      <c r="I703" s="45"/>
    </row>
    <row r="704" spans="3:9" ht="12.75" customHeight="1" x14ac:dyDescent="0.2">
      <c r="C704" s="45"/>
      <c r="F704" s="45"/>
      <c r="I704" s="45"/>
    </row>
    <row r="705" spans="3:9" ht="12.75" customHeight="1" x14ac:dyDescent="0.2">
      <c r="C705" s="45"/>
      <c r="F705" s="45"/>
      <c r="I705" s="45"/>
    </row>
    <row r="706" spans="3:9" ht="12.75" customHeight="1" x14ac:dyDescent="0.2">
      <c r="C706" s="45"/>
      <c r="F706" s="45"/>
      <c r="I706" s="45"/>
    </row>
    <row r="707" spans="3:9" ht="12.75" customHeight="1" x14ac:dyDescent="0.2">
      <c r="C707" s="45"/>
      <c r="F707" s="45"/>
      <c r="I707" s="45"/>
    </row>
    <row r="708" spans="3:9" ht="12.75" customHeight="1" x14ac:dyDescent="0.2">
      <c r="C708" s="45"/>
      <c r="F708" s="45"/>
      <c r="I708" s="45"/>
    </row>
    <row r="709" spans="3:9" ht="12.75" customHeight="1" x14ac:dyDescent="0.2">
      <c r="C709" s="45"/>
      <c r="F709" s="45"/>
      <c r="I709" s="45"/>
    </row>
    <row r="710" spans="3:9" ht="12.75" customHeight="1" x14ac:dyDescent="0.2">
      <c r="C710" s="45"/>
      <c r="F710" s="45"/>
      <c r="I710" s="45"/>
    </row>
    <row r="711" spans="3:9" ht="12.75" customHeight="1" x14ac:dyDescent="0.2">
      <c r="C711" s="45"/>
      <c r="F711" s="45"/>
      <c r="I711" s="45"/>
    </row>
    <row r="712" spans="3:9" ht="12.75" customHeight="1" x14ac:dyDescent="0.2">
      <c r="C712" s="45"/>
      <c r="F712" s="45"/>
      <c r="I712" s="45"/>
    </row>
    <row r="713" spans="3:9" ht="12.75" customHeight="1" x14ac:dyDescent="0.2">
      <c r="C713" s="45"/>
      <c r="F713" s="45"/>
      <c r="I713" s="45"/>
    </row>
    <row r="714" spans="3:9" ht="12.75" customHeight="1" x14ac:dyDescent="0.2">
      <c r="C714" s="45"/>
      <c r="F714" s="45"/>
      <c r="I714" s="45"/>
    </row>
    <row r="715" spans="3:9" ht="12.75" customHeight="1" x14ac:dyDescent="0.2">
      <c r="C715" s="45"/>
      <c r="F715" s="45"/>
      <c r="I715" s="45"/>
    </row>
    <row r="716" spans="3:9" ht="12.75" customHeight="1" x14ac:dyDescent="0.2">
      <c r="C716" s="45"/>
      <c r="F716" s="45"/>
      <c r="I716" s="45"/>
    </row>
    <row r="717" spans="3:9" ht="12.75" customHeight="1" x14ac:dyDescent="0.2">
      <c r="C717" s="45"/>
      <c r="F717" s="45"/>
      <c r="I717" s="45"/>
    </row>
    <row r="718" spans="3:9" ht="12.75" customHeight="1" x14ac:dyDescent="0.2">
      <c r="C718" s="45"/>
      <c r="F718" s="45"/>
      <c r="I718" s="45"/>
    </row>
    <row r="719" spans="3:9" ht="12.75" customHeight="1" x14ac:dyDescent="0.2">
      <c r="C719" s="45"/>
      <c r="F719" s="45"/>
      <c r="I719" s="45"/>
    </row>
    <row r="720" spans="3:9" ht="12.75" customHeight="1" x14ac:dyDescent="0.2">
      <c r="C720" s="45"/>
      <c r="F720" s="45"/>
      <c r="I720" s="45"/>
    </row>
    <row r="721" spans="3:9" ht="12.75" customHeight="1" x14ac:dyDescent="0.2">
      <c r="C721" s="45"/>
      <c r="F721" s="45"/>
      <c r="I721" s="45"/>
    </row>
    <row r="722" spans="3:9" ht="12.75" customHeight="1" x14ac:dyDescent="0.2">
      <c r="C722" s="45"/>
      <c r="F722" s="45"/>
      <c r="I722" s="45"/>
    </row>
    <row r="723" spans="3:9" ht="12.75" customHeight="1" x14ac:dyDescent="0.2">
      <c r="C723" s="45"/>
      <c r="F723" s="45"/>
      <c r="I723" s="45"/>
    </row>
    <row r="724" spans="3:9" ht="12.75" customHeight="1" x14ac:dyDescent="0.2">
      <c r="C724" s="45"/>
      <c r="F724" s="45"/>
      <c r="I724" s="45"/>
    </row>
    <row r="725" spans="3:9" ht="12.75" customHeight="1" x14ac:dyDescent="0.2">
      <c r="C725" s="45"/>
      <c r="F725" s="45"/>
      <c r="I725" s="45"/>
    </row>
    <row r="726" spans="3:9" ht="12.75" customHeight="1" x14ac:dyDescent="0.2">
      <c r="C726" s="45"/>
      <c r="F726" s="45"/>
      <c r="I726" s="45"/>
    </row>
    <row r="727" spans="3:9" ht="12.75" customHeight="1" x14ac:dyDescent="0.2">
      <c r="C727" s="45"/>
      <c r="F727" s="45"/>
      <c r="I727" s="45"/>
    </row>
    <row r="728" spans="3:9" ht="12.75" customHeight="1" x14ac:dyDescent="0.2">
      <c r="C728" s="45"/>
      <c r="F728" s="45"/>
      <c r="I728" s="45"/>
    </row>
    <row r="729" spans="3:9" ht="12.75" customHeight="1" x14ac:dyDescent="0.2">
      <c r="C729" s="45"/>
      <c r="F729" s="45"/>
      <c r="I729" s="45"/>
    </row>
    <row r="730" spans="3:9" ht="12.75" customHeight="1" x14ac:dyDescent="0.2">
      <c r="C730" s="45"/>
      <c r="F730" s="45"/>
      <c r="I730" s="45"/>
    </row>
    <row r="731" spans="3:9" ht="12.75" customHeight="1" x14ac:dyDescent="0.2">
      <c r="C731" s="45"/>
      <c r="F731" s="45"/>
      <c r="I731" s="45"/>
    </row>
    <row r="732" spans="3:9" ht="12.75" customHeight="1" x14ac:dyDescent="0.2">
      <c r="C732" s="45"/>
      <c r="F732" s="45"/>
      <c r="I732" s="45"/>
    </row>
    <row r="733" spans="3:9" ht="12.75" customHeight="1" x14ac:dyDescent="0.2">
      <c r="C733" s="45"/>
      <c r="F733" s="45"/>
      <c r="I733" s="45"/>
    </row>
    <row r="734" spans="3:9" ht="12.75" customHeight="1" x14ac:dyDescent="0.2">
      <c r="C734" s="45"/>
      <c r="F734" s="45"/>
      <c r="I734" s="45"/>
    </row>
    <row r="735" spans="3:9" ht="12.75" customHeight="1" x14ac:dyDescent="0.2">
      <c r="C735" s="45"/>
      <c r="F735" s="45"/>
      <c r="I735" s="45"/>
    </row>
    <row r="736" spans="3:9" ht="12.75" customHeight="1" x14ac:dyDescent="0.2">
      <c r="C736" s="45"/>
      <c r="F736" s="45"/>
      <c r="I736" s="45"/>
    </row>
    <row r="737" spans="3:9" ht="12.75" customHeight="1" x14ac:dyDescent="0.2">
      <c r="C737" s="45"/>
      <c r="F737" s="45"/>
      <c r="I737" s="45"/>
    </row>
    <row r="738" spans="3:9" ht="12.75" customHeight="1" x14ac:dyDescent="0.2">
      <c r="C738" s="45"/>
      <c r="F738" s="45"/>
      <c r="I738" s="45"/>
    </row>
    <row r="739" spans="3:9" ht="12.75" customHeight="1" x14ac:dyDescent="0.2">
      <c r="C739" s="45"/>
      <c r="F739" s="45"/>
      <c r="I739" s="45"/>
    </row>
    <row r="740" spans="3:9" ht="12.75" customHeight="1" x14ac:dyDescent="0.2">
      <c r="C740" s="45"/>
      <c r="F740" s="45"/>
      <c r="I740" s="45"/>
    </row>
    <row r="741" spans="3:9" ht="12.75" customHeight="1" x14ac:dyDescent="0.2">
      <c r="C741" s="45"/>
      <c r="F741" s="45"/>
      <c r="I741" s="45"/>
    </row>
    <row r="742" spans="3:9" ht="12.75" customHeight="1" x14ac:dyDescent="0.2">
      <c r="C742" s="45"/>
      <c r="F742" s="45"/>
      <c r="I742" s="45"/>
    </row>
    <row r="743" spans="3:9" ht="12.75" customHeight="1" x14ac:dyDescent="0.2">
      <c r="C743" s="45"/>
      <c r="F743" s="45"/>
      <c r="I743" s="45"/>
    </row>
    <row r="744" spans="3:9" ht="12.75" customHeight="1" x14ac:dyDescent="0.2">
      <c r="C744" s="45"/>
      <c r="F744" s="45"/>
      <c r="I744" s="45"/>
    </row>
    <row r="745" spans="3:9" ht="12.75" customHeight="1" x14ac:dyDescent="0.2">
      <c r="C745" s="45"/>
      <c r="F745" s="45"/>
      <c r="I745" s="45"/>
    </row>
    <row r="746" spans="3:9" ht="12.75" customHeight="1" x14ac:dyDescent="0.2">
      <c r="C746" s="45"/>
      <c r="F746" s="45"/>
      <c r="I746" s="45"/>
    </row>
    <row r="747" spans="3:9" ht="12.75" customHeight="1" x14ac:dyDescent="0.2">
      <c r="C747" s="45"/>
      <c r="F747" s="45"/>
      <c r="I747" s="45"/>
    </row>
    <row r="748" spans="3:9" ht="12.75" customHeight="1" x14ac:dyDescent="0.2">
      <c r="C748" s="45"/>
      <c r="F748" s="45"/>
      <c r="I748" s="45"/>
    </row>
    <row r="749" spans="3:9" ht="12.75" customHeight="1" x14ac:dyDescent="0.2">
      <c r="C749" s="45"/>
      <c r="F749" s="45"/>
      <c r="I749" s="45"/>
    </row>
    <row r="750" spans="3:9" ht="12.75" customHeight="1" x14ac:dyDescent="0.2">
      <c r="C750" s="45"/>
      <c r="F750" s="45"/>
      <c r="I750" s="45"/>
    </row>
    <row r="751" spans="3:9" ht="12.75" customHeight="1" x14ac:dyDescent="0.2">
      <c r="C751" s="45"/>
      <c r="F751" s="45"/>
      <c r="I751" s="45"/>
    </row>
    <row r="752" spans="3:9" ht="12.75" customHeight="1" x14ac:dyDescent="0.2">
      <c r="C752" s="45"/>
      <c r="F752" s="45"/>
      <c r="I752" s="45"/>
    </row>
    <row r="753" spans="3:9" ht="12.75" customHeight="1" x14ac:dyDescent="0.2">
      <c r="C753" s="45"/>
      <c r="F753" s="45"/>
      <c r="I753" s="45"/>
    </row>
    <row r="754" spans="3:9" ht="12.75" customHeight="1" x14ac:dyDescent="0.2">
      <c r="C754" s="45"/>
      <c r="F754" s="45"/>
      <c r="I754" s="45"/>
    </row>
    <row r="755" spans="3:9" ht="12.75" customHeight="1" x14ac:dyDescent="0.2">
      <c r="C755" s="45"/>
      <c r="F755" s="45"/>
      <c r="I755" s="45"/>
    </row>
    <row r="756" spans="3:9" ht="12.75" customHeight="1" x14ac:dyDescent="0.2">
      <c r="C756" s="45"/>
      <c r="F756" s="45"/>
      <c r="I756" s="45"/>
    </row>
    <row r="757" spans="3:9" ht="12.75" customHeight="1" x14ac:dyDescent="0.2">
      <c r="C757" s="45"/>
      <c r="F757" s="45"/>
      <c r="I757" s="45"/>
    </row>
    <row r="758" spans="3:9" ht="12.75" customHeight="1" x14ac:dyDescent="0.2">
      <c r="C758" s="45"/>
      <c r="F758" s="45"/>
      <c r="I758" s="45"/>
    </row>
    <row r="759" spans="3:9" ht="12.75" customHeight="1" x14ac:dyDescent="0.2">
      <c r="C759" s="45"/>
      <c r="F759" s="45"/>
      <c r="I759" s="45"/>
    </row>
    <row r="760" spans="3:9" ht="12.75" customHeight="1" x14ac:dyDescent="0.2">
      <c r="C760" s="45"/>
      <c r="F760" s="45"/>
      <c r="I760" s="45"/>
    </row>
    <row r="761" spans="3:9" ht="12.75" customHeight="1" x14ac:dyDescent="0.2">
      <c r="C761" s="45"/>
      <c r="F761" s="45"/>
      <c r="I761" s="45"/>
    </row>
    <row r="762" spans="3:9" ht="12.75" customHeight="1" x14ac:dyDescent="0.2">
      <c r="C762" s="45"/>
      <c r="F762" s="45"/>
      <c r="I762" s="45"/>
    </row>
    <row r="763" spans="3:9" ht="12.75" customHeight="1" x14ac:dyDescent="0.2">
      <c r="C763" s="45"/>
      <c r="F763" s="45"/>
      <c r="I763" s="45"/>
    </row>
    <row r="764" spans="3:9" ht="12.75" customHeight="1" x14ac:dyDescent="0.2">
      <c r="C764" s="45"/>
      <c r="F764" s="45"/>
      <c r="I764" s="45"/>
    </row>
    <row r="765" spans="3:9" ht="12.75" customHeight="1" x14ac:dyDescent="0.2">
      <c r="C765" s="45"/>
      <c r="F765" s="45"/>
      <c r="I765" s="45"/>
    </row>
    <row r="766" spans="3:9" ht="12.75" customHeight="1" x14ac:dyDescent="0.2">
      <c r="C766" s="45"/>
      <c r="F766" s="45"/>
      <c r="I766" s="45"/>
    </row>
    <row r="767" spans="3:9" ht="12.75" customHeight="1" x14ac:dyDescent="0.2">
      <c r="C767" s="45"/>
      <c r="F767" s="45"/>
      <c r="I767" s="45"/>
    </row>
    <row r="768" spans="3:9" ht="12.75" customHeight="1" x14ac:dyDescent="0.2">
      <c r="C768" s="45"/>
      <c r="F768" s="45"/>
      <c r="I768" s="45"/>
    </row>
    <row r="769" spans="3:9" ht="12.75" customHeight="1" x14ac:dyDescent="0.2">
      <c r="C769" s="45"/>
      <c r="F769" s="45"/>
      <c r="I769" s="45"/>
    </row>
    <row r="770" spans="3:9" ht="12.75" customHeight="1" x14ac:dyDescent="0.2">
      <c r="C770" s="45"/>
      <c r="F770" s="45"/>
      <c r="I770" s="45"/>
    </row>
    <row r="771" spans="3:9" ht="12.75" customHeight="1" x14ac:dyDescent="0.2">
      <c r="C771" s="45"/>
      <c r="F771" s="45"/>
      <c r="I771" s="45"/>
    </row>
    <row r="772" spans="3:9" ht="12.75" customHeight="1" x14ac:dyDescent="0.2">
      <c r="C772" s="45"/>
      <c r="F772" s="45"/>
      <c r="I772" s="45"/>
    </row>
    <row r="773" spans="3:9" ht="12.75" customHeight="1" x14ac:dyDescent="0.2">
      <c r="C773" s="45"/>
      <c r="F773" s="45"/>
      <c r="I773" s="45"/>
    </row>
    <row r="774" spans="3:9" ht="12.75" customHeight="1" x14ac:dyDescent="0.2">
      <c r="C774" s="45"/>
      <c r="F774" s="45"/>
      <c r="I774" s="45"/>
    </row>
    <row r="775" spans="3:9" ht="12.75" customHeight="1" x14ac:dyDescent="0.2">
      <c r="C775" s="45"/>
      <c r="F775" s="45"/>
      <c r="I775" s="45"/>
    </row>
    <row r="776" spans="3:9" ht="12.75" customHeight="1" x14ac:dyDescent="0.2">
      <c r="C776" s="45"/>
      <c r="F776" s="45"/>
      <c r="I776" s="45"/>
    </row>
    <row r="777" spans="3:9" ht="12.75" customHeight="1" x14ac:dyDescent="0.2">
      <c r="C777" s="45"/>
      <c r="F777" s="45"/>
      <c r="I777" s="45"/>
    </row>
    <row r="778" spans="3:9" ht="12.75" customHeight="1" x14ac:dyDescent="0.2">
      <c r="C778" s="45"/>
      <c r="F778" s="45"/>
      <c r="I778" s="45"/>
    </row>
    <row r="779" spans="3:9" ht="12.75" customHeight="1" x14ac:dyDescent="0.2">
      <c r="C779" s="45"/>
      <c r="F779" s="45"/>
      <c r="I779" s="45"/>
    </row>
    <row r="780" spans="3:9" ht="12.75" customHeight="1" x14ac:dyDescent="0.2">
      <c r="C780" s="45"/>
      <c r="F780" s="45"/>
      <c r="I780" s="45"/>
    </row>
    <row r="781" spans="3:9" ht="12.75" customHeight="1" x14ac:dyDescent="0.2">
      <c r="C781" s="45"/>
      <c r="F781" s="45"/>
      <c r="I781" s="45"/>
    </row>
    <row r="782" spans="3:9" ht="12.75" customHeight="1" x14ac:dyDescent="0.2">
      <c r="C782" s="45"/>
      <c r="F782" s="45"/>
      <c r="I782" s="45"/>
    </row>
    <row r="783" spans="3:9" ht="12.75" customHeight="1" x14ac:dyDescent="0.2">
      <c r="C783" s="45"/>
      <c r="F783" s="45"/>
      <c r="I783" s="45"/>
    </row>
    <row r="784" spans="3:9" ht="12.75" customHeight="1" x14ac:dyDescent="0.2">
      <c r="C784" s="45"/>
      <c r="F784" s="45"/>
      <c r="I784" s="45"/>
    </row>
    <row r="785" spans="3:9" ht="12.75" customHeight="1" x14ac:dyDescent="0.2">
      <c r="C785" s="45"/>
      <c r="F785" s="45"/>
      <c r="I785" s="45"/>
    </row>
    <row r="786" spans="3:9" ht="12.75" customHeight="1" x14ac:dyDescent="0.2">
      <c r="C786" s="45"/>
      <c r="F786" s="45"/>
      <c r="I786" s="45"/>
    </row>
    <row r="787" spans="3:9" ht="12.75" customHeight="1" x14ac:dyDescent="0.2">
      <c r="C787" s="45"/>
      <c r="F787" s="45"/>
      <c r="I787" s="45"/>
    </row>
    <row r="788" spans="3:9" ht="12.75" customHeight="1" x14ac:dyDescent="0.2">
      <c r="C788" s="45"/>
      <c r="F788" s="45"/>
      <c r="I788" s="45"/>
    </row>
    <row r="789" spans="3:9" ht="12.75" customHeight="1" x14ac:dyDescent="0.2">
      <c r="C789" s="45"/>
      <c r="F789" s="45"/>
      <c r="I789" s="45"/>
    </row>
    <row r="790" spans="3:9" ht="12.75" customHeight="1" x14ac:dyDescent="0.2">
      <c r="C790" s="45"/>
      <c r="F790" s="45"/>
      <c r="I790" s="45"/>
    </row>
    <row r="791" spans="3:9" ht="12.75" customHeight="1" x14ac:dyDescent="0.2">
      <c r="C791" s="45"/>
      <c r="F791" s="45"/>
      <c r="I791" s="45"/>
    </row>
    <row r="792" spans="3:9" ht="12.75" customHeight="1" x14ac:dyDescent="0.2">
      <c r="C792" s="45"/>
      <c r="F792" s="45"/>
      <c r="I792" s="45"/>
    </row>
    <row r="793" spans="3:9" ht="12.75" customHeight="1" x14ac:dyDescent="0.2">
      <c r="C793" s="45"/>
      <c r="F793" s="45"/>
      <c r="I793" s="45"/>
    </row>
    <row r="794" spans="3:9" ht="12.75" customHeight="1" x14ac:dyDescent="0.2">
      <c r="C794" s="45"/>
      <c r="F794" s="45"/>
      <c r="I794" s="45"/>
    </row>
    <row r="795" spans="3:9" ht="12.75" customHeight="1" x14ac:dyDescent="0.2">
      <c r="C795" s="45"/>
      <c r="F795" s="45"/>
      <c r="I795" s="45"/>
    </row>
    <row r="796" spans="3:9" ht="12.75" customHeight="1" x14ac:dyDescent="0.2">
      <c r="C796" s="45"/>
      <c r="F796" s="45"/>
      <c r="I796" s="45"/>
    </row>
    <row r="797" spans="3:9" ht="12.75" customHeight="1" x14ac:dyDescent="0.2">
      <c r="C797" s="45"/>
      <c r="F797" s="45"/>
      <c r="I797" s="45"/>
    </row>
    <row r="798" spans="3:9" ht="12.75" customHeight="1" x14ac:dyDescent="0.2">
      <c r="C798" s="45"/>
      <c r="F798" s="45"/>
      <c r="I798" s="45"/>
    </row>
    <row r="799" spans="3:9" ht="12.75" customHeight="1" x14ac:dyDescent="0.2">
      <c r="C799" s="45"/>
      <c r="F799" s="45"/>
      <c r="I799" s="45"/>
    </row>
    <row r="800" spans="3:9" ht="12.75" customHeight="1" x14ac:dyDescent="0.2">
      <c r="C800" s="45"/>
      <c r="F800" s="45"/>
      <c r="I800" s="45"/>
    </row>
    <row r="801" spans="3:9" ht="12.75" customHeight="1" x14ac:dyDescent="0.2">
      <c r="C801" s="45"/>
      <c r="F801" s="45"/>
      <c r="I801" s="45"/>
    </row>
    <row r="802" spans="3:9" ht="12.75" customHeight="1" x14ac:dyDescent="0.2">
      <c r="C802" s="45"/>
      <c r="F802" s="45"/>
      <c r="I802" s="45"/>
    </row>
    <row r="803" spans="3:9" ht="12.75" customHeight="1" x14ac:dyDescent="0.2">
      <c r="C803" s="45"/>
      <c r="F803" s="45"/>
      <c r="I803" s="45"/>
    </row>
    <row r="804" spans="3:9" ht="12.75" customHeight="1" x14ac:dyDescent="0.2">
      <c r="C804" s="45"/>
      <c r="F804" s="45"/>
      <c r="I804" s="45"/>
    </row>
    <row r="805" spans="3:9" ht="12.75" customHeight="1" x14ac:dyDescent="0.2">
      <c r="C805" s="45"/>
      <c r="F805" s="45"/>
      <c r="I805" s="45"/>
    </row>
    <row r="806" spans="3:9" ht="12.75" customHeight="1" x14ac:dyDescent="0.2">
      <c r="C806" s="45"/>
      <c r="F806" s="45"/>
      <c r="I806" s="45"/>
    </row>
    <row r="807" spans="3:9" ht="12.75" customHeight="1" x14ac:dyDescent="0.2">
      <c r="C807" s="45"/>
      <c r="F807" s="45"/>
      <c r="I807" s="45"/>
    </row>
    <row r="808" spans="3:9" ht="12.75" customHeight="1" x14ac:dyDescent="0.2">
      <c r="C808" s="45"/>
      <c r="F808" s="45"/>
      <c r="I808" s="45"/>
    </row>
    <row r="809" spans="3:9" ht="12.75" customHeight="1" x14ac:dyDescent="0.2">
      <c r="C809" s="45"/>
      <c r="F809" s="45"/>
      <c r="I809" s="45"/>
    </row>
    <row r="810" spans="3:9" ht="12.75" customHeight="1" x14ac:dyDescent="0.2">
      <c r="C810" s="45"/>
      <c r="F810" s="45"/>
      <c r="I810" s="45"/>
    </row>
    <row r="811" spans="3:9" ht="12.75" customHeight="1" x14ac:dyDescent="0.2">
      <c r="C811" s="45"/>
      <c r="F811" s="45"/>
      <c r="I811" s="45"/>
    </row>
    <row r="812" spans="3:9" ht="12.75" customHeight="1" x14ac:dyDescent="0.2">
      <c r="C812" s="45"/>
      <c r="F812" s="45"/>
      <c r="I812" s="45"/>
    </row>
    <row r="813" spans="3:9" ht="12.75" customHeight="1" x14ac:dyDescent="0.2">
      <c r="C813" s="45"/>
      <c r="F813" s="45"/>
      <c r="I813" s="45"/>
    </row>
    <row r="814" spans="3:9" ht="12.75" customHeight="1" x14ac:dyDescent="0.2">
      <c r="C814" s="45"/>
      <c r="F814" s="45"/>
      <c r="I814" s="45"/>
    </row>
    <row r="815" spans="3:9" ht="12.75" customHeight="1" x14ac:dyDescent="0.2">
      <c r="C815" s="45"/>
      <c r="F815" s="45"/>
      <c r="I815" s="45"/>
    </row>
    <row r="816" spans="3:9" ht="12.75" customHeight="1" x14ac:dyDescent="0.2">
      <c r="C816" s="45"/>
      <c r="F816" s="45"/>
      <c r="I816" s="45"/>
    </row>
    <row r="817" spans="3:9" ht="12.75" customHeight="1" x14ac:dyDescent="0.2">
      <c r="C817" s="45"/>
      <c r="F817" s="45"/>
      <c r="I817" s="45"/>
    </row>
    <row r="818" spans="3:9" ht="12.75" customHeight="1" x14ac:dyDescent="0.2">
      <c r="C818" s="45"/>
      <c r="F818" s="45"/>
      <c r="I818" s="45"/>
    </row>
    <row r="819" spans="3:9" ht="12.75" customHeight="1" x14ac:dyDescent="0.2">
      <c r="C819" s="45"/>
      <c r="F819" s="45"/>
      <c r="I819" s="45"/>
    </row>
    <row r="820" spans="3:9" ht="12.75" customHeight="1" x14ac:dyDescent="0.2">
      <c r="C820" s="45"/>
      <c r="F820" s="45"/>
      <c r="I820" s="45"/>
    </row>
    <row r="821" spans="3:9" ht="12.75" customHeight="1" x14ac:dyDescent="0.2">
      <c r="C821" s="45"/>
      <c r="F821" s="45"/>
      <c r="I821" s="45"/>
    </row>
    <row r="822" spans="3:9" ht="12.75" customHeight="1" x14ac:dyDescent="0.2">
      <c r="C822" s="45"/>
      <c r="F822" s="45"/>
      <c r="I822" s="45"/>
    </row>
    <row r="823" spans="3:9" ht="12.75" customHeight="1" x14ac:dyDescent="0.2">
      <c r="C823" s="45"/>
      <c r="F823" s="45"/>
      <c r="I823" s="45"/>
    </row>
    <row r="824" spans="3:9" ht="12.75" customHeight="1" x14ac:dyDescent="0.2">
      <c r="C824" s="45"/>
      <c r="F824" s="45"/>
      <c r="I824" s="45"/>
    </row>
    <row r="825" spans="3:9" ht="12.75" customHeight="1" x14ac:dyDescent="0.2">
      <c r="C825" s="45"/>
      <c r="F825" s="45"/>
      <c r="I825" s="45"/>
    </row>
    <row r="826" spans="3:9" ht="12.75" customHeight="1" x14ac:dyDescent="0.2">
      <c r="C826" s="45"/>
      <c r="F826" s="45"/>
      <c r="I826" s="45"/>
    </row>
    <row r="827" spans="3:9" ht="12.75" customHeight="1" x14ac:dyDescent="0.2">
      <c r="C827" s="45"/>
      <c r="F827" s="45"/>
      <c r="I827" s="45"/>
    </row>
    <row r="828" spans="3:9" ht="12.75" customHeight="1" x14ac:dyDescent="0.2">
      <c r="C828" s="45"/>
      <c r="F828" s="45"/>
      <c r="I828" s="45"/>
    </row>
    <row r="829" spans="3:9" ht="12.75" customHeight="1" x14ac:dyDescent="0.2">
      <c r="C829" s="45"/>
      <c r="F829" s="45"/>
      <c r="I829" s="45"/>
    </row>
    <row r="830" spans="3:9" ht="12.75" customHeight="1" x14ac:dyDescent="0.2">
      <c r="C830" s="45"/>
      <c r="F830" s="45"/>
      <c r="I830" s="45"/>
    </row>
    <row r="831" spans="3:9" ht="12.75" customHeight="1" x14ac:dyDescent="0.2">
      <c r="C831" s="45"/>
      <c r="F831" s="45"/>
      <c r="I831" s="45"/>
    </row>
    <row r="832" spans="3:9" ht="12.75" customHeight="1" x14ac:dyDescent="0.2">
      <c r="C832" s="45"/>
      <c r="F832" s="45"/>
      <c r="I832" s="45"/>
    </row>
    <row r="833" spans="3:9" ht="12.75" customHeight="1" x14ac:dyDescent="0.2">
      <c r="C833" s="45"/>
      <c r="F833" s="45"/>
      <c r="I833" s="45"/>
    </row>
    <row r="834" spans="3:9" ht="12.75" customHeight="1" x14ac:dyDescent="0.2">
      <c r="C834" s="45"/>
      <c r="F834" s="45"/>
      <c r="I834" s="45"/>
    </row>
    <row r="835" spans="3:9" ht="12.75" customHeight="1" x14ac:dyDescent="0.2">
      <c r="C835" s="45"/>
      <c r="F835" s="45"/>
      <c r="I835" s="45"/>
    </row>
    <row r="836" spans="3:9" ht="12.75" customHeight="1" x14ac:dyDescent="0.2">
      <c r="C836" s="45"/>
      <c r="F836" s="45"/>
      <c r="I836" s="45"/>
    </row>
    <row r="837" spans="3:9" ht="12.75" customHeight="1" x14ac:dyDescent="0.2">
      <c r="C837" s="45"/>
      <c r="F837" s="45"/>
      <c r="I837" s="45"/>
    </row>
    <row r="838" spans="3:9" ht="12.75" customHeight="1" x14ac:dyDescent="0.2">
      <c r="C838" s="45"/>
      <c r="F838" s="45"/>
      <c r="I838" s="45"/>
    </row>
    <row r="839" spans="3:9" ht="12.75" customHeight="1" x14ac:dyDescent="0.2">
      <c r="C839" s="45"/>
      <c r="F839" s="45"/>
      <c r="I839" s="45"/>
    </row>
    <row r="840" spans="3:9" ht="12.75" customHeight="1" x14ac:dyDescent="0.2">
      <c r="C840" s="45"/>
      <c r="F840" s="45"/>
      <c r="I840" s="45"/>
    </row>
    <row r="841" spans="3:9" ht="12.75" customHeight="1" x14ac:dyDescent="0.2">
      <c r="C841" s="45"/>
      <c r="F841" s="45"/>
      <c r="I841" s="45"/>
    </row>
    <row r="842" spans="3:9" ht="12.75" customHeight="1" x14ac:dyDescent="0.2">
      <c r="C842" s="45"/>
      <c r="F842" s="45"/>
      <c r="I842" s="45"/>
    </row>
    <row r="843" spans="3:9" ht="12.75" customHeight="1" x14ac:dyDescent="0.2">
      <c r="C843" s="45"/>
      <c r="F843" s="45"/>
      <c r="I843" s="45"/>
    </row>
    <row r="844" spans="3:9" ht="12.75" customHeight="1" x14ac:dyDescent="0.2">
      <c r="C844" s="45"/>
      <c r="F844" s="45"/>
      <c r="I844" s="45"/>
    </row>
    <row r="845" spans="3:9" ht="12.75" customHeight="1" x14ac:dyDescent="0.2">
      <c r="C845" s="45"/>
      <c r="F845" s="45"/>
      <c r="I845" s="45"/>
    </row>
    <row r="846" spans="3:9" ht="12.75" customHeight="1" x14ac:dyDescent="0.2">
      <c r="C846" s="45"/>
      <c r="F846" s="45"/>
      <c r="I846" s="45"/>
    </row>
    <row r="847" spans="3:9" ht="12.75" customHeight="1" x14ac:dyDescent="0.2">
      <c r="C847" s="45"/>
      <c r="F847" s="45"/>
      <c r="I847" s="45"/>
    </row>
    <row r="848" spans="3:9" ht="12.75" customHeight="1" x14ac:dyDescent="0.2">
      <c r="C848" s="45"/>
      <c r="F848" s="45"/>
      <c r="I848" s="45"/>
    </row>
    <row r="849" spans="3:9" ht="12.75" customHeight="1" x14ac:dyDescent="0.2">
      <c r="C849" s="45"/>
      <c r="F849" s="45"/>
      <c r="I849" s="45"/>
    </row>
    <row r="850" spans="3:9" ht="12.75" customHeight="1" x14ac:dyDescent="0.2">
      <c r="C850" s="45"/>
      <c r="F850" s="45"/>
      <c r="I850" s="45"/>
    </row>
    <row r="851" spans="3:9" ht="12.75" customHeight="1" x14ac:dyDescent="0.2">
      <c r="C851" s="45"/>
      <c r="F851" s="45"/>
      <c r="I851" s="45"/>
    </row>
    <row r="852" spans="3:9" ht="12.75" customHeight="1" x14ac:dyDescent="0.2">
      <c r="C852" s="45"/>
      <c r="F852" s="45"/>
      <c r="I852" s="45"/>
    </row>
    <row r="853" spans="3:9" ht="12.75" customHeight="1" x14ac:dyDescent="0.2">
      <c r="C853" s="45"/>
      <c r="F853" s="45"/>
      <c r="I853" s="45"/>
    </row>
    <row r="854" spans="3:9" ht="12.75" customHeight="1" x14ac:dyDescent="0.2">
      <c r="C854" s="45"/>
      <c r="F854" s="45"/>
      <c r="I854" s="45"/>
    </row>
    <row r="855" spans="3:9" ht="12.75" customHeight="1" x14ac:dyDescent="0.2">
      <c r="C855" s="45"/>
      <c r="F855" s="45"/>
      <c r="I855" s="45"/>
    </row>
    <row r="856" spans="3:9" ht="12.75" customHeight="1" x14ac:dyDescent="0.2">
      <c r="C856" s="45"/>
      <c r="F856" s="45"/>
      <c r="I856" s="45"/>
    </row>
    <row r="857" spans="3:9" ht="12.75" customHeight="1" x14ac:dyDescent="0.2">
      <c r="C857" s="45"/>
      <c r="F857" s="45"/>
      <c r="I857" s="45"/>
    </row>
    <row r="858" spans="3:9" ht="12.75" customHeight="1" x14ac:dyDescent="0.2">
      <c r="C858" s="45"/>
      <c r="F858" s="45"/>
      <c r="I858" s="45"/>
    </row>
    <row r="859" spans="3:9" ht="12.75" customHeight="1" x14ac:dyDescent="0.2">
      <c r="C859" s="45"/>
      <c r="F859" s="45"/>
      <c r="I859" s="45"/>
    </row>
    <row r="860" spans="3:9" ht="12.75" customHeight="1" x14ac:dyDescent="0.2">
      <c r="C860" s="45"/>
      <c r="F860" s="45"/>
      <c r="I860" s="45"/>
    </row>
    <row r="861" spans="3:9" ht="12.75" customHeight="1" x14ac:dyDescent="0.2">
      <c r="C861" s="45"/>
      <c r="F861" s="45"/>
      <c r="I861" s="45"/>
    </row>
    <row r="862" spans="3:9" ht="12.75" customHeight="1" x14ac:dyDescent="0.2">
      <c r="C862" s="45"/>
      <c r="F862" s="45"/>
      <c r="I862" s="45"/>
    </row>
    <row r="863" spans="3:9" ht="12.75" customHeight="1" x14ac:dyDescent="0.2">
      <c r="C863" s="45"/>
      <c r="F863" s="45"/>
      <c r="I863" s="45"/>
    </row>
    <row r="864" spans="3:9" ht="12.75" customHeight="1" x14ac:dyDescent="0.2">
      <c r="C864" s="45"/>
      <c r="F864" s="45"/>
      <c r="I864" s="45"/>
    </row>
    <row r="865" spans="3:9" ht="12.75" customHeight="1" x14ac:dyDescent="0.2">
      <c r="C865" s="45"/>
      <c r="F865" s="45"/>
      <c r="I865" s="45"/>
    </row>
    <row r="866" spans="3:9" ht="12.75" customHeight="1" x14ac:dyDescent="0.2">
      <c r="C866" s="45"/>
      <c r="F866" s="45"/>
      <c r="I866" s="45"/>
    </row>
    <row r="867" spans="3:9" ht="12.75" customHeight="1" x14ac:dyDescent="0.2">
      <c r="C867" s="45"/>
      <c r="F867" s="45"/>
      <c r="I867" s="45"/>
    </row>
    <row r="868" spans="3:9" ht="12.75" customHeight="1" x14ac:dyDescent="0.2">
      <c r="C868" s="45"/>
      <c r="F868" s="45"/>
      <c r="I868" s="45"/>
    </row>
    <row r="869" spans="3:9" ht="12.75" customHeight="1" x14ac:dyDescent="0.2">
      <c r="C869" s="45"/>
      <c r="F869" s="45"/>
      <c r="I869" s="45"/>
    </row>
    <row r="870" spans="3:9" ht="12.75" customHeight="1" x14ac:dyDescent="0.2">
      <c r="C870" s="45"/>
      <c r="F870" s="45"/>
      <c r="I870" s="45"/>
    </row>
    <row r="871" spans="3:9" ht="12.75" customHeight="1" x14ac:dyDescent="0.2">
      <c r="C871" s="45"/>
      <c r="F871" s="45"/>
      <c r="I871" s="45"/>
    </row>
    <row r="872" spans="3:9" ht="12.75" customHeight="1" x14ac:dyDescent="0.2">
      <c r="C872" s="45"/>
      <c r="F872" s="45"/>
      <c r="I872" s="45"/>
    </row>
    <row r="873" spans="3:9" ht="12.75" customHeight="1" x14ac:dyDescent="0.2">
      <c r="C873" s="45"/>
      <c r="F873" s="45"/>
      <c r="I873" s="45"/>
    </row>
    <row r="874" spans="3:9" ht="12.75" customHeight="1" x14ac:dyDescent="0.2">
      <c r="C874" s="45"/>
      <c r="F874" s="45"/>
      <c r="I874" s="45"/>
    </row>
    <row r="875" spans="3:9" ht="12.75" customHeight="1" x14ac:dyDescent="0.2">
      <c r="C875" s="45"/>
      <c r="F875" s="45"/>
      <c r="I875" s="45"/>
    </row>
    <row r="876" spans="3:9" ht="12.75" customHeight="1" x14ac:dyDescent="0.2">
      <c r="C876" s="45"/>
      <c r="F876" s="45"/>
      <c r="I876" s="45"/>
    </row>
    <row r="877" spans="3:9" ht="12.75" customHeight="1" x14ac:dyDescent="0.2">
      <c r="C877" s="45"/>
      <c r="F877" s="45"/>
      <c r="I877" s="45"/>
    </row>
    <row r="878" spans="3:9" ht="12.75" customHeight="1" x14ac:dyDescent="0.2">
      <c r="C878" s="45"/>
      <c r="F878" s="45"/>
      <c r="I878" s="45"/>
    </row>
    <row r="879" spans="3:9" ht="12.75" customHeight="1" x14ac:dyDescent="0.2">
      <c r="C879" s="45"/>
      <c r="F879" s="45"/>
      <c r="I879" s="45"/>
    </row>
    <row r="880" spans="3:9" ht="12.75" customHeight="1" x14ac:dyDescent="0.2">
      <c r="C880" s="45"/>
      <c r="F880" s="45"/>
      <c r="I880" s="45"/>
    </row>
    <row r="881" spans="3:9" ht="12.75" customHeight="1" x14ac:dyDescent="0.2">
      <c r="C881" s="45"/>
      <c r="F881" s="45"/>
      <c r="I881" s="45"/>
    </row>
    <row r="882" spans="3:9" ht="12.75" customHeight="1" x14ac:dyDescent="0.2">
      <c r="C882" s="45"/>
      <c r="F882" s="45"/>
      <c r="I882" s="45"/>
    </row>
    <row r="883" spans="3:9" ht="12.75" customHeight="1" x14ac:dyDescent="0.2">
      <c r="C883" s="45"/>
      <c r="F883" s="45"/>
      <c r="I883" s="45"/>
    </row>
    <row r="884" spans="3:9" ht="12.75" customHeight="1" x14ac:dyDescent="0.2">
      <c r="C884" s="45"/>
      <c r="F884" s="45"/>
      <c r="I884" s="45"/>
    </row>
    <row r="885" spans="3:9" ht="12.75" customHeight="1" x14ac:dyDescent="0.2">
      <c r="C885" s="45"/>
      <c r="F885" s="45"/>
      <c r="I885" s="45"/>
    </row>
    <row r="886" spans="3:9" ht="12.75" customHeight="1" x14ac:dyDescent="0.2">
      <c r="C886" s="45"/>
      <c r="F886" s="45"/>
      <c r="I886" s="45"/>
    </row>
    <row r="887" spans="3:9" ht="12.75" customHeight="1" x14ac:dyDescent="0.2">
      <c r="C887" s="45"/>
      <c r="F887" s="45"/>
      <c r="I887" s="45"/>
    </row>
    <row r="888" spans="3:9" ht="12.75" customHeight="1" x14ac:dyDescent="0.2">
      <c r="C888" s="45"/>
      <c r="F888" s="45"/>
      <c r="I888" s="45"/>
    </row>
    <row r="889" spans="3:9" ht="12.75" customHeight="1" x14ac:dyDescent="0.2">
      <c r="C889" s="45"/>
      <c r="F889" s="45"/>
      <c r="I889" s="45"/>
    </row>
    <row r="890" spans="3:9" ht="12.75" customHeight="1" x14ac:dyDescent="0.2">
      <c r="C890" s="45"/>
      <c r="F890" s="45"/>
      <c r="I890" s="45"/>
    </row>
    <row r="891" spans="3:9" ht="12.75" customHeight="1" x14ac:dyDescent="0.2">
      <c r="C891" s="45"/>
      <c r="F891" s="45"/>
      <c r="I891" s="45"/>
    </row>
    <row r="892" spans="3:9" ht="12.75" customHeight="1" x14ac:dyDescent="0.2">
      <c r="C892" s="45"/>
      <c r="F892" s="45"/>
      <c r="I892" s="45"/>
    </row>
    <row r="893" spans="3:9" ht="12.75" customHeight="1" x14ac:dyDescent="0.2">
      <c r="C893" s="45"/>
      <c r="F893" s="45"/>
      <c r="I893" s="45"/>
    </row>
    <row r="894" spans="3:9" ht="12.75" customHeight="1" x14ac:dyDescent="0.2">
      <c r="C894" s="45"/>
      <c r="F894" s="45"/>
      <c r="I894" s="45"/>
    </row>
    <row r="895" spans="3:9" ht="12.75" customHeight="1" x14ac:dyDescent="0.2">
      <c r="C895" s="45"/>
      <c r="F895" s="45"/>
      <c r="I895" s="45"/>
    </row>
    <row r="896" spans="3:9" ht="12.75" customHeight="1" x14ac:dyDescent="0.2">
      <c r="C896" s="45"/>
      <c r="F896" s="45"/>
      <c r="I896" s="45"/>
    </row>
    <row r="897" spans="3:9" ht="12.75" customHeight="1" x14ac:dyDescent="0.2">
      <c r="C897" s="45"/>
      <c r="F897" s="45"/>
      <c r="I897" s="45"/>
    </row>
    <row r="898" spans="3:9" ht="12.75" customHeight="1" x14ac:dyDescent="0.2">
      <c r="C898" s="45"/>
      <c r="F898" s="45"/>
      <c r="I898" s="45"/>
    </row>
    <row r="899" spans="3:9" ht="12.75" customHeight="1" x14ac:dyDescent="0.2">
      <c r="C899" s="45"/>
      <c r="F899" s="45"/>
      <c r="I899" s="45"/>
    </row>
    <row r="900" spans="3:9" ht="12.75" customHeight="1" x14ac:dyDescent="0.2">
      <c r="C900" s="45"/>
      <c r="F900" s="45"/>
      <c r="I900" s="45"/>
    </row>
    <row r="901" spans="3:9" ht="12.75" customHeight="1" x14ac:dyDescent="0.2">
      <c r="C901" s="45"/>
      <c r="F901" s="45"/>
      <c r="I901" s="45"/>
    </row>
    <row r="902" spans="3:9" ht="12.75" customHeight="1" x14ac:dyDescent="0.2">
      <c r="C902" s="45"/>
      <c r="F902" s="45"/>
      <c r="I902" s="45"/>
    </row>
    <row r="903" spans="3:9" ht="12.75" customHeight="1" x14ac:dyDescent="0.2">
      <c r="C903" s="45"/>
      <c r="F903" s="45"/>
      <c r="I903" s="45"/>
    </row>
    <row r="904" spans="3:9" ht="12.75" customHeight="1" x14ac:dyDescent="0.2">
      <c r="C904" s="45"/>
      <c r="F904" s="45"/>
      <c r="I904" s="45"/>
    </row>
    <row r="905" spans="3:9" ht="12.75" customHeight="1" x14ac:dyDescent="0.2">
      <c r="C905" s="45"/>
      <c r="F905" s="45"/>
      <c r="I905" s="45"/>
    </row>
    <row r="906" spans="3:9" ht="12.75" customHeight="1" x14ac:dyDescent="0.2">
      <c r="C906" s="45"/>
      <c r="F906" s="45"/>
      <c r="I906" s="45"/>
    </row>
    <row r="907" spans="3:9" ht="12.75" customHeight="1" x14ac:dyDescent="0.2">
      <c r="C907" s="45"/>
      <c r="F907" s="45"/>
      <c r="I907" s="45"/>
    </row>
    <row r="908" spans="3:9" ht="12.75" customHeight="1" x14ac:dyDescent="0.2">
      <c r="C908" s="45"/>
      <c r="F908" s="45"/>
      <c r="I908" s="45"/>
    </row>
    <row r="909" spans="3:9" ht="12.75" customHeight="1" x14ac:dyDescent="0.2">
      <c r="C909" s="45"/>
      <c r="F909" s="45"/>
      <c r="I909" s="45"/>
    </row>
    <row r="910" spans="3:9" ht="12.75" customHeight="1" x14ac:dyDescent="0.2">
      <c r="C910" s="45"/>
      <c r="F910" s="45"/>
      <c r="I910" s="45"/>
    </row>
    <row r="911" spans="3:9" ht="12.75" customHeight="1" x14ac:dyDescent="0.2">
      <c r="C911" s="45"/>
      <c r="F911" s="45"/>
      <c r="I911" s="45"/>
    </row>
    <row r="912" spans="3:9" ht="12.75" customHeight="1" x14ac:dyDescent="0.2">
      <c r="C912" s="45"/>
      <c r="F912" s="45"/>
      <c r="I912" s="45"/>
    </row>
    <row r="913" spans="3:9" ht="12.75" customHeight="1" x14ac:dyDescent="0.2">
      <c r="C913" s="45"/>
      <c r="F913" s="45"/>
      <c r="I913" s="45"/>
    </row>
    <row r="914" spans="3:9" ht="12.75" customHeight="1" x14ac:dyDescent="0.2">
      <c r="C914" s="45"/>
      <c r="F914" s="45"/>
      <c r="I914" s="45"/>
    </row>
    <row r="915" spans="3:9" ht="12.75" customHeight="1" x14ac:dyDescent="0.2">
      <c r="C915" s="45"/>
      <c r="F915" s="45"/>
      <c r="I915" s="45"/>
    </row>
    <row r="916" spans="3:9" ht="12.75" customHeight="1" x14ac:dyDescent="0.2">
      <c r="C916" s="45"/>
      <c r="F916" s="45"/>
      <c r="I916" s="45"/>
    </row>
    <row r="917" spans="3:9" ht="12.75" customHeight="1" x14ac:dyDescent="0.2">
      <c r="C917" s="45"/>
      <c r="F917" s="45"/>
      <c r="I917" s="45"/>
    </row>
    <row r="918" spans="3:9" ht="12.75" customHeight="1" x14ac:dyDescent="0.2">
      <c r="C918" s="45"/>
      <c r="F918" s="45"/>
      <c r="I918" s="45"/>
    </row>
    <row r="919" spans="3:9" ht="12.75" customHeight="1" x14ac:dyDescent="0.2">
      <c r="C919" s="45"/>
      <c r="F919" s="45"/>
      <c r="I919" s="45"/>
    </row>
    <row r="920" spans="3:9" ht="12.75" customHeight="1" x14ac:dyDescent="0.2">
      <c r="C920" s="45"/>
      <c r="F920" s="45"/>
      <c r="I920" s="45"/>
    </row>
    <row r="921" spans="3:9" ht="12.75" customHeight="1" x14ac:dyDescent="0.2">
      <c r="C921" s="45"/>
      <c r="F921" s="45"/>
      <c r="I921" s="45"/>
    </row>
    <row r="922" spans="3:9" ht="12.75" customHeight="1" x14ac:dyDescent="0.2">
      <c r="C922" s="45"/>
      <c r="F922" s="45"/>
      <c r="I922" s="45"/>
    </row>
    <row r="923" spans="3:9" ht="12.75" customHeight="1" x14ac:dyDescent="0.2">
      <c r="C923" s="45"/>
      <c r="F923" s="45"/>
      <c r="I923" s="45"/>
    </row>
    <row r="924" spans="3:9" ht="12.75" customHeight="1" x14ac:dyDescent="0.2">
      <c r="C924" s="45"/>
      <c r="F924" s="45"/>
      <c r="I924" s="45"/>
    </row>
    <row r="925" spans="3:9" ht="12.75" customHeight="1" x14ac:dyDescent="0.2">
      <c r="C925" s="45"/>
      <c r="F925" s="45"/>
      <c r="I925" s="45"/>
    </row>
    <row r="926" spans="3:9" ht="12.75" customHeight="1" x14ac:dyDescent="0.2">
      <c r="C926" s="45"/>
      <c r="F926" s="45"/>
      <c r="I926" s="45"/>
    </row>
    <row r="927" spans="3:9" ht="12.75" customHeight="1" x14ac:dyDescent="0.2">
      <c r="C927" s="45"/>
      <c r="F927" s="45"/>
      <c r="I927" s="45"/>
    </row>
    <row r="928" spans="3:9" ht="12.75" customHeight="1" x14ac:dyDescent="0.2">
      <c r="C928" s="45"/>
      <c r="F928" s="45"/>
      <c r="I928" s="45"/>
    </row>
    <row r="929" spans="3:9" ht="12.75" customHeight="1" x14ac:dyDescent="0.2">
      <c r="C929" s="45"/>
      <c r="F929" s="45"/>
      <c r="I929" s="45"/>
    </row>
    <row r="930" spans="3:9" ht="12.75" customHeight="1" x14ac:dyDescent="0.2">
      <c r="C930" s="45"/>
      <c r="F930" s="45"/>
      <c r="I930" s="45"/>
    </row>
    <row r="931" spans="3:9" ht="12.75" customHeight="1" x14ac:dyDescent="0.2">
      <c r="C931" s="45"/>
      <c r="F931" s="45"/>
      <c r="I931" s="45"/>
    </row>
    <row r="932" spans="3:9" ht="12.75" customHeight="1" x14ac:dyDescent="0.2">
      <c r="C932" s="45"/>
      <c r="F932" s="45"/>
      <c r="I932" s="45"/>
    </row>
    <row r="933" spans="3:9" ht="12.75" customHeight="1" x14ac:dyDescent="0.2">
      <c r="C933" s="45"/>
      <c r="F933" s="45"/>
      <c r="I933" s="45"/>
    </row>
    <row r="934" spans="3:9" ht="12.75" customHeight="1" x14ac:dyDescent="0.2">
      <c r="C934" s="45"/>
      <c r="F934" s="45"/>
      <c r="I934" s="45"/>
    </row>
    <row r="935" spans="3:9" ht="12.75" customHeight="1" x14ac:dyDescent="0.2">
      <c r="C935" s="45"/>
      <c r="F935" s="45"/>
      <c r="I935" s="45"/>
    </row>
    <row r="936" spans="3:9" ht="12.75" customHeight="1" x14ac:dyDescent="0.2">
      <c r="C936" s="45"/>
      <c r="F936" s="45"/>
      <c r="I936" s="45"/>
    </row>
    <row r="937" spans="3:9" ht="12.75" customHeight="1" x14ac:dyDescent="0.2">
      <c r="C937" s="45"/>
      <c r="F937" s="45"/>
      <c r="I937" s="45"/>
    </row>
    <row r="938" spans="3:9" ht="12.75" customHeight="1" x14ac:dyDescent="0.2">
      <c r="C938" s="45"/>
      <c r="F938" s="45"/>
      <c r="I938" s="45"/>
    </row>
    <row r="939" spans="3:9" ht="12.75" customHeight="1" x14ac:dyDescent="0.2">
      <c r="C939" s="45"/>
      <c r="F939" s="45"/>
      <c r="I939" s="45"/>
    </row>
    <row r="940" spans="3:9" ht="12.75" customHeight="1" x14ac:dyDescent="0.2">
      <c r="C940" s="45"/>
      <c r="F940" s="45"/>
      <c r="I940" s="45"/>
    </row>
    <row r="941" spans="3:9" ht="12.75" customHeight="1" x14ac:dyDescent="0.2">
      <c r="C941" s="45"/>
      <c r="F941" s="45"/>
      <c r="I941" s="45"/>
    </row>
    <row r="942" spans="3:9" ht="12.75" customHeight="1" x14ac:dyDescent="0.2">
      <c r="C942" s="45"/>
      <c r="F942" s="45"/>
      <c r="I942" s="45"/>
    </row>
    <row r="943" spans="3:9" ht="12.75" customHeight="1" x14ac:dyDescent="0.2">
      <c r="C943" s="45"/>
      <c r="F943" s="45"/>
      <c r="I943" s="45"/>
    </row>
    <row r="944" spans="3:9" ht="12.75" customHeight="1" x14ac:dyDescent="0.2">
      <c r="C944" s="45"/>
      <c r="F944" s="45"/>
      <c r="I944" s="45"/>
    </row>
    <row r="945" spans="3:9" ht="12.75" customHeight="1" x14ac:dyDescent="0.2">
      <c r="C945" s="45"/>
      <c r="F945" s="45"/>
      <c r="I945" s="45"/>
    </row>
    <row r="946" spans="3:9" ht="12.75" customHeight="1" x14ac:dyDescent="0.2">
      <c r="C946" s="45"/>
      <c r="F946" s="45"/>
      <c r="I946" s="45"/>
    </row>
    <row r="947" spans="3:9" ht="12.75" customHeight="1" x14ac:dyDescent="0.2">
      <c r="C947" s="45"/>
      <c r="F947" s="45"/>
      <c r="I947" s="45"/>
    </row>
    <row r="948" spans="3:9" ht="12.75" customHeight="1" x14ac:dyDescent="0.2">
      <c r="C948" s="45"/>
      <c r="F948" s="45"/>
      <c r="I948" s="45"/>
    </row>
    <row r="949" spans="3:9" ht="12.75" customHeight="1" x14ac:dyDescent="0.2">
      <c r="C949" s="45"/>
      <c r="F949" s="45"/>
      <c r="I949" s="45"/>
    </row>
    <row r="950" spans="3:9" ht="12.75" customHeight="1" x14ac:dyDescent="0.2">
      <c r="C950" s="45"/>
      <c r="F950" s="45"/>
      <c r="I950" s="45"/>
    </row>
    <row r="951" spans="3:9" ht="12.75" customHeight="1" x14ac:dyDescent="0.2">
      <c r="C951" s="45"/>
      <c r="F951" s="45"/>
      <c r="I951" s="45"/>
    </row>
    <row r="952" spans="3:9" ht="12.75" customHeight="1" x14ac:dyDescent="0.2">
      <c r="C952" s="45"/>
      <c r="F952" s="45"/>
      <c r="I952" s="45"/>
    </row>
    <row r="953" spans="3:9" ht="12.75" customHeight="1" x14ac:dyDescent="0.2">
      <c r="C953" s="45"/>
      <c r="F953" s="45"/>
      <c r="I953" s="45"/>
    </row>
    <row r="954" spans="3:9" ht="12.75" customHeight="1" x14ac:dyDescent="0.2">
      <c r="C954" s="45"/>
      <c r="F954" s="45"/>
      <c r="I954" s="45"/>
    </row>
    <row r="955" spans="3:9" ht="12.75" customHeight="1" x14ac:dyDescent="0.2">
      <c r="C955" s="45"/>
      <c r="F955" s="45"/>
      <c r="I955" s="45"/>
    </row>
    <row r="956" spans="3:9" ht="12.75" customHeight="1" x14ac:dyDescent="0.2">
      <c r="C956" s="45"/>
      <c r="F956" s="45"/>
      <c r="I956" s="45"/>
    </row>
    <row r="957" spans="3:9" ht="12.75" customHeight="1" x14ac:dyDescent="0.2">
      <c r="C957" s="45"/>
      <c r="F957" s="45"/>
      <c r="I957" s="45"/>
    </row>
    <row r="958" spans="3:9" ht="12.75" customHeight="1" x14ac:dyDescent="0.2">
      <c r="C958" s="45"/>
      <c r="F958" s="45"/>
      <c r="I958" s="45"/>
    </row>
    <row r="959" spans="3:9" ht="12.75" customHeight="1" x14ac:dyDescent="0.2">
      <c r="C959" s="45"/>
      <c r="F959" s="45"/>
      <c r="I959" s="45"/>
    </row>
    <row r="960" spans="3:9" ht="12.75" customHeight="1" x14ac:dyDescent="0.2">
      <c r="C960" s="45"/>
      <c r="F960" s="45"/>
      <c r="I960" s="45"/>
    </row>
    <row r="961" spans="3:9" ht="12.75" customHeight="1" x14ac:dyDescent="0.2">
      <c r="C961" s="45"/>
      <c r="F961" s="45"/>
      <c r="I961" s="45"/>
    </row>
    <row r="962" spans="3:9" ht="12.75" customHeight="1" x14ac:dyDescent="0.2">
      <c r="C962" s="45"/>
      <c r="F962" s="45"/>
      <c r="I962" s="45"/>
    </row>
    <row r="963" spans="3:9" ht="12.75" customHeight="1" x14ac:dyDescent="0.2">
      <c r="C963" s="45"/>
      <c r="F963" s="45"/>
      <c r="I963" s="45"/>
    </row>
    <row r="964" spans="3:9" ht="12.75" customHeight="1" x14ac:dyDescent="0.2">
      <c r="C964" s="45"/>
      <c r="F964" s="45"/>
      <c r="I964" s="45"/>
    </row>
    <row r="965" spans="3:9" ht="12.75" customHeight="1" x14ac:dyDescent="0.2">
      <c r="C965" s="45"/>
      <c r="F965" s="45"/>
      <c r="I965" s="45"/>
    </row>
    <row r="966" spans="3:9" ht="12.75" customHeight="1" x14ac:dyDescent="0.2">
      <c r="C966" s="45"/>
      <c r="F966" s="45"/>
      <c r="I966" s="45"/>
    </row>
    <row r="967" spans="3:9" ht="12.75" customHeight="1" x14ac:dyDescent="0.2">
      <c r="C967" s="45"/>
      <c r="F967" s="45"/>
      <c r="I967" s="45"/>
    </row>
    <row r="968" spans="3:9" ht="12.75" customHeight="1" x14ac:dyDescent="0.2">
      <c r="C968" s="45"/>
      <c r="F968" s="45"/>
      <c r="I968" s="45"/>
    </row>
    <row r="969" spans="3:9" ht="12.75" customHeight="1" x14ac:dyDescent="0.2">
      <c r="C969" s="45"/>
      <c r="F969" s="45"/>
      <c r="I969" s="45"/>
    </row>
    <row r="970" spans="3:9" ht="12.75" customHeight="1" x14ac:dyDescent="0.2">
      <c r="C970" s="45"/>
      <c r="F970" s="45"/>
      <c r="I970" s="45"/>
    </row>
    <row r="971" spans="3:9" ht="12.75" customHeight="1" x14ac:dyDescent="0.2">
      <c r="C971" s="45"/>
      <c r="F971" s="45"/>
      <c r="I971" s="45"/>
    </row>
    <row r="972" spans="3:9" ht="12.75" customHeight="1" x14ac:dyDescent="0.2">
      <c r="C972" s="45"/>
      <c r="F972" s="45"/>
      <c r="I972" s="45"/>
    </row>
    <row r="973" spans="3:9" ht="12.75" customHeight="1" x14ac:dyDescent="0.2">
      <c r="C973" s="45"/>
      <c r="F973" s="45"/>
      <c r="I973" s="45"/>
    </row>
    <row r="974" spans="3:9" ht="12.75" customHeight="1" x14ac:dyDescent="0.2">
      <c r="C974" s="45"/>
      <c r="F974" s="45"/>
      <c r="I974" s="45"/>
    </row>
    <row r="975" spans="3:9" ht="12.75" customHeight="1" x14ac:dyDescent="0.2">
      <c r="C975" s="45"/>
      <c r="F975" s="45"/>
      <c r="I975" s="45"/>
    </row>
    <row r="976" spans="3:9" ht="12.75" customHeight="1" x14ac:dyDescent="0.2">
      <c r="C976" s="45"/>
      <c r="F976" s="45"/>
      <c r="I976" s="45"/>
    </row>
    <row r="977" spans="3:9" ht="12.75" customHeight="1" x14ac:dyDescent="0.2">
      <c r="C977" s="45"/>
      <c r="F977" s="45"/>
      <c r="I977" s="45"/>
    </row>
    <row r="978" spans="3:9" ht="12.75" customHeight="1" x14ac:dyDescent="0.2">
      <c r="C978" s="45"/>
      <c r="F978" s="45"/>
      <c r="I978" s="45"/>
    </row>
    <row r="979" spans="3:9" ht="12.75" customHeight="1" x14ac:dyDescent="0.2">
      <c r="C979" s="45"/>
      <c r="F979" s="45"/>
      <c r="I979" s="45"/>
    </row>
    <row r="980" spans="3:9" ht="12.75" customHeight="1" x14ac:dyDescent="0.2">
      <c r="C980" s="45"/>
      <c r="F980" s="45"/>
      <c r="I980" s="45"/>
    </row>
    <row r="981" spans="3:9" ht="12.75" customHeight="1" x14ac:dyDescent="0.2">
      <c r="C981" s="45"/>
      <c r="F981" s="45"/>
      <c r="I981" s="45"/>
    </row>
    <row r="982" spans="3:9" ht="12.75" customHeight="1" x14ac:dyDescent="0.2">
      <c r="C982" s="45"/>
      <c r="F982" s="45"/>
      <c r="I982" s="45"/>
    </row>
    <row r="983" spans="3:9" ht="12.75" customHeight="1" x14ac:dyDescent="0.2">
      <c r="C983" s="45"/>
      <c r="F983" s="45"/>
      <c r="I983" s="45"/>
    </row>
    <row r="984" spans="3:9" ht="12.75" customHeight="1" x14ac:dyDescent="0.2">
      <c r="C984" s="45"/>
      <c r="F984" s="45"/>
      <c r="I984" s="45"/>
    </row>
    <row r="985" spans="3:9" ht="12.75" customHeight="1" x14ac:dyDescent="0.2">
      <c r="C985" s="45"/>
      <c r="F985" s="45"/>
      <c r="I985" s="45"/>
    </row>
    <row r="986" spans="3:9" ht="12.75" customHeight="1" x14ac:dyDescent="0.2">
      <c r="C986" s="45"/>
      <c r="F986" s="45"/>
      <c r="I986" s="45"/>
    </row>
    <row r="987" spans="3:9" ht="12.75" customHeight="1" x14ac:dyDescent="0.2">
      <c r="C987" s="45"/>
      <c r="F987" s="45"/>
      <c r="I987" s="45"/>
    </row>
    <row r="988" spans="3:9" ht="12.75" customHeight="1" x14ac:dyDescent="0.2">
      <c r="C988" s="45"/>
      <c r="F988" s="45"/>
      <c r="I988" s="45"/>
    </row>
    <row r="989" spans="3:9" ht="12.75" customHeight="1" x14ac:dyDescent="0.2">
      <c r="C989" s="45"/>
      <c r="F989" s="45"/>
      <c r="I989" s="45"/>
    </row>
    <row r="990" spans="3:9" ht="12.75" customHeight="1" x14ac:dyDescent="0.2">
      <c r="C990" s="45"/>
      <c r="F990" s="45"/>
      <c r="I990" s="45"/>
    </row>
    <row r="991" spans="3:9" ht="12.75" customHeight="1" x14ac:dyDescent="0.2">
      <c r="C991" s="45"/>
      <c r="F991" s="45"/>
      <c r="I991" s="45"/>
    </row>
    <row r="992" spans="3:9" ht="12.75" customHeight="1" x14ac:dyDescent="0.2">
      <c r="C992" s="45"/>
      <c r="F992" s="45"/>
      <c r="I992" s="45"/>
    </row>
    <row r="993" spans="3:9" ht="12.75" customHeight="1" x14ac:dyDescent="0.2">
      <c r="C993" s="45"/>
      <c r="F993" s="45"/>
      <c r="I993" s="45"/>
    </row>
    <row r="994" spans="3:9" ht="12.75" customHeight="1" x14ac:dyDescent="0.2">
      <c r="C994" s="45"/>
      <c r="F994" s="45"/>
      <c r="I994" s="45"/>
    </row>
    <row r="995" spans="3:9" ht="12.75" customHeight="1" x14ac:dyDescent="0.2">
      <c r="C995" s="45"/>
      <c r="F995" s="45"/>
      <c r="I995" s="45"/>
    </row>
    <row r="996" spans="3:9" ht="12.75" customHeight="1" x14ac:dyDescent="0.2">
      <c r="C996" s="45"/>
      <c r="F996" s="45"/>
      <c r="I996" s="45"/>
    </row>
    <row r="997" spans="3:9" ht="12.75" customHeight="1" x14ac:dyDescent="0.2">
      <c r="C997" s="45"/>
      <c r="F997" s="45"/>
      <c r="I997" s="45"/>
    </row>
    <row r="998" spans="3:9" ht="12.75" customHeight="1" x14ac:dyDescent="0.2">
      <c r="C998" s="45"/>
      <c r="F998" s="45"/>
      <c r="I998" s="45"/>
    </row>
    <row r="999" spans="3:9" ht="12.75" customHeight="1" x14ac:dyDescent="0.2">
      <c r="C999" s="45"/>
      <c r="F999" s="45"/>
      <c r="I999" s="45"/>
    </row>
    <row r="1000" spans="3:9" ht="12.75" customHeight="1" x14ac:dyDescent="0.2">
      <c r="C1000" s="45"/>
      <c r="F1000" s="45"/>
      <c r="I1000" s="45"/>
    </row>
  </sheetData>
  <mergeCells count="4">
    <mergeCell ref="B10:C10"/>
    <mergeCell ref="E10:F10"/>
    <mergeCell ref="H10:I10"/>
    <mergeCell ref="N10:O10"/>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931"/>
  <sheetViews>
    <sheetView showGridLines="0" topLeftCell="A64" workbookViewId="0">
      <selection activeCell="H20" sqref="H20"/>
    </sheetView>
  </sheetViews>
  <sheetFormatPr baseColWidth="10" defaultColWidth="12.5703125" defaultRowHeight="15" customHeight="1" x14ac:dyDescent="0.2"/>
  <cols>
    <col min="1" max="2" width="16.85546875" customWidth="1"/>
    <col min="3" max="3" width="15.28515625" customWidth="1"/>
    <col min="4" max="4" width="14.42578125" customWidth="1"/>
    <col min="5" max="5" width="16.140625" customWidth="1"/>
    <col min="6" max="14" width="14.42578125" customWidth="1"/>
    <col min="15" max="18" width="15.28515625" customWidth="1"/>
    <col min="19" max="19" width="16.7109375" customWidth="1"/>
    <col min="20" max="24" width="14.42578125" customWidth="1"/>
    <col min="25" max="25" width="16.85546875" customWidth="1"/>
    <col min="26" max="26" width="14.42578125" customWidth="1"/>
  </cols>
  <sheetData>
    <row r="1" spans="1:26" ht="15" customHeight="1" x14ac:dyDescent="0.25">
      <c r="A1" s="192" t="s">
        <v>115</v>
      </c>
      <c r="B1" s="193" t="s">
        <v>152</v>
      </c>
      <c r="C1" s="194" t="s">
        <v>116</v>
      </c>
      <c r="D1" s="195" t="s">
        <v>43</v>
      </c>
      <c r="E1" s="196" t="s">
        <v>42</v>
      </c>
      <c r="F1" s="196" t="s">
        <v>117</v>
      </c>
      <c r="G1" s="197" t="s">
        <v>41</v>
      </c>
      <c r="H1" s="197" t="s">
        <v>118</v>
      </c>
      <c r="I1" s="197" t="s">
        <v>119</v>
      </c>
      <c r="J1" s="197" t="s">
        <v>120</v>
      </c>
      <c r="K1" s="198" t="s">
        <v>121</v>
      </c>
      <c r="L1" s="198" t="s">
        <v>122</v>
      </c>
      <c r="M1" s="198" t="s">
        <v>123</v>
      </c>
      <c r="N1" s="198" t="s">
        <v>124</v>
      </c>
      <c r="O1" s="198" t="s">
        <v>125</v>
      </c>
      <c r="P1" s="198" t="s">
        <v>126</v>
      </c>
      <c r="Q1" s="198" t="s">
        <v>127</v>
      </c>
      <c r="R1" s="198" t="s">
        <v>128</v>
      </c>
      <c r="S1" s="198" t="s">
        <v>129</v>
      </c>
      <c r="T1" s="198" t="s">
        <v>130</v>
      </c>
      <c r="U1" s="198" t="s">
        <v>131</v>
      </c>
      <c r="V1" s="198" t="s">
        <v>132</v>
      </c>
      <c r="W1" s="199" t="s">
        <v>133</v>
      </c>
      <c r="X1" s="199" t="s">
        <v>134</v>
      </c>
      <c r="Y1" s="200" t="s">
        <v>135</v>
      </c>
      <c r="Z1" s="201"/>
    </row>
    <row r="2" spans="1:26" ht="17.25" customHeight="1" x14ac:dyDescent="0.25">
      <c r="A2" s="202"/>
      <c r="B2" s="203"/>
      <c r="C2" s="204"/>
      <c r="D2" s="204"/>
      <c r="E2" s="205" t="s">
        <v>136</v>
      </c>
      <c r="F2" s="204"/>
      <c r="G2" s="204"/>
      <c r="H2" s="204"/>
      <c r="I2" s="204"/>
      <c r="J2" s="204"/>
      <c r="K2" s="204"/>
      <c r="L2" s="204"/>
      <c r="M2" s="204"/>
      <c r="N2" s="204"/>
      <c r="O2" s="204"/>
      <c r="P2" s="204"/>
      <c r="Q2" s="204"/>
      <c r="R2" s="204"/>
      <c r="S2" s="204"/>
      <c r="T2" s="204"/>
      <c r="U2" s="206"/>
      <c r="V2" s="204"/>
      <c r="W2" s="204"/>
      <c r="X2" s="204"/>
      <c r="Y2" s="207"/>
      <c r="Z2" s="201"/>
    </row>
    <row r="3" spans="1:26" ht="14.25" customHeight="1" x14ac:dyDescent="0.25">
      <c r="A3" s="208" t="s">
        <v>137</v>
      </c>
      <c r="B3" s="209">
        <v>45037</v>
      </c>
      <c r="C3" s="210">
        <v>250000</v>
      </c>
      <c r="D3" s="210"/>
      <c r="E3" s="210"/>
      <c r="F3" s="210"/>
      <c r="G3" s="210"/>
      <c r="H3" s="210"/>
      <c r="I3" s="210"/>
      <c r="J3" s="210"/>
      <c r="K3" s="210"/>
      <c r="L3" s="210"/>
      <c r="M3" s="210">
        <f>40000</f>
        <v>40000</v>
      </c>
      <c r="N3" s="210"/>
      <c r="O3" s="210"/>
      <c r="P3" s="210"/>
      <c r="Q3" s="210"/>
      <c r="R3" s="210"/>
      <c r="S3" s="210"/>
      <c r="T3" s="210"/>
      <c r="U3" s="210"/>
      <c r="V3" s="210"/>
      <c r="W3" s="210"/>
      <c r="X3" s="210"/>
      <c r="Y3" s="211"/>
      <c r="Z3" s="201"/>
    </row>
    <row r="4" spans="1:26" ht="13.5" customHeight="1" x14ac:dyDescent="0.25">
      <c r="A4" s="212" t="s">
        <v>138</v>
      </c>
      <c r="B4" s="213">
        <v>45038</v>
      </c>
      <c r="C4" s="214"/>
      <c r="D4" s="215">
        <v>7700</v>
      </c>
      <c r="E4" s="215">
        <f>50000+10700+30000+7290+6670+5850</f>
        <v>110510</v>
      </c>
      <c r="F4" s="214"/>
      <c r="G4" s="215">
        <f>3000</f>
        <v>3000</v>
      </c>
      <c r="H4" s="214">
        <v>11100</v>
      </c>
      <c r="I4" s="214"/>
      <c r="J4" s="214"/>
      <c r="K4" s="214"/>
      <c r="L4" s="215"/>
      <c r="M4" s="214"/>
      <c r="N4" s="214"/>
      <c r="O4" s="214"/>
      <c r="P4" s="214"/>
      <c r="Q4" s="214"/>
      <c r="R4" s="214"/>
      <c r="S4" s="214">
        <f>7000+1100</f>
        <v>8100</v>
      </c>
      <c r="T4" s="214">
        <f>1800+3000</f>
        <v>4800</v>
      </c>
      <c r="U4" s="214">
        <v>6000</v>
      </c>
      <c r="V4" s="216"/>
      <c r="W4" s="214"/>
      <c r="X4" s="214"/>
      <c r="Y4" s="217">
        <f>SUM(C4:X4)</f>
        <v>151210</v>
      </c>
      <c r="Z4" s="201"/>
    </row>
    <row r="5" spans="1:26" ht="14.25" customHeight="1" x14ac:dyDescent="0.25">
      <c r="A5" s="218" t="s">
        <v>139</v>
      </c>
      <c r="B5" s="219">
        <v>45039</v>
      </c>
      <c r="C5" s="220"/>
      <c r="D5" s="221">
        <v>5000</v>
      </c>
      <c r="E5" s="221">
        <f>4900+39955+7800</f>
        <v>52655</v>
      </c>
      <c r="F5" s="220"/>
      <c r="G5" s="221">
        <f>11200+1800</f>
        <v>13000</v>
      </c>
      <c r="H5" s="220"/>
      <c r="I5" s="220"/>
      <c r="J5" s="220">
        <f>5250+2000+10500</f>
        <v>17750</v>
      </c>
      <c r="K5" s="220"/>
      <c r="L5" s="221"/>
      <c r="M5" s="220"/>
      <c r="N5" s="220"/>
      <c r="O5" s="220"/>
      <c r="P5" s="220"/>
      <c r="Q5" s="220"/>
      <c r="R5" s="220"/>
      <c r="S5" s="220"/>
      <c r="T5" s="220"/>
      <c r="U5" s="220">
        <v>1000</v>
      </c>
      <c r="V5" s="222"/>
      <c r="W5" s="220"/>
      <c r="X5" s="220"/>
      <c r="Y5" s="223">
        <f>SUM(C5:X5)</f>
        <v>89405</v>
      </c>
      <c r="Z5" s="201"/>
    </row>
    <row r="6" spans="1:26" ht="14.25" customHeight="1" x14ac:dyDescent="0.25">
      <c r="A6" s="208" t="s">
        <v>140</v>
      </c>
      <c r="B6" s="209">
        <v>45040</v>
      </c>
      <c r="C6" s="210"/>
      <c r="D6" s="224"/>
      <c r="E6" s="224">
        <f>62000+4800+24500+8400+22500+5000+7200</f>
        <v>134400</v>
      </c>
      <c r="F6" s="210"/>
      <c r="G6" s="224"/>
      <c r="H6" s="210"/>
      <c r="I6" s="210"/>
      <c r="J6" s="210"/>
      <c r="K6" s="210"/>
      <c r="L6" s="224"/>
      <c r="M6" s="210"/>
      <c r="N6" s="210"/>
      <c r="O6" s="210"/>
      <c r="P6" s="210"/>
      <c r="Q6" s="210"/>
      <c r="R6" s="210"/>
      <c r="S6" s="210">
        <v>100</v>
      </c>
      <c r="T6" s="210"/>
      <c r="U6" s="210">
        <v>1000</v>
      </c>
      <c r="V6" s="225"/>
      <c r="W6" s="210"/>
      <c r="X6" s="210">
        <f>15000+15000</f>
        <v>30000</v>
      </c>
      <c r="Y6" s="226">
        <f t="shared" ref="Y6:Y12" si="0">SUM(C6:X6)</f>
        <v>165500</v>
      </c>
      <c r="Z6" s="201"/>
    </row>
    <row r="7" spans="1:26" ht="13.5" customHeight="1" x14ac:dyDescent="0.25">
      <c r="A7" s="212" t="s">
        <v>141</v>
      </c>
      <c r="B7" s="213">
        <v>45041</v>
      </c>
      <c r="C7" s="214"/>
      <c r="D7" s="215"/>
      <c r="E7" s="215">
        <f>14500+27400</f>
        <v>41900</v>
      </c>
      <c r="F7" s="214"/>
      <c r="G7" s="215">
        <f>52800+11200+1000</f>
        <v>65000</v>
      </c>
      <c r="H7" s="214"/>
      <c r="I7" s="214"/>
      <c r="J7" s="214"/>
      <c r="K7" s="214"/>
      <c r="L7" s="215"/>
      <c r="M7" s="214"/>
      <c r="N7" s="214"/>
      <c r="O7" s="214"/>
      <c r="P7" s="214"/>
      <c r="Q7" s="214"/>
      <c r="R7" s="214">
        <v>2100</v>
      </c>
      <c r="S7" s="214"/>
      <c r="T7" s="214"/>
      <c r="U7" s="214">
        <v>5000</v>
      </c>
      <c r="V7" s="227">
        <v>30000</v>
      </c>
      <c r="W7" s="214">
        <v>30000</v>
      </c>
      <c r="X7" s="214"/>
      <c r="Y7" s="217">
        <f t="shared" si="0"/>
        <v>174000</v>
      </c>
      <c r="Z7" s="201"/>
    </row>
    <row r="8" spans="1:26" ht="13.5" customHeight="1" x14ac:dyDescent="0.25">
      <c r="A8" s="212" t="s">
        <v>142</v>
      </c>
      <c r="B8" s="213">
        <v>45042</v>
      </c>
      <c r="C8" s="214"/>
      <c r="D8" s="215">
        <v>11000</v>
      </c>
      <c r="E8" s="215">
        <f>7500+18225+2000+1800+1800</f>
        <v>31325</v>
      </c>
      <c r="F8" s="214"/>
      <c r="G8" s="215">
        <f>3000+7000</f>
        <v>10000</v>
      </c>
      <c r="H8" s="214"/>
      <c r="I8" s="214"/>
      <c r="J8" s="214"/>
      <c r="K8" s="214"/>
      <c r="L8" s="215"/>
      <c r="M8" s="214"/>
      <c r="N8" s="214"/>
      <c r="O8" s="214"/>
      <c r="P8" s="214"/>
      <c r="Q8" s="214"/>
      <c r="R8" s="214">
        <f>100000+3000</f>
        <v>103000</v>
      </c>
      <c r="S8" s="214"/>
      <c r="T8" s="214"/>
      <c r="U8" s="214">
        <v>3000</v>
      </c>
      <c r="V8" s="227">
        <v>15000</v>
      </c>
      <c r="W8" s="214">
        <v>3000</v>
      </c>
      <c r="X8" s="214"/>
      <c r="Y8" s="217">
        <f t="shared" si="0"/>
        <v>176325</v>
      </c>
      <c r="Z8" s="201"/>
    </row>
    <row r="9" spans="1:26" ht="13.5" customHeight="1" x14ac:dyDescent="0.25">
      <c r="A9" s="212" t="s">
        <v>143</v>
      </c>
      <c r="B9" s="213">
        <v>45043</v>
      </c>
      <c r="C9" s="214"/>
      <c r="D9" s="215">
        <f>6000</f>
        <v>6000</v>
      </c>
      <c r="E9" s="215">
        <f>5500+29100+5200</f>
        <v>39800</v>
      </c>
      <c r="F9" s="214"/>
      <c r="G9" s="215">
        <f>11400+35000+4000</f>
        <v>50400</v>
      </c>
      <c r="H9" s="214"/>
      <c r="I9" s="214"/>
      <c r="J9" s="214">
        <v>12500</v>
      </c>
      <c r="K9" s="214"/>
      <c r="L9" s="215"/>
      <c r="M9" s="214"/>
      <c r="N9" s="214"/>
      <c r="O9" s="214"/>
      <c r="P9" s="214"/>
      <c r="Q9" s="214"/>
      <c r="R9" s="214"/>
      <c r="S9" s="214">
        <v>4000</v>
      </c>
      <c r="T9" s="214"/>
      <c r="U9" s="214">
        <v>1000</v>
      </c>
      <c r="V9" s="216"/>
      <c r="W9" s="214"/>
      <c r="X9" s="214"/>
      <c r="Y9" s="217">
        <f t="shared" si="0"/>
        <v>113700</v>
      </c>
      <c r="Z9" s="201"/>
    </row>
    <row r="10" spans="1:26" ht="13.5" customHeight="1" x14ac:dyDescent="0.25">
      <c r="A10" s="212" t="s">
        <v>144</v>
      </c>
      <c r="B10" s="213">
        <v>45044</v>
      </c>
      <c r="C10" s="214"/>
      <c r="D10" s="215">
        <f>135000</f>
        <v>135000</v>
      </c>
      <c r="E10" s="215">
        <f>4500+2350+33400+2000</f>
        <v>42250</v>
      </c>
      <c r="F10" s="214"/>
      <c r="G10" s="215">
        <f>158500+1000</f>
        <v>159500</v>
      </c>
      <c r="H10" s="214"/>
      <c r="I10" s="214"/>
      <c r="J10" s="214"/>
      <c r="K10" s="214"/>
      <c r="L10" s="215"/>
      <c r="M10" s="214"/>
      <c r="N10" s="214"/>
      <c r="O10" s="214"/>
      <c r="P10" s="214"/>
      <c r="Q10" s="214"/>
      <c r="R10" s="214"/>
      <c r="S10" s="214">
        <f>8400</f>
        <v>8400</v>
      </c>
      <c r="T10" s="214"/>
      <c r="U10" s="214">
        <v>2600</v>
      </c>
      <c r="V10" s="216"/>
      <c r="W10" s="214"/>
      <c r="X10" s="214"/>
      <c r="Y10" s="217">
        <f t="shared" si="0"/>
        <v>347750</v>
      </c>
      <c r="Z10" s="201"/>
    </row>
    <row r="11" spans="1:26" ht="13.5" customHeight="1" x14ac:dyDescent="0.25">
      <c r="A11" s="212" t="s">
        <v>138</v>
      </c>
      <c r="B11" s="213">
        <v>45045</v>
      </c>
      <c r="C11" s="214"/>
      <c r="D11" s="215">
        <f>1500</f>
        <v>1500</v>
      </c>
      <c r="E11" s="215">
        <f>15050+4750+2000</f>
        <v>21800</v>
      </c>
      <c r="F11" s="214"/>
      <c r="G11" s="215">
        <f>14200+13500</f>
        <v>27700</v>
      </c>
      <c r="H11" s="214"/>
      <c r="I11" s="214"/>
      <c r="J11" s="214"/>
      <c r="K11" s="214"/>
      <c r="L11" s="215">
        <v>20000</v>
      </c>
      <c r="M11" s="214"/>
      <c r="N11" s="214"/>
      <c r="O11" s="214"/>
      <c r="P11" s="214"/>
      <c r="Q11" s="214"/>
      <c r="R11" s="214"/>
      <c r="S11" s="214"/>
      <c r="T11" s="214"/>
      <c r="U11" s="214">
        <v>3000</v>
      </c>
      <c r="V11" s="216"/>
      <c r="W11" s="214"/>
      <c r="X11" s="214">
        <f>45000</f>
        <v>45000</v>
      </c>
      <c r="Y11" s="217">
        <f t="shared" si="0"/>
        <v>119000</v>
      </c>
      <c r="Z11" s="201"/>
    </row>
    <row r="12" spans="1:26" ht="14.25" customHeight="1" x14ac:dyDescent="0.25">
      <c r="A12" s="228" t="s">
        <v>139</v>
      </c>
      <c r="B12" s="229">
        <v>45046</v>
      </c>
      <c r="C12" s="220"/>
      <c r="D12" s="221"/>
      <c r="E12" s="221">
        <f>36650+12000+2500</f>
        <v>51150</v>
      </c>
      <c r="F12" s="220"/>
      <c r="G12" s="221">
        <f>13000+118660+16500+114800+98600+436000+402500+15000+1500+14000+636950+5000</f>
        <v>1872510</v>
      </c>
      <c r="H12" s="220"/>
      <c r="I12" s="220">
        <v>37000</v>
      </c>
      <c r="J12" s="220">
        <v>2000</v>
      </c>
      <c r="K12" s="220"/>
      <c r="L12" s="221"/>
      <c r="M12" s="220"/>
      <c r="N12" s="220"/>
      <c r="O12" s="220"/>
      <c r="P12" s="220"/>
      <c r="Q12" s="220"/>
      <c r="R12" s="220"/>
      <c r="S12" s="220">
        <f>12000+4500+4500</f>
        <v>21000</v>
      </c>
      <c r="T12" s="220"/>
      <c r="U12" s="220">
        <f>2000+10000+3000+3000</f>
        <v>18000</v>
      </c>
      <c r="V12" s="222"/>
      <c r="W12" s="220">
        <f>4000+500+1500</f>
        <v>6000</v>
      </c>
      <c r="X12" s="220"/>
      <c r="Y12" s="223">
        <f t="shared" si="0"/>
        <v>2007660</v>
      </c>
      <c r="Z12" s="201"/>
    </row>
    <row r="13" spans="1:26" ht="14.25" customHeight="1" x14ac:dyDescent="0.25">
      <c r="A13" s="230" t="s">
        <v>145</v>
      </c>
      <c r="B13" s="231"/>
      <c r="C13" s="232">
        <f t="shared" ref="C13:Y13" si="1">SUM(C3:C12)</f>
        <v>250000</v>
      </c>
      <c r="D13" s="232">
        <f t="shared" si="1"/>
        <v>166200</v>
      </c>
      <c r="E13" s="232">
        <f t="shared" si="1"/>
        <v>525790</v>
      </c>
      <c r="F13" s="232">
        <f t="shared" si="1"/>
        <v>0</v>
      </c>
      <c r="G13" s="232">
        <f t="shared" si="1"/>
        <v>2201110</v>
      </c>
      <c r="H13" s="232">
        <f t="shared" si="1"/>
        <v>11100</v>
      </c>
      <c r="I13" s="232">
        <f t="shared" si="1"/>
        <v>37000</v>
      </c>
      <c r="J13" s="232">
        <f t="shared" si="1"/>
        <v>32250</v>
      </c>
      <c r="K13" s="232">
        <f t="shared" si="1"/>
        <v>0</v>
      </c>
      <c r="L13" s="232">
        <f t="shared" si="1"/>
        <v>20000</v>
      </c>
      <c r="M13" s="232">
        <f t="shared" si="1"/>
        <v>40000</v>
      </c>
      <c r="N13" s="232">
        <f t="shared" si="1"/>
        <v>0</v>
      </c>
      <c r="O13" s="232">
        <f t="shared" si="1"/>
        <v>0</v>
      </c>
      <c r="P13" s="232">
        <f t="shared" si="1"/>
        <v>0</v>
      </c>
      <c r="Q13" s="232">
        <f t="shared" si="1"/>
        <v>0</v>
      </c>
      <c r="R13" s="232">
        <f t="shared" si="1"/>
        <v>105100</v>
      </c>
      <c r="S13" s="232">
        <f t="shared" si="1"/>
        <v>41600</v>
      </c>
      <c r="T13" s="232">
        <f t="shared" si="1"/>
        <v>4800</v>
      </c>
      <c r="U13" s="232">
        <f t="shared" si="1"/>
        <v>40600</v>
      </c>
      <c r="V13" s="232">
        <f t="shared" si="1"/>
        <v>45000</v>
      </c>
      <c r="W13" s="232">
        <f t="shared" si="1"/>
        <v>39000</v>
      </c>
      <c r="X13" s="232">
        <f t="shared" si="1"/>
        <v>75000</v>
      </c>
      <c r="Y13" s="233">
        <f t="shared" si="1"/>
        <v>3344550</v>
      </c>
      <c r="Z13" s="201"/>
    </row>
    <row r="14" spans="1:26" ht="13.5" customHeight="1" x14ac:dyDescent="0.25">
      <c r="A14" s="234" t="s">
        <v>40</v>
      </c>
      <c r="B14" s="235"/>
      <c r="C14" s="236">
        <f t="shared" ref="C14:X14" si="2">C13/$Y$13</f>
        <v>7.4748471393759994E-2</v>
      </c>
      <c r="D14" s="236">
        <f t="shared" si="2"/>
        <v>4.9692783782571644E-2</v>
      </c>
      <c r="E14" s="236">
        <f t="shared" si="2"/>
        <v>0.15720799509650027</v>
      </c>
      <c r="F14" s="236">
        <f t="shared" si="2"/>
        <v>0</v>
      </c>
      <c r="G14" s="236">
        <f t="shared" si="2"/>
        <v>0.65811843147807625</v>
      </c>
      <c r="H14" s="236">
        <f t="shared" si="2"/>
        <v>3.3188321298829441E-3</v>
      </c>
      <c r="I14" s="236">
        <f t="shared" si="2"/>
        <v>1.1062773766276479E-2</v>
      </c>
      <c r="J14" s="236">
        <f t="shared" si="2"/>
        <v>9.6425528097950405E-3</v>
      </c>
      <c r="K14" s="236">
        <f t="shared" si="2"/>
        <v>0</v>
      </c>
      <c r="L14" s="236">
        <f t="shared" si="2"/>
        <v>5.9798777115007999E-3</v>
      </c>
      <c r="M14" s="236">
        <f t="shared" si="2"/>
        <v>1.19597554230016E-2</v>
      </c>
      <c r="N14" s="236">
        <f t="shared" si="2"/>
        <v>0</v>
      </c>
      <c r="O14" s="236">
        <f t="shared" si="2"/>
        <v>0</v>
      </c>
      <c r="P14" s="236">
        <f t="shared" si="2"/>
        <v>0</v>
      </c>
      <c r="Q14" s="236">
        <f t="shared" si="2"/>
        <v>0</v>
      </c>
      <c r="R14" s="236">
        <f t="shared" si="2"/>
        <v>3.1424257373936705E-2</v>
      </c>
      <c r="S14" s="236">
        <f t="shared" si="2"/>
        <v>1.2438145639921664E-2</v>
      </c>
      <c r="T14" s="236">
        <f t="shared" si="2"/>
        <v>1.435170650760192E-3</v>
      </c>
      <c r="U14" s="236">
        <f t="shared" si="2"/>
        <v>1.2139151754346624E-2</v>
      </c>
      <c r="V14" s="236">
        <f t="shared" si="2"/>
        <v>1.3454724850876799E-2</v>
      </c>
      <c r="W14" s="236">
        <f t="shared" si="2"/>
        <v>1.166076153742656E-2</v>
      </c>
      <c r="X14" s="236">
        <f t="shared" si="2"/>
        <v>2.2424541418128E-2</v>
      </c>
      <c r="Y14" s="237"/>
      <c r="Z14" s="201"/>
    </row>
    <row r="15" spans="1:26" ht="15.75" customHeight="1" x14ac:dyDescent="0.25">
      <c r="A15" s="238">
        <v>655.95699999999999</v>
      </c>
      <c r="B15" s="238"/>
      <c r="C15" s="239"/>
      <c r="D15" s="239"/>
      <c r="E15" s="240" t="s">
        <v>146</v>
      </c>
      <c r="F15" s="239"/>
      <c r="G15" s="239"/>
      <c r="H15" s="239"/>
      <c r="I15" s="239"/>
      <c r="J15" s="239"/>
      <c r="K15" s="239"/>
      <c r="L15" s="239"/>
      <c r="M15" s="239"/>
      <c r="N15" s="239"/>
      <c r="O15" s="239"/>
      <c r="P15" s="239"/>
      <c r="Q15" s="239"/>
      <c r="R15" s="239"/>
      <c r="S15" s="239"/>
      <c r="T15" s="239"/>
      <c r="U15" s="241"/>
      <c r="V15" s="239"/>
      <c r="W15" s="239"/>
      <c r="X15" s="239"/>
      <c r="Y15" s="242"/>
      <c r="Z15" s="201"/>
    </row>
    <row r="16" spans="1:26" ht="14.25" customHeight="1" x14ac:dyDescent="0.25">
      <c r="A16" s="208" t="s">
        <v>140</v>
      </c>
      <c r="B16" s="209">
        <v>45047</v>
      </c>
      <c r="C16" s="210"/>
      <c r="D16" s="210">
        <v>0</v>
      </c>
      <c r="E16" s="210">
        <v>111150</v>
      </c>
      <c r="F16" s="210"/>
      <c r="G16" s="243">
        <f>63500-'AVRIL 23'!B24</f>
        <v>470250</v>
      </c>
      <c r="H16" s="210"/>
      <c r="I16" s="210"/>
      <c r="J16" s="210"/>
      <c r="K16" s="210"/>
      <c r="L16" s="210"/>
      <c r="M16" s="210"/>
      <c r="N16" s="210"/>
      <c r="O16" s="210"/>
      <c r="P16" s="210"/>
      <c r="Q16" s="210"/>
      <c r="R16" s="210"/>
      <c r="S16" s="210"/>
      <c r="T16" s="210"/>
      <c r="U16" s="210">
        <v>3000</v>
      </c>
      <c r="V16" s="210"/>
      <c r="W16" s="210"/>
      <c r="X16" s="210"/>
      <c r="Y16" s="244">
        <f t="shared" ref="Y16:Y41" si="3">SUM(C16:X16)</f>
        <v>584400</v>
      </c>
      <c r="Z16" s="201"/>
    </row>
    <row r="17" spans="1:26" ht="13.5" customHeight="1" x14ac:dyDescent="0.25">
      <c r="A17" s="212" t="s">
        <v>141</v>
      </c>
      <c r="B17" s="213">
        <v>45048</v>
      </c>
      <c r="C17" s="214"/>
      <c r="D17" s="214"/>
      <c r="E17" s="214">
        <v>22300</v>
      </c>
      <c r="F17" s="214"/>
      <c r="G17" s="214"/>
      <c r="H17" s="214"/>
      <c r="I17" s="214"/>
      <c r="J17" s="214"/>
      <c r="K17" s="214"/>
      <c r="L17" s="214"/>
      <c r="M17" s="214"/>
      <c r="N17" s="214"/>
      <c r="O17" s="214"/>
      <c r="P17" s="214"/>
      <c r="Q17" s="214"/>
      <c r="R17" s="214">
        <v>1500</v>
      </c>
      <c r="S17" s="214">
        <f>2100</f>
        <v>2100</v>
      </c>
      <c r="T17" s="214">
        <v>1600</v>
      </c>
      <c r="U17" s="214">
        <v>4000</v>
      </c>
      <c r="V17" s="214"/>
      <c r="W17" s="214">
        <v>2000</v>
      </c>
      <c r="X17" s="214">
        <v>97000</v>
      </c>
      <c r="Y17" s="245">
        <f t="shared" si="3"/>
        <v>130500</v>
      </c>
      <c r="Z17" s="201"/>
    </row>
    <row r="18" spans="1:26" ht="13.5" customHeight="1" x14ac:dyDescent="0.25">
      <c r="A18" s="212" t="s">
        <v>142</v>
      </c>
      <c r="B18" s="213">
        <v>45049</v>
      </c>
      <c r="C18" s="214"/>
      <c r="D18" s="214">
        <v>5000</v>
      </c>
      <c r="E18" s="214">
        <v>58150</v>
      </c>
      <c r="F18" s="214"/>
      <c r="G18" s="214">
        <v>2000</v>
      </c>
      <c r="H18" s="214"/>
      <c r="I18" s="214"/>
      <c r="J18" s="214"/>
      <c r="K18" s="214">
        <v>1000</v>
      </c>
      <c r="L18" s="214"/>
      <c r="M18" s="214"/>
      <c r="N18" s="214"/>
      <c r="O18" s="214"/>
      <c r="P18" s="214"/>
      <c r="Q18" s="214"/>
      <c r="R18" s="214">
        <v>1550</v>
      </c>
      <c r="S18" s="214"/>
      <c r="T18" s="214"/>
      <c r="U18" s="214">
        <v>3950</v>
      </c>
      <c r="V18" s="214"/>
      <c r="W18" s="214"/>
      <c r="X18" s="214">
        <v>7000</v>
      </c>
      <c r="Y18" s="245">
        <f t="shared" si="3"/>
        <v>78650</v>
      </c>
      <c r="Z18" s="201"/>
    </row>
    <row r="19" spans="1:26" ht="13.5" customHeight="1" x14ac:dyDescent="0.25">
      <c r="A19" s="212" t="s">
        <v>143</v>
      </c>
      <c r="B19" s="213">
        <v>45050</v>
      </c>
      <c r="C19" s="214"/>
      <c r="D19" s="214"/>
      <c r="E19" s="214">
        <v>50350</v>
      </c>
      <c r="F19" s="214"/>
      <c r="G19" s="214">
        <v>69200</v>
      </c>
      <c r="H19" s="214"/>
      <c r="I19" s="214"/>
      <c r="J19" s="214"/>
      <c r="K19" s="214">
        <v>1000</v>
      </c>
      <c r="L19" s="214"/>
      <c r="M19" s="214"/>
      <c r="N19" s="214"/>
      <c r="O19" s="214"/>
      <c r="P19" s="214"/>
      <c r="Q19" s="214"/>
      <c r="R19" s="214">
        <v>200</v>
      </c>
      <c r="S19" s="214"/>
      <c r="T19" s="214"/>
      <c r="U19" s="214">
        <v>3000</v>
      </c>
      <c r="V19" s="214"/>
      <c r="W19" s="214">
        <v>95000</v>
      </c>
      <c r="X19" s="214"/>
      <c r="Y19" s="245">
        <f t="shared" si="3"/>
        <v>218750</v>
      </c>
      <c r="Z19" s="201"/>
    </row>
    <row r="20" spans="1:26" ht="13.5" customHeight="1" x14ac:dyDescent="0.25">
      <c r="A20" s="212" t="s">
        <v>144</v>
      </c>
      <c r="B20" s="213">
        <v>45051</v>
      </c>
      <c r="C20" s="214"/>
      <c r="D20" s="214"/>
      <c r="E20" s="214">
        <v>47800</v>
      </c>
      <c r="F20" s="214"/>
      <c r="G20" s="214">
        <v>12500</v>
      </c>
      <c r="H20" s="214"/>
      <c r="I20" s="214"/>
      <c r="J20" s="214">
        <v>12500</v>
      </c>
      <c r="K20" s="214">
        <v>1000</v>
      </c>
      <c r="L20" s="214"/>
      <c r="M20" s="214"/>
      <c r="N20" s="214">
        <v>150000</v>
      </c>
      <c r="O20" s="214"/>
      <c r="P20" s="214"/>
      <c r="Q20" s="214"/>
      <c r="R20" s="214"/>
      <c r="S20" s="214">
        <v>1500</v>
      </c>
      <c r="T20" s="214">
        <v>3000</v>
      </c>
      <c r="U20" s="214">
        <v>2000</v>
      </c>
      <c r="V20" s="214"/>
      <c r="W20" s="214"/>
      <c r="X20" s="214"/>
      <c r="Y20" s="245">
        <f t="shared" si="3"/>
        <v>230300</v>
      </c>
      <c r="Z20" s="201"/>
    </row>
    <row r="21" spans="1:26" ht="13.5" customHeight="1" x14ac:dyDescent="0.25">
      <c r="A21" s="212" t="s">
        <v>138</v>
      </c>
      <c r="B21" s="213">
        <v>45052</v>
      </c>
      <c r="C21" s="214"/>
      <c r="D21" s="214">
        <v>1500</v>
      </c>
      <c r="E21" s="214">
        <v>72800</v>
      </c>
      <c r="F21" s="214"/>
      <c r="G21" s="214">
        <v>11200</v>
      </c>
      <c r="H21" s="214"/>
      <c r="I21" s="214"/>
      <c r="J21" s="214">
        <v>1000</v>
      </c>
      <c r="K21" s="214">
        <v>1000</v>
      </c>
      <c r="L21" s="214"/>
      <c r="M21" s="214"/>
      <c r="N21" s="214"/>
      <c r="O21" s="214"/>
      <c r="P21" s="214"/>
      <c r="Q21" s="214"/>
      <c r="R21" s="214"/>
      <c r="S21" s="214"/>
      <c r="T21" s="214"/>
      <c r="U21" s="214">
        <v>4000</v>
      </c>
      <c r="V21" s="214"/>
      <c r="W21" s="214"/>
      <c r="X21" s="214"/>
      <c r="Y21" s="245">
        <f t="shared" si="3"/>
        <v>91500</v>
      </c>
      <c r="Z21" s="201"/>
    </row>
    <row r="22" spans="1:26" ht="14.25" customHeight="1" x14ac:dyDescent="0.25">
      <c r="A22" s="218" t="s">
        <v>139</v>
      </c>
      <c r="B22" s="219">
        <v>45053</v>
      </c>
      <c r="C22" s="220"/>
      <c r="D22" s="220">
        <v>5000</v>
      </c>
      <c r="E22" s="220">
        <v>65800</v>
      </c>
      <c r="F22" s="220"/>
      <c r="G22" s="220">
        <v>75600</v>
      </c>
      <c r="H22" s="220"/>
      <c r="I22" s="220">
        <v>15000</v>
      </c>
      <c r="J22" s="220"/>
      <c r="K22" s="220">
        <v>1000</v>
      </c>
      <c r="L22" s="220"/>
      <c r="M22" s="220"/>
      <c r="N22" s="220"/>
      <c r="O22" s="220"/>
      <c r="P22" s="220"/>
      <c r="Q22" s="220"/>
      <c r="R22" s="220"/>
      <c r="S22" s="220">
        <v>100</v>
      </c>
      <c r="T22" s="220"/>
      <c r="U22" s="220">
        <v>2000</v>
      </c>
      <c r="V22" s="220"/>
      <c r="W22" s="220"/>
      <c r="X22" s="220"/>
      <c r="Y22" s="246">
        <f t="shared" si="3"/>
        <v>164500</v>
      </c>
      <c r="Z22" s="201"/>
    </row>
    <row r="23" spans="1:26" ht="14.25" customHeight="1" x14ac:dyDescent="0.25">
      <c r="A23" s="208" t="s">
        <v>140</v>
      </c>
      <c r="B23" s="209">
        <v>45054</v>
      </c>
      <c r="C23" s="210"/>
      <c r="D23" s="210">
        <v>31000</v>
      </c>
      <c r="E23" s="210">
        <v>77750</v>
      </c>
      <c r="F23" s="210"/>
      <c r="G23" s="210">
        <v>9000</v>
      </c>
      <c r="H23" s="210"/>
      <c r="I23" s="210"/>
      <c r="J23" s="210"/>
      <c r="K23" s="210">
        <v>1000</v>
      </c>
      <c r="L23" s="210"/>
      <c r="M23" s="210"/>
      <c r="N23" s="210"/>
      <c r="O23" s="210"/>
      <c r="P23" s="210"/>
      <c r="Q23" s="210"/>
      <c r="R23" s="210"/>
      <c r="S23" s="210">
        <v>8400</v>
      </c>
      <c r="T23" s="210"/>
      <c r="U23" s="210">
        <v>3000</v>
      </c>
      <c r="V23" s="210"/>
      <c r="W23" s="210"/>
      <c r="X23" s="210">
        <f>25000+20000+2500+9500</f>
        <v>57000</v>
      </c>
      <c r="Y23" s="244">
        <f t="shared" si="3"/>
        <v>187150</v>
      </c>
      <c r="Z23" s="201"/>
    </row>
    <row r="24" spans="1:26" ht="13.5" customHeight="1" x14ac:dyDescent="0.25">
      <c r="A24" s="212" t="s">
        <v>141</v>
      </c>
      <c r="B24" s="213">
        <v>45055</v>
      </c>
      <c r="C24" s="214"/>
      <c r="D24" s="214"/>
      <c r="E24" s="214">
        <v>48500</v>
      </c>
      <c r="F24" s="214"/>
      <c r="G24" s="214">
        <v>42000</v>
      </c>
      <c r="H24" s="214"/>
      <c r="I24" s="214"/>
      <c r="J24" s="214"/>
      <c r="K24" s="214">
        <v>1000</v>
      </c>
      <c r="L24" s="214"/>
      <c r="M24" s="214"/>
      <c r="N24" s="214"/>
      <c r="O24" s="214"/>
      <c r="P24" s="214"/>
      <c r="Q24" s="214"/>
      <c r="R24" s="214"/>
      <c r="S24" s="214"/>
      <c r="T24" s="214">
        <v>35000</v>
      </c>
      <c r="U24" s="214">
        <v>4000</v>
      </c>
      <c r="V24" s="214"/>
      <c r="W24" s="247">
        <f>(99.11+54.65+27.49+47.56+60.58)*$A$15</f>
        <v>189827.39622999998</v>
      </c>
      <c r="X24" s="214">
        <v>15000</v>
      </c>
      <c r="Y24" s="248">
        <f t="shared" si="3"/>
        <v>335327.39622999995</v>
      </c>
      <c r="Z24" s="201"/>
    </row>
    <row r="25" spans="1:26" ht="13.5" customHeight="1" x14ac:dyDescent="0.25">
      <c r="A25" s="212" t="s">
        <v>142</v>
      </c>
      <c r="B25" s="213">
        <v>45056</v>
      </c>
      <c r="C25" s="214"/>
      <c r="D25" s="214"/>
      <c r="E25" s="214">
        <f>2500+22800+14500</f>
        <v>39800</v>
      </c>
      <c r="F25" s="214"/>
      <c r="G25" s="214">
        <f>3800+2000+2000+1000</f>
        <v>8800</v>
      </c>
      <c r="H25" s="214"/>
      <c r="I25" s="214"/>
      <c r="J25" s="214"/>
      <c r="K25" s="214">
        <v>1000</v>
      </c>
      <c r="L25" s="214">
        <v>80000</v>
      </c>
      <c r="M25" s="214"/>
      <c r="N25" s="214"/>
      <c r="O25" s="214"/>
      <c r="P25" s="214"/>
      <c r="Q25" s="214"/>
      <c r="R25" s="214">
        <v>600</v>
      </c>
      <c r="S25" s="214"/>
      <c r="T25" s="214"/>
      <c r="U25" s="214">
        <v>3000</v>
      </c>
      <c r="V25" s="214"/>
      <c r="W25" s="214"/>
      <c r="X25" s="214"/>
      <c r="Y25" s="245">
        <f t="shared" si="3"/>
        <v>133200</v>
      </c>
      <c r="Z25" s="201"/>
    </row>
    <row r="26" spans="1:26" ht="13.5" customHeight="1" x14ac:dyDescent="0.25">
      <c r="A26" s="212" t="s">
        <v>143</v>
      </c>
      <c r="B26" s="213">
        <v>45057</v>
      </c>
      <c r="C26" s="214"/>
      <c r="D26" s="214">
        <v>13000</v>
      </c>
      <c r="E26" s="214">
        <f>66800+3900+17000</f>
        <v>87700</v>
      </c>
      <c r="F26" s="214"/>
      <c r="G26" s="214">
        <f>2000+39000+1000+1000</f>
        <v>43000</v>
      </c>
      <c r="H26" s="214"/>
      <c r="I26" s="214"/>
      <c r="J26" s="214">
        <v>2000</v>
      </c>
      <c r="K26" s="214">
        <v>1000</v>
      </c>
      <c r="L26" s="214"/>
      <c r="M26" s="214"/>
      <c r="N26" s="214"/>
      <c r="O26" s="214"/>
      <c r="P26" s="214"/>
      <c r="Q26" s="214"/>
      <c r="R26" s="214"/>
      <c r="S26" s="214"/>
      <c r="T26" s="214">
        <v>1600</v>
      </c>
      <c r="U26" s="214">
        <v>2000</v>
      </c>
      <c r="V26" s="214"/>
      <c r="W26" s="214">
        <f>500+5500</f>
        <v>6000</v>
      </c>
      <c r="X26" s="214">
        <v>140000</v>
      </c>
      <c r="Y26" s="245">
        <f t="shared" si="3"/>
        <v>296300</v>
      </c>
      <c r="Z26" s="201"/>
    </row>
    <row r="27" spans="1:26" ht="13.5" customHeight="1" x14ac:dyDescent="0.25">
      <c r="A27" s="212" t="s">
        <v>144</v>
      </c>
      <c r="B27" s="213">
        <v>45058</v>
      </c>
      <c r="C27" s="214"/>
      <c r="D27" s="214"/>
      <c r="E27" s="214">
        <f>6000+11550+27000+30000+2700</f>
        <v>77250</v>
      </c>
      <c r="F27" s="214"/>
      <c r="G27" s="214">
        <f>8100+3800+400</f>
        <v>12300</v>
      </c>
      <c r="H27" s="214"/>
      <c r="I27" s="214"/>
      <c r="J27" s="214">
        <v>7000</v>
      </c>
      <c r="K27" s="214">
        <v>1000</v>
      </c>
      <c r="L27" s="214"/>
      <c r="M27" s="214"/>
      <c r="N27" s="214"/>
      <c r="O27" s="214"/>
      <c r="P27" s="214"/>
      <c r="Q27" s="214"/>
      <c r="R27" s="214"/>
      <c r="S27" s="214"/>
      <c r="T27" s="214"/>
      <c r="U27" s="214">
        <v>2600</v>
      </c>
      <c r="V27" s="214"/>
      <c r="W27" s="214"/>
      <c r="X27" s="214"/>
      <c r="Y27" s="245">
        <f t="shared" si="3"/>
        <v>100150</v>
      </c>
      <c r="Z27" s="201"/>
    </row>
    <row r="28" spans="1:26" ht="13.5" customHeight="1" x14ac:dyDescent="0.25">
      <c r="A28" s="212" t="s">
        <v>138</v>
      </c>
      <c r="B28" s="213">
        <v>45059</v>
      </c>
      <c r="C28" s="214"/>
      <c r="D28" s="214"/>
      <c r="E28" s="214">
        <f>8250+20000+22500+21650+7000+6000</f>
        <v>85400</v>
      </c>
      <c r="F28" s="214"/>
      <c r="G28" s="214">
        <f>9500+4000+2000</f>
        <v>15500</v>
      </c>
      <c r="H28" s="214"/>
      <c r="I28" s="214"/>
      <c r="J28" s="214">
        <v>7000</v>
      </c>
      <c r="K28" s="214">
        <v>1000</v>
      </c>
      <c r="L28" s="214"/>
      <c r="M28" s="214"/>
      <c r="N28" s="214"/>
      <c r="O28" s="214"/>
      <c r="P28" s="214"/>
      <c r="Q28" s="214"/>
      <c r="R28" s="214"/>
      <c r="S28" s="214">
        <v>42000</v>
      </c>
      <c r="T28" s="214"/>
      <c r="U28" s="214">
        <f>2350+1500</f>
        <v>3850</v>
      </c>
      <c r="V28" s="214"/>
      <c r="W28" s="214"/>
      <c r="X28" s="214"/>
      <c r="Y28" s="245">
        <f t="shared" si="3"/>
        <v>154750</v>
      </c>
      <c r="Z28" s="201"/>
    </row>
    <row r="29" spans="1:26" ht="14.25" customHeight="1" x14ac:dyDescent="0.25">
      <c r="A29" s="218" t="s">
        <v>139</v>
      </c>
      <c r="B29" s="219">
        <v>45060</v>
      </c>
      <c r="C29" s="220"/>
      <c r="D29" s="220"/>
      <c r="E29" s="220">
        <f>8500+6500+2500+8900+37200+1650+5000+4000+2000</f>
        <v>76250</v>
      </c>
      <c r="F29" s="220"/>
      <c r="G29" s="220">
        <f>16000+3000</f>
        <v>19000</v>
      </c>
      <c r="H29" s="220"/>
      <c r="I29" s="220"/>
      <c r="J29" s="220"/>
      <c r="K29" s="220">
        <v>1000</v>
      </c>
      <c r="L29" s="220"/>
      <c r="M29" s="220"/>
      <c r="N29" s="220"/>
      <c r="O29" s="220"/>
      <c r="P29" s="220"/>
      <c r="Q29" s="220"/>
      <c r="R29" s="220"/>
      <c r="S29" s="220"/>
      <c r="T29" s="220"/>
      <c r="U29" s="220">
        <v>3000</v>
      </c>
      <c r="V29" s="220"/>
      <c r="W29" s="220">
        <f>42000+1250*10</f>
        <v>54500</v>
      </c>
      <c r="X29" s="220">
        <f>8100+4900</f>
        <v>13000</v>
      </c>
      <c r="Y29" s="246">
        <f t="shared" si="3"/>
        <v>166750</v>
      </c>
      <c r="Z29" s="201"/>
    </row>
    <row r="30" spans="1:26" ht="14.25" customHeight="1" x14ac:dyDescent="0.25">
      <c r="A30" s="208" t="s">
        <v>140</v>
      </c>
      <c r="B30" s="209">
        <v>45061</v>
      </c>
      <c r="C30" s="210">
        <v>50000</v>
      </c>
      <c r="D30" s="210">
        <v>46000</v>
      </c>
      <c r="E30" s="210">
        <f>22125+7000+12000+35100+1400+3600+2400+8500+11500</f>
        <v>103625</v>
      </c>
      <c r="F30" s="210"/>
      <c r="G30" s="210">
        <f>3000+172100+570450+210000</f>
        <v>955550</v>
      </c>
      <c r="H30" s="210"/>
      <c r="I30" s="210"/>
      <c r="J30" s="210"/>
      <c r="K30" s="210">
        <v>1000</v>
      </c>
      <c r="L30" s="210"/>
      <c r="M30" s="210"/>
      <c r="N30" s="210">
        <v>150000</v>
      </c>
      <c r="O30" s="210"/>
      <c r="P30" s="210"/>
      <c r="Q30" s="210"/>
      <c r="R30" s="210"/>
      <c r="S30" s="210"/>
      <c r="T30" s="210"/>
      <c r="U30" s="210">
        <v>3000</v>
      </c>
      <c r="V30" s="210"/>
      <c r="W30" s="210"/>
      <c r="X30" s="210">
        <v>50000</v>
      </c>
      <c r="Y30" s="244">
        <f t="shared" si="3"/>
        <v>1359175</v>
      </c>
      <c r="Z30" s="201"/>
    </row>
    <row r="31" spans="1:26" ht="13.5" customHeight="1" x14ac:dyDescent="0.25">
      <c r="A31" s="212" t="s">
        <v>141</v>
      </c>
      <c r="B31" s="213">
        <v>45062</v>
      </c>
      <c r="C31" s="214"/>
      <c r="D31" s="214">
        <v>24000</v>
      </c>
      <c r="E31" s="214">
        <f>17500+49550+21600</f>
        <v>88650</v>
      </c>
      <c r="F31" s="214"/>
      <c r="G31" s="214">
        <f>27000+79200+2000+15000+3000</f>
        <v>126200</v>
      </c>
      <c r="H31" s="214"/>
      <c r="I31" s="214"/>
      <c r="J31" s="214">
        <v>2000</v>
      </c>
      <c r="K31" s="214"/>
      <c r="L31" s="214"/>
      <c r="M31" s="214"/>
      <c r="N31" s="214"/>
      <c r="O31" s="214"/>
      <c r="P31" s="214">
        <v>5000</v>
      </c>
      <c r="Q31" s="214"/>
      <c r="R31" s="214"/>
      <c r="S31" s="214">
        <f>13000+4400</f>
        <v>17400</v>
      </c>
      <c r="T31" s="214"/>
      <c r="U31" s="249"/>
      <c r="V31" s="214"/>
      <c r="W31" s="214"/>
      <c r="X31" s="214">
        <v>50000</v>
      </c>
      <c r="Y31" s="245">
        <f t="shared" si="3"/>
        <v>313250</v>
      </c>
      <c r="Z31" s="201"/>
    </row>
    <row r="32" spans="1:26" ht="13.5" customHeight="1" x14ac:dyDescent="0.25">
      <c r="A32" s="212" t="s">
        <v>142</v>
      </c>
      <c r="B32" s="213">
        <v>45063</v>
      </c>
      <c r="C32" s="214"/>
      <c r="D32" s="214">
        <v>46000</v>
      </c>
      <c r="E32" s="214">
        <f>10500+113825+3000+500</f>
        <v>127825</v>
      </c>
      <c r="F32" s="214"/>
      <c r="G32" s="214">
        <f>39000+19400+1400+500+500+3800</f>
        <v>64600</v>
      </c>
      <c r="H32" s="214"/>
      <c r="I32" s="214"/>
      <c r="J32" s="214">
        <v>10500</v>
      </c>
      <c r="K32" s="214">
        <v>1000</v>
      </c>
      <c r="L32" s="214">
        <v>150000</v>
      </c>
      <c r="M32" s="214"/>
      <c r="N32" s="214"/>
      <c r="O32" s="214"/>
      <c r="P32" s="214"/>
      <c r="Q32" s="227"/>
      <c r="R32" s="227">
        <v>500</v>
      </c>
      <c r="S32" s="214">
        <f>2000+600</f>
        <v>2600</v>
      </c>
      <c r="T32" s="214"/>
      <c r="U32" s="214">
        <v>3500</v>
      </c>
      <c r="V32" s="214"/>
      <c r="W32" s="214"/>
      <c r="X32" s="214"/>
      <c r="Y32" s="245">
        <f t="shared" si="3"/>
        <v>406525</v>
      </c>
      <c r="Z32" s="201"/>
    </row>
    <row r="33" spans="1:26" ht="13.5" customHeight="1" x14ac:dyDescent="0.25">
      <c r="A33" s="212" t="s">
        <v>143</v>
      </c>
      <c r="B33" s="213">
        <v>45064</v>
      </c>
      <c r="C33" s="214"/>
      <c r="D33" s="214"/>
      <c r="E33" s="214">
        <f>10750+53200+12000+1000</f>
        <v>76950</v>
      </c>
      <c r="F33" s="214"/>
      <c r="G33" s="214">
        <f>13000+90000+4000</f>
        <v>107000</v>
      </c>
      <c r="H33" s="214"/>
      <c r="I33" s="214"/>
      <c r="J33" s="214"/>
      <c r="K33" s="214">
        <v>1000</v>
      </c>
      <c r="L33" s="214"/>
      <c r="M33" s="214"/>
      <c r="N33" s="214"/>
      <c r="O33" s="214"/>
      <c r="P33" s="214"/>
      <c r="Q33" s="214"/>
      <c r="R33" s="214"/>
      <c r="S33" s="214"/>
      <c r="T33" s="214"/>
      <c r="U33" s="214">
        <v>3000</v>
      </c>
      <c r="V33" s="214"/>
      <c r="W33" s="214"/>
      <c r="X33" s="214"/>
      <c r="Y33" s="245">
        <f t="shared" si="3"/>
        <v>187950</v>
      </c>
      <c r="Z33" s="201"/>
    </row>
    <row r="34" spans="1:26" ht="13.5" customHeight="1" x14ac:dyDescent="0.25">
      <c r="A34" s="212" t="s">
        <v>144</v>
      </c>
      <c r="B34" s="213">
        <v>45065</v>
      </c>
      <c r="C34" s="214"/>
      <c r="D34" s="214">
        <v>56000</v>
      </c>
      <c r="E34" s="214">
        <f>3600+49000+14100+17250+6250+1000</f>
        <v>91200</v>
      </c>
      <c r="F34" s="214"/>
      <c r="G34" s="214">
        <f>65750+1000+1500+7000</f>
        <v>75250</v>
      </c>
      <c r="H34" s="214"/>
      <c r="I34" s="214"/>
      <c r="J34" s="214"/>
      <c r="K34" s="214"/>
      <c r="L34" s="214"/>
      <c r="M34" s="214"/>
      <c r="N34" s="214"/>
      <c r="O34" s="214"/>
      <c r="P34" s="214">
        <v>55000</v>
      </c>
      <c r="Q34" s="214"/>
      <c r="R34" s="214"/>
      <c r="S34" s="214">
        <v>2000</v>
      </c>
      <c r="T34" s="214">
        <v>1600</v>
      </c>
      <c r="U34" s="214">
        <v>5000</v>
      </c>
      <c r="V34" s="214"/>
      <c r="W34" s="214">
        <v>4000</v>
      </c>
      <c r="X34" s="214">
        <f>10000+60000</f>
        <v>70000</v>
      </c>
      <c r="Y34" s="245">
        <f t="shared" si="3"/>
        <v>360050</v>
      </c>
      <c r="Z34" s="201"/>
    </row>
    <row r="35" spans="1:26" ht="13.5" customHeight="1" x14ac:dyDescent="0.25">
      <c r="A35" s="212" t="s">
        <v>138</v>
      </c>
      <c r="B35" s="213">
        <v>45066</v>
      </c>
      <c r="C35" s="214"/>
      <c r="D35" s="214"/>
      <c r="E35" s="214">
        <f>9050+14400+19000+8500+1000+1000</f>
        <v>52950</v>
      </c>
      <c r="F35" s="214"/>
      <c r="G35" s="214">
        <f>17000+1000</f>
        <v>18000</v>
      </c>
      <c r="H35" s="214"/>
      <c r="I35" s="214"/>
      <c r="J35" s="214">
        <v>4500</v>
      </c>
      <c r="K35" s="214">
        <v>1000</v>
      </c>
      <c r="L35" s="214"/>
      <c r="M35" s="214"/>
      <c r="N35" s="214"/>
      <c r="O35" s="214"/>
      <c r="P35" s="214"/>
      <c r="Q35" s="214"/>
      <c r="R35" s="214">
        <v>1200</v>
      </c>
      <c r="S35" s="214">
        <f>2850+8400+4000</f>
        <v>15250</v>
      </c>
      <c r="T35" s="214"/>
      <c r="U35" s="214">
        <v>4000</v>
      </c>
      <c r="V35" s="214"/>
      <c r="W35" s="214">
        <f>10000</f>
        <v>10000</v>
      </c>
      <c r="X35" s="214">
        <v>19000</v>
      </c>
      <c r="Y35" s="245">
        <f t="shared" si="3"/>
        <v>125900</v>
      </c>
      <c r="Z35" s="201"/>
    </row>
    <row r="36" spans="1:26" ht="14.25" customHeight="1" x14ac:dyDescent="0.25">
      <c r="A36" s="218" t="s">
        <v>139</v>
      </c>
      <c r="B36" s="219">
        <v>45067</v>
      </c>
      <c r="C36" s="220"/>
      <c r="D36" s="220"/>
      <c r="E36" s="220">
        <f>14000+14700+32100+11000+2000</f>
        <v>73800</v>
      </c>
      <c r="F36" s="220"/>
      <c r="G36" s="220">
        <f>19000+91100+27000</f>
        <v>137100</v>
      </c>
      <c r="H36" s="220"/>
      <c r="I36" s="220"/>
      <c r="J36" s="220"/>
      <c r="K36" s="220">
        <v>1000</v>
      </c>
      <c r="L36" s="220"/>
      <c r="M36" s="220"/>
      <c r="N36" s="220"/>
      <c r="O36" s="220"/>
      <c r="P36" s="220"/>
      <c r="Q36" s="220"/>
      <c r="R36" s="220"/>
      <c r="S36" s="220">
        <f>3200+6000+42000</f>
        <v>51200</v>
      </c>
      <c r="T36" s="220"/>
      <c r="U36" s="250">
        <f>2600</f>
        <v>2600</v>
      </c>
      <c r="V36" s="250">
        <f>(180*$A$15)+20000</f>
        <v>138072.26</v>
      </c>
      <c r="W36" s="220"/>
      <c r="X36" s="220"/>
      <c r="Y36" s="251">
        <f t="shared" si="3"/>
        <v>403772.26</v>
      </c>
      <c r="Z36" s="201"/>
    </row>
    <row r="37" spans="1:26" ht="14.25" customHeight="1" x14ac:dyDescent="0.25">
      <c r="A37" s="208" t="s">
        <v>140</v>
      </c>
      <c r="B37" s="209">
        <v>45068</v>
      </c>
      <c r="C37" s="210"/>
      <c r="D37" s="210"/>
      <c r="E37" s="210">
        <f>12800+3400+1300+22500+15900+13500+2700</f>
        <v>72100</v>
      </c>
      <c r="F37" s="210"/>
      <c r="G37" s="210">
        <v>730750</v>
      </c>
      <c r="H37" s="210"/>
      <c r="I37" s="210"/>
      <c r="J37" s="210"/>
      <c r="K37" s="210">
        <v>1000</v>
      </c>
      <c r="L37" s="210"/>
      <c r="M37" s="210"/>
      <c r="N37" s="210"/>
      <c r="O37" s="210"/>
      <c r="P37" s="210"/>
      <c r="Q37" s="210"/>
      <c r="R37" s="210"/>
      <c r="S37" s="210"/>
      <c r="T37" s="210"/>
      <c r="U37" s="210">
        <v>2000</v>
      </c>
      <c r="V37" s="210"/>
      <c r="W37" s="210"/>
      <c r="X37" s="210"/>
      <c r="Y37" s="244">
        <f t="shared" si="3"/>
        <v>805850</v>
      </c>
      <c r="Z37" s="201"/>
    </row>
    <row r="38" spans="1:26" ht="13.5" customHeight="1" x14ac:dyDescent="0.25">
      <c r="A38" s="212" t="s">
        <v>141</v>
      </c>
      <c r="B38" s="213">
        <v>45069</v>
      </c>
      <c r="C38" s="214"/>
      <c r="D38" s="214"/>
      <c r="E38" s="214">
        <f>8500+11700+5000</f>
        <v>25200</v>
      </c>
      <c r="F38" s="214"/>
      <c r="G38" s="214">
        <f>23000</f>
        <v>23000</v>
      </c>
      <c r="H38" s="214"/>
      <c r="I38" s="214"/>
      <c r="J38" s="214">
        <v>10500</v>
      </c>
      <c r="K38" s="214"/>
      <c r="L38" s="214"/>
      <c r="M38" s="214"/>
      <c r="N38" s="214"/>
      <c r="O38" s="214"/>
      <c r="P38" s="214"/>
      <c r="Q38" s="214"/>
      <c r="R38" s="214"/>
      <c r="S38" s="214">
        <v>4300</v>
      </c>
      <c r="T38" s="214"/>
      <c r="U38" s="249"/>
      <c r="V38" s="214"/>
      <c r="W38" s="214"/>
      <c r="X38" s="214"/>
      <c r="Y38" s="245">
        <f t="shared" si="3"/>
        <v>63000</v>
      </c>
      <c r="Z38" s="201"/>
    </row>
    <row r="39" spans="1:26" ht="13.5" customHeight="1" x14ac:dyDescent="0.25">
      <c r="A39" s="212" t="s">
        <v>142</v>
      </c>
      <c r="B39" s="213">
        <v>45070</v>
      </c>
      <c r="C39" s="214"/>
      <c r="D39" s="214">
        <f>46000+2500</f>
        <v>48500</v>
      </c>
      <c r="E39" s="214">
        <f>5000+5000+30000+28500+3750+3000+6600+12000+10000</f>
        <v>103850</v>
      </c>
      <c r="F39" s="214"/>
      <c r="G39" s="214">
        <f>50000+3800</f>
        <v>53800</v>
      </c>
      <c r="H39" s="214"/>
      <c r="I39" s="214"/>
      <c r="J39" s="214"/>
      <c r="K39" s="214">
        <v>1000</v>
      </c>
      <c r="L39" s="214">
        <v>5000</v>
      </c>
      <c r="M39" s="214"/>
      <c r="N39" s="214"/>
      <c r="O39" s="214"/>
      <c r="P39" s="214"/>
      <c r="Q39" s="214"/>
      <c r="R39" s="214"/>
      <c r="S39" s="214">
        <f>4200</f>
        <v>4200</v>
      </c>
      <c r="T39" s="214">
        <f>50000</f>
        <v>50000</v>
      </c>
      <c r="U39" s="214">
        <v>3500</v>
      </c>
      <c r="V39" s="214"/>
      <c r="W39" s="214"/>
      <c r="X39" s="214">
        <f>49000+5000</f>
        <v>54000</v>
      </c>
      <c r="Y39" s="245">
        <f t="shared" si="3"/>
        <v>323850</v>
      </c>
      <c r="Z39" s="201"/>
    </row>
    <row r="40" spans="1:26" ht="13.5" customHeight="1" x14ac:dyDescent="0.25">
      <c r="A40" s="212" t="s">
        <v>143</v>
      </c>
      <c r="B40" s="213">
        <v>45071</v>
      </c>
      <c r="C40" s="214"/>
      <c r="D40" s="214"/>
      <c r="E40" s="214">
        <f>7000+21000+13050+21950+1000</f>
        <v>64000</v>
      </c>
      <c r="F40" s="214"/>
      <c r="G40" s="214">
        <f>14000</f>
        <v>14000</v>
      </c>
      <c r="H40" s="214"/>
      <c r="I40" s="214"/>
      <c r="J40" s="214">
        <v>2000</v>
      </c>
      <c r="K40" s="214"/>
      <c r="L40" s="214"/>
      <c r="M40" s="214"/>
      <c r="N40" s="214"/>
      <c r="O40" s="214"/>
      <c r="P40" s="214"/>
      <c r="Q40" s="214"/>
      <c r="R40" s="214"/>
      <c r="S40" s="214"/>
      <c r="T40" s="214">
        <v>1600</v>
      </c>
      <c r="U40" s="214">
        <v>4000</v>
      </c>
      <c r="V40" s="214"/>
      <c r="W40" s="214">
        <v>42000</v>
      </c>
      <c r="X40" s="214"/>
      <c r="Y40" s="245">
        <f t="shared" si="3"/>
        <v>127600</v>
      </c>
      <c r="Z40" s="201"/>
    </row>
    <row r="41" spans="1:26" ht="13.5" customHeight="1" x14ac:dyDescent="0.25">
      <c r="A41" s="212" t="s">
        <v>144</v>
      </c>
      <c r="B41" s="213">
        <v>45072</v>
      </c>
      <c r="C41" s="214"/>
      <c r="D41" s="214"/>
      <c r="E41" s="214">
        <f>16500+20700+41750+4000+3500+1000</f>
        <v>87450</v>
      </c>
      <c r="F41" s="214"/>
      <c r="G41" s="214">
        <f>5200+4500</f>
        <v>9700</v>
      </c>
      <c r="H41" s="214"/>
      <c r="I41" s="214"/>
      <c r="J41" s="214"/>
      <c r="K41" s="214">
        <v>1000</v>
      </c>
      <c r="L41" s="214"/>
      <c r="M41" s="214"/>
      <c r="N41" s="214">
        <v>20000</v>
      </c>
      <c r="O41" s="214"/>
      <c r="P41" s="214"/>
      <c r="Q41" s="214"/>
      <c r="R41" s="214"/>
      <c r="S41" s="214"/>
      <c r="T41" s="214">
        <v>1500</v>
      </c>
      <c r="U41" s="214">
        <v>3000</v>
      </c>
      <c r="V41" s="214"/>
      <c r="W41" s="214"/>
      <c r="X41" s="214"/>
      <c r="Y41" s="245">
        <f t="shared" si="3"/>
        <v>122650</v>
      </c>
      <c r="Z41" s="201"/>
    </row>
    <row r="42" spans="1:26" ht="13.5" customHeight="1" x14ac:dyDescent="0.25">
      <c r="A42" s="212" t="s">
        <v>138</v>
      </c>
      <c r="B42" s="213">
        <v>45073</v>
      </c>
      <c r="C42" s="214"/>
      <c r="D42" s="214"/>
      <c r="E42" s="214">
        <f>(5400+33750+42000+500)</f>
        <v>81650</v>
      </c>
      <c r="F42" s="214"/>
      <c r="G42" s="227">
        <f>30500+4500+2200</f>
        <v>37200</v>
      </c>
      <c r="H42" s="214"/>
      <c r="I42" s="214"/>
      <c r="J42" s="214"/>
      <c r="K42" s="214"/>
      <c r="L42" s="214"/>
      <c r="M42" s="214"/>
      <c r="N42" s="214"/>
      <c r="O42" s="214"/>
      <c r="P42" s="214"/>
      <c r="Q42" s="214"/>
      <c r="R42" s="214">
        <v>1000</v>
      </c>
      <c r="S42" s="214">
        <f>2000+4200</f>
        <v>6200</v>
      </c>
      <c r="T42" s="214">
        <v>1200</v>
      </c>
      <c r="U42" s="214">
        <v>4000</v>
      </c>
      <c r="V42" s="214"/>
      <c r="W42" s="214"/>
      <c r="X42" s="214">
        <f>5500+40000</f>
        <v>45500</v>
      </c>
      <c r="Y42" s="245">
        <f t="shared" ref="Y42:Y43" si="4">SUM(E42:X42)</f>
        <v>176750</v>
      </c>
      <c r="Z42" s="201"/>
    </row>
    <row r="43" spans="1:26" ht="14.25" customHeight="1" x14ac:dyDescent="0.25">
      <c r="A43" s="218" t="s">
        <v>139</v>
      </c>
      <c r="B43" s="219">
        <v>45074</v>
      </c>
      <c r="C43" s="220"/>
      <c r="D43" s="220">
        <f>46000</f>
        <v>46000</v>
      </c>
      <c r="E43" s="252">
        <f>10000+14000+6750+53450+4500+32400+7500+3500+1000+1000</f>
        <v>134100</v>
      </c>
      <c r="F43" s="220">
        <v>20750</v>
      </c>
      <c r="G43" s="220">
        <f>15000+9000+136450</f>
        <v>160450</v>
      </c>
      <c r="H43" s="220"/>
      <c r="I43" s="220">
        <v>5000</v>
      </c>
      <c r="J43" s="220">
        <v>10500</v>
      </c>
      <c r="K43" s="220">
        <v>1000</v>
      </c>
      <c r="L43" s="220"/>
      <c r="M43" s="220"/>
      <c r="N43" s="220">
        <f>150000</f>
        <v>150000</v>
      </c>
      <c r="O43" s="220"/>
      <c r="P43" s="220"/>
      <c r="Q43" s="220"/>
      <c r="R43" s="220"/>
      <c r="S43" s="220"/>
      <c r="T43" s="220"/>
      <c r="U43" s="220">
        <v>2000</v>
      </c>
      <c r="V43" s="220"/>
      <c r="W43" s="220">
        <f>1300</f>
        <v>1300</v>
      </c>
      <c r="X43" s="220">
        <f>6000+172500</f>
        <v>178500</v>
      </c>
      <c r="Y43" s="246">
        <f t="shared" si="4"/>
        <v>663600</v>
      </c>
      <c r="Z43" s="201"/>
    </row>
    <row r="44" spans="1:26" ht="14.25" customHeight="1" x14ac:dyDescent="0.25">
      <c r="A44" s="208" t="s">
        <v>140</v>
      </c>
      <c r="B44" s="209">
        <v>45075</v>
      </c>
      <c r="C44" s="210"/>
      <c r="D44" s="210"/>
      <c r="E44" s="210">
        <f>16300+10950+1200+44800+22500+4500+1500</f>
        <v>101750</v>
      </c>
      <c r="F44" s="210"/>
      <c r="G44" s="210">
        <f>4050+4500</f>
        <v>8550</v>
      </c>
      <c r="H44" s="210"/>
      <c r="I44" s="210"/>
      <c r="J44" s="210"/>
      <c r="K44" s="210">
        <v>1000</v>
      </c>
      <c r="L44" s="210"/>
      <c r="M44" s="210"/>
      <c r="N44" s="210"/>
      <c r="O44" s="210"/>
      <c r="P44" s="210"/>
      <c r="Q44" s="210"/>
      <c r="R44" s="210"/>
      <c r="S44" s="210">
        <f>12000+5000</f>
        <v>17000</v>
      </c>
      <c r="T44" s="210"/>
      <c r="U44" s="210">
        <v>2500</v>
      </c>
      <c r="V44" s="210"/>
      <c r="W44" s="210"/>
      <c r="X44" s="210">
        <v>5000</v>
      </c>
      <c r="Y44" s="244">
        <f t="shared" ref="Y44:Y46" si="5">SUM(C44:X44)</f>
        <v>135800</v>
      </c>
      <c r="Z44" s="201"/>
    </row>
    <row r="45" spans="1:26" ht="13.5" customHeight="1" x14ac:dyDescent="0.25">
      <c r="A45" s="212" t="s">
        <v>141</v>
      </c>
      <c r="B45" s="213">
        <v>45076</v>
      </c>
      <c r="C45" s="214"/>
      <c r="D45" s="214"/>
      <c r="E45" s="214">
        <f>11500+45200+1500</f>
        <v>58200</v>
      </c>
      <c r="F45" s="214"/>
      <c r="G45" s="214">
        <f>3500+30500</f>
        <v>34000</v>
      </c>
      <c r="H45" s="214"/>
      <c r="I45" s="214"/>
      <c r="J45" s="214"/>
      <c r="K45" s="214"/>
      <c r="L45" s="214"/>
      <c r="M45" s="214"/>
      <c r="N45" s="214"/>
      <c r="O45" s="214"/>
      <c r="P45" s="214"/>
      <c r="Q45" s="214"/>
      <c r="R45" s="214"/>
      <c r="S45" s="214">
        <v>5500</v>
      </c>
      <c r="T45" s="214">
        <v>1600</v>
      </c>
      <c r="U45" s="214">
        <v>750</v>
      </c>
      <c r="V45" s="214"/>
      <c r="W45" s="214">
        <f>11000+400</f>
        <v>11400</v>
      </c>
      <c r="X45" s="214"/>
      <c r="Y45" s="245">
        <f t="shared" si="5"/>
        <v>111450</v>
      </c>
      <c r="Z45" s="201"/>
    </row>
    <row r="46" spans="1:26" ht="14.25" customHeight="1" x14ac:dyDescent="0.25">
      <c r="A46" s="253" t="s">
        <v>142</v>
      </c>
      <c r="B46" s="229">
        <v>45077</v>
      </c>
      <c r="C46" s="220"/>
      <c r="D46" s="220"/>
      <c r="E46" s="220">
        <f>6500+2550+25450+6800+12000+4000+4000</f>
        <v>61300</v>
      </c>
      <c r="F46" s="220">
        <v>21700</v>
      </c>
      <c r="G46" s="220">
        <f>54000</f>
        <v>54000</v>
      </c>
      <c r="H46" s="220"/>
      <c r="I46" s="220"/>
      <c r="J46" s="220"/>
      <c r="K46" s="220">
        <v>1000</v>
      </c>
      <c r="L46" s="220">
        <v>100000</v>
      </c>
      <c r="M46" s="220">
        <f>85150+40000</f>
        <v>125150</v>
      </c>
      <c r="N46" s="220"/>
      <c r="O46" s="220"/>
      <c r="P46" s="220"/>
      <c r="Q46" s="220">
        <v>200000</v>
      </c>
      <c r="R46" s="220">
        <v>96000</v>
      </c>
      <c r="S46" s="220">
        <v>1500</v>
      </c>
      <c r="T46" s="220"/>
      <c r="U46" s="220"/>
      <c r="V46" s="220"/>
      <c r="W46" s="220">
        <f>300000+985000+265000+170000+70000</f>
        <v>1790000</v>
      </c>
      <c r="X46" s="220">
        <f>80000</f>
        <v>80000</v>
      </c>
      <c r="Y46" s="246">
        <f t="shared" si="5"/>
        <v>2530650</v>
      </c>
      <c r="Z46" s="201"/>
    </row>
    <row r="47" spans="1:26" ht="14.25" customHeight="1" x14ac:dyDescent="0.25">
      <c r="A47" s="254" t="s">
        <v>145</v>
      </c>
      <c r="B47" s="231"/>
      <c r="C47" s="232">
        <f t="shared" ref="C47:Y47" si="6">SUM(C16:C46)</f>
        <v>50000</v>
      </c>
      <c r="D47" s="232">
        <f t="shared" si="6"/>
        <v>322000</v>
      </c>
      <c r="E47" s="232">
        <f t="shared" si="6"/>
        <v>2325600</v>
      </c>
      <c r="F47" s="232">
        <f t="shared" si="6"/>
        <v>42450</v>
      </c>
      <c r="G47" s="232">
        <f t="shared" si="6"/>
        <v>3399500</v>
      </c>
      <c r="H47" s="232">
        <f t="shared" si="6"/>
        <v>0</v>
      </c>
      <c r="I47" s="232">
        <f t="shared" si="6"/>
        <v>20000</v>
      </c>
      <c r="J47" s="232">
        <f t="shared" si="6"/>
        <v>69500</v>
      </c>
      <c r="K47" s="232">
        <f t="shared" si="6"/>
        <v>23000</v>
      </c>
      <c r="L47" s="232">
        <f t="shared" si="6"/>
        <v>335000</v>
      </c>
      <c r="M47" s="232">
        <f t="shared" si="6"/>
        <v>125150</v>
      </c>
      <c r="N47" s="232">
        <f t="shared" si="6"/>
        <v>470000</v>
      </c>
      <c r="O47" s="232">
        <f t="shared" si="6"/>
        <v>0</v>
      </c>
      <c r="P47" s="232">
        <f t="shared" si="6"/>
        <v>60000</v>
      </c>
      <c r="Q47" s="232">
        <f t="shared" si="6"/>
        <v>200000</v>
      </c>
      <c r="R47" s="232">
        <f t="shared" si="6"/>
        <v>102550</v>
      </c>
      <c r="S47" s="232">
        <f t="shared" si="6"/>
        <v>181250</v>
      </c>
      <c r="T47" s="232">
        <f t="shared" si="6"/>
        <v>98700</v>
      </c>
      <c r="U47" s="232">
        <f t="shared" si="6"/>
        <v>86250</v>
      </c>
      <c r="V47" s="232">
        <f t="shared" si="6"/>
        <v>138072.26</v>
      </c>
      <c r="W47" s="232">
        <f t="shared" si="6"/>
        <v>2206027.3962300001</v>
      </c>
      <c r="X47" s="232">
        <f t="shared" si="6"/>
        <v>881000</v>
      </c>
      <c r="Y47" s="233">
        <f t="shared" si="6"/>
        <v>11090049.656229999</v>
      </c>
      <c r="Z47" s="201"/>
    </row>
    <row r="48" spans="1:26" ht="13.5" customHeight="1" x14ac:dyDescent="0.25">
      <c r="A48" s="255" t="s">
        <v>40</v>
      </c>
      <c r="B48" s="235"/>
      <c r="C48" s="236">
        <f t="shared" ref="C48:X48" si="7">C47/$Y$47</f>
        <v>4.5085460886022059E-3</v>
      </c>
      <c r="D48" s="236">
        <f t="shared" si="7"/>
        <v>2.9035036810598207E-2</v>
      </c>
      <c r="E48" s="236">
        <f t="shared" si="7"/>
        <v>0.20970149567306581</v>
      </c>
      <c r="F48" s="236">
        <f t="shared" si="7"/>
        <v>3.8277556292232728E-3</v>
      </c>
      <c r="G48" s="236">
        <f t="shared" si="7"/>
        <v>0.30653604856406397</v>
      </c>
      <c r="H48" s="236">
        <f t="shared" si="7"/>
        <v>0</v>
      </c>
      <c r="I48" s="236">
        <f t="shared" si="7"/>
        <v>1.8034184354408823E-3</v>
      </c>
      <c r="J48" s="236">
        <f t="shared" si="7"/>
        <v>6.2668790631570659E-3</v>
      </c>
      <c r="K48" s="236">
        <f t="shared" si="7"/>
        <v>2.0739312007570145E-3</v>
      </c>
      <c r="L48" s="236">
        <f t="shared" si="7"/>
        <v>3.020725879363478E-2</v>
      </c>
      <c r="M48" s="236">
        <f t="shared" si="7"/>
        <v>1.1284890859771321E-2</v>
      </c>
      <c r="N48" s="236">
        <f t="shared" si="7"/>
        <v>4.2380333232860737E-2</v>
      </c>
      <c r="O48" s="236">
        <f t="shared" si="7"/>
        <v>0</v>
      </c>
      <c r="P48" s="236">
        <f t="shared" si="7"/>
        <v>5.410255306322647E-3</v>
      </c>
      <c r="Q48" s="236">
        <f t="shared" si="7"/>
        <v>1.8034184354408823E-2</v>
      </c>
      <c r="R48" s="236">
        <f t="shared" si="7"/>
        <v>9.247028027723125E-3</v>
      </c>
      <c r="S48" s="236">
        <f t="shared" si="7"/>
        <v>1.6343479571182998E-2</v>
      </c>
      <c r="T48" s="236">
        <f t="shared" si="7"/>
        <v>8.8998699789007551E-3</v>
      </c>
      <c r="U48" s="236">
        <f t="shared" si="7"/>
        <v>7.7772420028388049E-3</v>
      </c>
      <c r="V48" s="236">
        <f t="shared" si="7"/>
        <v>1.2450102955349337E-2</v>
      </c>
      <c r="W48" s="236">
        <f t="shared" si="7"/>
        <v>0.19891952377244151</v>
      </c>
      <c r="X48" s="236">
        <f t="shared" si="7"/>
        <v>7.9440582081170871E-2</v>
      </c>
      <c r="Y48" s="256"/>
      <c r="Z48" s="201"/>
    </row>
    <row r="49" spans="1:26" ht="14.25" customHeight="1" x14ac:dyDescent="0.25">
      <c r="A49" s="257" t="s">
        <v>147</v>
      </c>
      <c r="B49" s="258"/>
      <c r="C49" s="259">
        <f t="shared" ref="C49:Y49" si="8">IF(C13&gt;0,C47/C13-1,"")</f>
        <v>-0.8</v>
      </c>
      <c r="D49" s="259">
        <f t="shared" si="8"/>
        <v>0.9374247894103489</v>
      </c>
      <c r="E49" s="259">
        <f t="shared" si="8"/>
        <v>3.4230586355769415</v>
      </c>
      <c r="F49" s="260" t="str">
        <f t="shared" si="8"/>
        <v/>
      </c>
      <c r="G49" s="259">
        <f t="shared" si="8"/>
        <v>0.54444802849471396</v>
      </c>
      <c r="H49" s="259">
        <f t="shared" si="8"/>
        <v>-1</v>
      </c>
      <c r="I49" s="259">
        <f t="shared" si="8"/>
        <v>-0.45945945945945943</v>
      </c>
      <c r="J49" s="259">
        <f t="shared" si="8"/>
        <v>1.1550387596899223</v>
      </c>
      <c r="K49" s="260" t="str">
        <f t="shared" si="8"/>
        <v/>
      </c>
      <c r="L49" s="259">
        <f t="shared" si="8"/>
        <v>15.75</v>
      </c>
      <c r="M49" s="259">
        <f t="shared" si="8"/>
        <v>2.1287500000000001</v>
      </c>
      <c r="N49" s="260" t="str">
        <f t="shared" si="8"/>
        <v/>
      </c>
      <c r="O49" s="260" t="str">
        <f t="shared" si="8"/>
        <v/>
      </c>
      <c r="P49" s="260" t="str">
        <f t="shared" si="8"/>
        <v/>
      </c>
      <c r="Q49" s="260" t="str">
        <f t="shared" si="8"/>
        <v/>
      </c>
      <c r="R49" s="259">
        <f t="shared" si="8"/>
        <v>-2.4262607040913431E-2</v>
      </c>
      <c r="S49" s="259">
        <f t="shared" si="8"/>
        <v>3.3569711538461542</v>
      </c>
      <c r="T49" s="259">
        <f t="shared" si="8"/>
        <v>19.5625</v>
      </c>
      <c r="U49" s="259">
        <f t="shared" si="8"/>
        <v>1.124384236453202</v>
      </c>
      <c r="V49" s="259">
        <f t="shared" si="8"/>
        <v>2.0682724444444447</v>
      </c>
      <c r="W49" s="259">
        <f t="shared" si="8"/>
        <v>55.564805031538462</v>
      </c>
      <c r="X49" s="259">
        <f t="shared" si="8"/>
        <v>10.746666666666666</v>
      </c>
      <c r="Y49" s="261">
        <f t="shared" si="8"/>
        <v>2.3158570379363437</v>
      </c>
      <c r="Z49" s="201"/>
    </row>
    <row r="50" spans="1:26" ht="15.75" customHeight="1" x14ac:dyDescent="0.25">
      <c r="A50" s="262"/>
      <c r="B50" s="263"/>
      <c r="C50" s="263"/>
      <c r="D50" s="263"/>
      <c r="E50" s="264" t="s">
        <v>148</v>
      </c>
      <c r="F50" s="263"/>
      <c r="G50" s="263"/>
      <c r="H50" s="263"/>
      <c r="I50" s="263"/>
      <c r="J50" s="263"/>
      <c r="K50" s="263"/>
      <c r="L50" s="263"/>
      <c r="M50" s="263"/>
      <c r="N50" s="263"/>
      <c r="O50" s="263"/>
      <c r="P50" s="263"/>
      <c r="Q50" s="263"/>
      <c r="R50" s="263"/>
      <c r="S50" s="263"/>
      <c r="T50" s="263"/>
      <c r="U50" s="265"/>
      <c r="V50" s="263"/>
      <c r="W50" s="263"/>
      <c r="X50" s="263"/>
      <c r="Y50" s="266"/>
      <c r="Z50" s="201"/>
    </row>
    <row r="51" spans="1:26" ht="13.5" customHeight="1" x14ac:dyDescent="0.25">
      <c r="A51" s="212" t="s">
        <v>143</v>
      </c>
      <c r="B51" s="213">
        <v>45078</v>
      </c>
      <c r="C51" s="214"/>
      <c r="D51" s="214">
        <f>46000</f>
        <v>46000</v>
      </c>
      <c r="E51" s="214">
        <f>43000+12800+7700+39000+15000</f>
        <v>117500</v>
      </c>
      <c r="F51" s="214"/>
      <c r="G51" s="214">
        <f>8500+90500</f>
        <v>99000</v>
      </c>
      <c r="H51" s="214"/>
      <c r="I51" s="214"/>
      <c r="J51" s="214">
        <f>10500</f>
        <v>10500</v>
      </c>
      <c r="K51" s="214">
        <v>1000</v>
      </c>
      <c r="L51" s="214"/>
      <c r="M51" s="214"/>
      <c r="N51" s="214"/>
      <c r="O51" s="214"/>
      <c r="P51" s="214"/>
      <c r="Q51" s="214"/>
      <c r="R51" s="214"/>
      <c r="S51" s="214">
        <f>9000+1000</f>
        <v>10000</v>
      </c>
      <c r="T51" s="214"/>
      <c r="U51" s="214">
        <f>5000</f>
        <v>5000</v>
      </c>
      <c r="V51" s="214"/>
      <c r="W51" s="214"/>
      <c r="X51" s="214"/>
      <c r="Y51" s="245">
        <f t="shared" ref="Y51:Y80" si="9">SUM(C51:X51)</f>
        <v>289000</v>
      </c>
      <c r="Z51" s="201"/>
    </row>
    <row r="52" spans="1:26" ht="13.5" customHeight="1" x14ac:dyDescent="0.25">
      <c r="A52" s="212" t="s">
        <v>144</v>
      </c>
      <c r="B52" s="213">
        <v>45079</v>
      </c>
      <c r="C52" s="214"/>
      <c r="D52" s="214"/>
      <c r="E52" s="214">
        <f>14500+5800+3500+3500</f>
        <v>27300</v>
      </c>
      <c r="F52" s="214"/>
      <c r="G52" s="214">
        <f>4000+2500+2000</f>
        <v>8500</v>
      </c>
      <c r="H52" s="214"/>
      <c r="I52" s="214"/>
      <c r="J52" s="214"/>
      <c r="K52" s="214">
        <v>1000</v>
      </c>
      <c r="L52" s="214"/>
      <c r="M52" s="214"/>
      <c r="N52" s="214"/>
      <c r="O52" s="214"/>
      <c r="P52" s="214"/>
      <c r="Q52" s="214"/>
      <c r="R52" s="214"/>
      <c r="S52" s="214">
        <f>4000</f>
        <v>4000</v>
      </c>
      <c r="T52" s="214"/>
      <c r="U52" s="214">
        <f>2500</f>
        <v>2500</v>
      </c>
      <c r="V52" s="214"/>
      <c r="W52" s="214"/>
      <c r="X52" s="214"/>
      <c r="Y52" s="245">
        <f t="shared" si="9"/>
        <v>43300</v>
      </c>
      <c r="Z52" s="201"/>
    </row>
    <row r="53" spans="1:26" ht="13.5" customHeight="1" x14ac:dyDescent="0.25">
      <c r="A53" s="212" t="s">
        <v>138</v>
      </c>
      <c r="B53" s="213">
        <v>45080</v>
      </c>
      <c r="C53" s="214"/>
      <c r="D53" s="214">
        <v>46000</v>
      </c>
      <c r="E53" s="214">
        <f>30000+26650+28300+16000+23100+5500+1000+1000</f>
        <v>131550</v>
      </c>
      <c r="F53" s="214"/>
      <c r="G53" s="214">
        <f>16500+58500+4000</f>
        <v>79000</v>
      </c>
      <c r="H53" s="214"/>
      <c r="I53" s="214"/>
      <c r="J53" s="214"/>
      <c r="K53" s="214">
        <v>1000</v>
      </c>
      <c r="L53" s="214"/>
      <c r="M53" s="214"/>
      <c r="N53" s="214"/>
      <c r="O53" s="214"/>
      <c r="P53" s="214"/>
      <c r="Q53" s="214"/>
      <c r="R53" s="214"/>
      <c r="S53" s="214">
        <f>12000+1500</f>
        <v>13500</v>
      </c>
      <c r="T53" s="214">
        <f>1500</f>
        <v>1500</v>
      </c>
      <c r="U53" s="214">
        <v>2000</v>
      </c>
      <c r="V53" s="214"/>
      <c r="W53" s="214"/>
      <c r="X53" s="214"/>
      <c r="Y53" s="245">
        <f t="shared" si="9"/>
        <v>274550</v>
      </c>
      <c r="Z53" s="201"/>
    </row>
    <row r="54" spans="1:26" ht="14.25" customHeight="1" x14ac:dyDescent="0.25">
      <c r="A54" s="218" t="s">
        <v>139</v>
      </c>
      <c r="B54" s="219">
        <v>45081</v>
      </c>
      <c r="C54" s="220"/>
      <c r="D54" s="220"/>
      <c r="E54" s="220">
        <f>23000+5100+25250+2000</f>
        <v>55350</v>
      </c>
      <c r="F54" s="220"/>
      <c r="G54" s="220">
        <f>34000+2000+2500</f>
        <v>38500</v>
      </c>
      <c r="H54" s="220">
        <f>241800</f>
        <v>241800</v>
      </c>
      <c r="I54" s="220"/>
      <c r="J54" s="220">
        <f>7000</f>
        <v>7000</v>
      </c>
      <c r="K54" s="220">
        <v>1000</v>
      </c>
      <c r="L54" s="220"/>
      <c r="M54" s="220"/>
      <c r="N54" s="220"/>
      <c r="O54" s="220"/>
      <c r="P54" s="220"/>
      <c r="Q54" s="220"/>
      <c r="R54" s="220"/>
      <c r="S54" s="220"/>
      <c r="T54" s="220"/>
      <c r="U54" s="220"/>
      <c r="V54" s="220"/>
      <c r="W54" s="220">
        <f>1000</f>
        <v>1000</v>
      </c>
      <c r="X54" s="220"/>
      <c r="Y54" s="246">
        <f t="shared" si="9"/>
        <v>344650</v>
      </c>
      <c r="Z54" s="201"/>
    </row>
    <row r="55" spans="1:26" ht="14.25" customHeight="1" x14ac:dyDescent="0.25">
      <c r="A55" s="208" t="s">
        <v>140</v>
      </c>
      <c r="B55" s="209">
        <v>45082</v>
      </c>
      <c r="C55" s="210"/>
      <c r="D55" s="210"/>
      <c r="E55" s="210">
        <f>21400+50325+2800+11000+22500+7200+3000+500</f>
        <v>118725</v>
      </c>
      <c r="F55" s="210"/>
      <c r="G55" s="210">
        <f>1000</f>
        <v>1000</v>
      </c>
      <c r="H55" s="210"/>
      <c r="I55" s="210"/>
      <c r="J55" s="210"/>
      <c r="K55" s="210">
        <v>1000</v>
      </c>
      <c r="L55" s="210"/>
      <c r="M55" s="210"/>
      <c r="N55" s="210"/>
      <c r="O55" s="210"/>
      <c r="P55" s="210"/>
      <c r="Q55" s="210"/>
      <c r="R55" s="210"/>
      <c r="S55" s="210">
        <f>9000</f>
        <v>9000</v>
      </c>
      <c r="T55" s="210"/>
      <c r="U55" s="210">
        <v>3000</v>
      </c>
      <c r="V55" s="210"/>
      <c r="W55" s="210"/>
      <c r="X55" s="210"/>
      <c r="Y55" s="244">
        <f t="shared" si="9"/>
        <v>132725</v>
      </c>
      <c r="Z55" s="201">
        <f>Y55-132725</f>
        <v>0</v>
      </c>
    </row>
    <row r="56" spans="1:26" ht="13.5" customHeight="1" x14ac:dyDescent="0.25">
      <c r="A56" s="212" t="s">
        <v>149</v>
      </c>
      <c r="B56" s="213">
        <v>45083</v>
      </c>
      <c r="C56" s="214"/>
      <c r="D56" s="214">
        <f>46000</f>
        <v>46000</v>
      </c>
      <c r="E56" s="214">
        <f>13500+14000+5500+1500</f>
        <v>34500</v>
      </c>
      <c r="F56" s="214"/>
      <c r="G56" s="214">
        <f>76200+10000+3000</f>
        <v>89200</v>
      </c>
      <c r="H56" s="214"/>
      <c r="I56" s="214"/>
      <c r="J56" s="214"/>
      <c r="K56" s="214"/>
      <c r="L56" s="214"/>
      <c r="M56" s="214"/>
      <c r="N56" s="214"/>
      <c r="O56" s="214">
        <v>9000</v>
      </c>
      <c r="P56" s="214"/>
      <c r="Q56" s="214"/>
      <c r="R56" s="227">
        <v>28000</v>
      </c>
      <c r="S56" s="214">
        <f>2500+950</f>
        <v>3450</v>
      </c>
      <c r="T56" s="214"/>
      <c r="U56" s="214">
        <f>400+800+1000</f>
        <v>2200</v>
      </c>
      <c r="V56" s="214"/>
      <c r="W56" s="214"/>
      <c r="X56" s="214"/>
      <c r="Y56" s="245">
        <f t="shared" si="9"/>
        <v>212350</v>
      </c>
      <c r="Z56" s="201"/>
    </row>
    <row r="57" spans="1:26" ht="13.5" customHeight="1" x14ac:dyDescent="0.25">
      <c r="A57" s="212" t="s">
        <v>142</v>
      </c>
      <c r="B57" s="213">
        <v>45084</v>
      </c>
      <c r="C57" s="214"/>
      <c r="D57" s="214"/>
      <c r="E57" s="214">
        <f>9600+10350+12200+3500</f>
        <v>35650</v>
      </c>
      <c r="F57" s="214"/>
      <c r="G57" s="214">
        <f>6500</f>
        <v>6500</v>
      </c>
      <c r="H57" s="214"/>
      <c r="I57" s="214"/>
      <c r="J57" s="214">
        <f>7000+2000</f>
        <v>9000</v>
      </c>
      <c r="K57" s="214">
        <v>1000</v>
      </c>
      <c r="L57" s="214">
        <v>50000</v>
      </c>
      <c r="M57" s="214"/>
      <c r="N57" s="214">
        <v>150000</v>
      </c>
      <c r="O57" s="214"/>
      <c r="P57" s="214"/>
      <c r="Q57" s="214"/>
      <c r="R57" s="214">
        <v>4700</v>
      </c>
      <c r="S57" s="214">
        <f>2000</f>
        <v>2000</v>
      </c>
      <c r="T57" s="214"/>
      <c r="U57" s="214">
        <v>2000</v>
      </c>
      <c r="V57" s="214"/>
      <c r="W57" s="214"/>
      <c r="X57" s="214"/>
      <c r="Y57" s="245">
        <f t="shared" si="9"/>
        <v>260850</v>
      </c>
      <c r="Z57" s="201"/>
    </row>
    <row r="58" spans="1:26" ht="13.5" customHeight="1" x14ac:dyDescent="0.25">
      <c r="A58" s="212" t="s">
        <v>143</v>
      </c>
      <c r="B58" s="213">
        <v>45085</v>
      </c>
      <c r="C58" s="214"/>
      <c r="D58" s="214"/>
      <c r="E58" s="214">
        <f>12850+2800+10000</f>
        <v>25650</v>
      </c>
      <c r="F58" s="214"/>
      <c r="G58" s="214">
        <f>2500+2000+1000</f>
        <v>5500</v>
      </c>
      <c r="H58" s="214"/>
      <c r="I58" s="214"/>
      <c r="J58" s="214"/>
      <c r="K58" s="214">
        <v>1000</v>
      </c>
      <c r="L58" s="214">
        <v>30000</v>
      </c>
      <c r="M58" s="214"/>
      <c r="N58" s="214"/>
      <c r="O58" s="214"/>
      <c r="P58" s="214">
        <f>35000</f>
        <v>35000</v>
      </c>
      <c r="Q58" s="214"/>
      <c r="R58" s="214"/>
      <c r="S58" s="214">
        <f>12000</f>
        <v>12000</v>
      </c>
      <c r="T58" s="214">
        <f>1600</f>
        <v>1600</v>
      </c>
      <c r="U58" s="214">
        <f>2500</f>
        <v>2500</v>
      </c>
      <c r="V58" s="214"/>
      <c r="W58" s="214"/>
      <c r="X58" s="214">
        <f>10000</f>
        <v>10000</v>
      </c>
      <c r="Y58" s="245">
        <f t="shared" si="9"/>
        <v>123250</v>
      </c>
      <c r="Z58" s="201"/>
    </row>
    <row r="59" spans="1:26" ht="13.5" customHeight="1" x14ac:dyDescent="0.25">
      <c r="A59" s="212" t="s">
        <v>144</v>
      </c>
      <c r="B59" s="213">
        <v>45086</v>
      </c>
      <c r="C59" s="214"/>
      <c r="D59" s="214">
        <f>1600</f>
        <v>1600</v>
      </c>
      <c r="E59" s="214">
        <f>10500+72375+2600+1500+6500+1500+3500</f>
        <v>98475</v>
      </c>
      <c r="F59" s="214"/>
      <c r="G59" s="214">
        <f>40000+1000+4000</f>
        <v>45000</v>
      </c>
      <c r="H59" s="214"/>
      <c r="I59" s="214"/>
      <c r="J59" s="214"/>
      <c r="K59" s="214">
        <v>1000</v>
      </c>
      <c r="L59" s="214"/>
      <c r="M59" s="214"/>
      <c r="N59" s="214"/>
      <c r="O59" s="214"/>
      <c r="P59" s="214"/>
      <c r="Q59" s="214"/>
      <c r="R59" s="214"/>
      <c r="S59" s="214">
        <f>9000</f>
        <v>9000</v>
      </c>
      <c r="T59" s="214"/>
      <c r="U59" s="214">
        <v>2000</v>
      </c>
      <c r="V59" s="214"/>
      <c r="W59" s="247"/>
      <c r="X59" s="214">
        <v>2000</v>
      </c>
      <c r="Y59" s="248">
        <f t="shared" si="9"/>
        <v>159075</v>
      </c>
      <c r="Z59" s="201"/>
    </row>
    <row r="60" spans="1:26" ht="13.5" customHeight="1" x14ac:dyDescent="0.25">
      <c r="A60" s="212" t="s">
        <v>138</v>
      </c>
      <c r="B60" s="213">
        <v>45087</v>
      </c>
      <c r="C60" s="214"/>
      <c r="D60" s="214">
        <v>31000</v>
      </c>
      <c r="E60" s="214">
        <f>10800+10750+10500+5500+1800</f>
        <v>39350</v>
      </c>
      <c r="F60" s="214"/>
      <c r="G60" s="214">
        <f>2200+2500+29400+16500+3000+16000</f>
        <v>69600</v>
      </c>
      <c r="H60" s="214"/>
      <c r="I60" s="214"/>
      <c r="J60" s="214">
        <v>3500</v>
      </c>
      <c r="K60" s="214">
        <v>1000</v>
      </c>
      <c r="L60" s="214"/>
      <c r="M60" s="214"/>
      <c r="N60" s="214"/>
      <c r="O60" s="214"/>
      <c r="P60" s="214">
        <v>5000</v>
      </c>
      <c r="Q60" s="214"/>
      <c r="R60" s="214"/>
      <c r="S60" s="214"/>
      <c r="T60" s="214"/>
      <c r="U60" s="214">
        <f>2000+1100+500</f>
        <v>3600</v>
      </c>
      <c r="V60" s="214">
        <v>10000</v>
      </c>
      <c r="W60" s="214"/>
      <c r="X60" s="214">
        <v>5000</v>
      </c>
      <c r="Y60" s="245">
        <f t="shared" si="9"/>
        <v>168050</v>
      </c>
      <c r="Z60" s="201"/>
    </row>
    <row r="61" spans="1:26" ht="14.25" customHeight="1" x14ac:dyDescent="0.25">
      <c r="A61" s="218" t="s">
        <v>139</v>
      </c>
      <c r="B61" s="219">
        <v>45088</v>
      </c>
      <c r="C61" s="220"/>
      <c r="D61" s="220"/>
      <c r="E61" s="220">
        <f>4000+7650+46200+16000+1000+24500</f>
        <v>99350</v>
      </c>
      <c r="F61" s="220">
        <v>20000</v>
      </c>
      <c r="G61" s="220">
        <f>89000+1000</f>
        <v>90000</v>
      </c>
      <c r="H61" s="220">
        <f>831500</f>
        <v>831500</v>
      </c>
      <c r="I61" s="220"/>
      <c r="J61" s="220"/>
      <c r="K61" s="220">
        <v>1000</v>
      </c>
      <c r="L61" s="220"/>
      <c r="M61" s="220"/>
      <c r="N61" s="220"/>
      <c r="O61" s="220"/>
      <c r="P61" s="220"/>
      <c r="Q61" s="220"/>
      <c r="R61" s="220"/>
      <c r="S61" s="220"/>
      <c r="T61" s="220"/>
      <c r="U61" s="220">
        <f>2000+1000</f>
        <v>3000</v>
      </c>
      <c r="V61" s="220">
        <v>10000</v>
      </c>
      <c r="W61" s="220">
        <f>1000+160000</f>
        <v>161000</v>
      </c>
      <c r="X61" s="220">
        <f>120000+90000</f>
        <v>210000</v>
      </c>
      <c r="Y61" s="246">
        <f t="shared" si="9"/>
        <v>1425850</v>
      </c>
      <c r="Z61" s="201"/>
    </row>
    <row r="62" spans="1:26" ht="14.25" customHeight="1" x14ac:dyDescent="0.25">
      <c r="A62" s="208" t="s">
        <v>140</v>
      </c>
      <c r="B62" s="209">
        <v>45089</v>
      </c>
      <c r="C62" s="210"/>
      <c r="D62" s="210"/>
      <c r="E62" s="210">
        <f>13500+14000+1000+3400+7650+54975+17500+13200+10500+6000+500</f>
        <v>142225</v>
      </c>
      <c r="F62" s="210"/>
      <c r="G62" s="210">
        <f>1800+7500</f>
        <v>9300</v>
      </c>
      <c r="H62" s="210"/>
      <c r="I62" s="210"/>
      <c r="J62" s="210"/>
      <c r="K62" s="210">
        <v>1000</v>
      </c>
      <c r="L62" s="210"/>
      <c r="M62" s="210"/>
      <c r="N62" s="210"/>
      <c r="O62" s="210"/>
      <c r="P62" s="210"/>
      <c r="Q62" s="210"/>
      <c r="R62" s="210"/>
      <c r="S62" s="210">
        <f>9000</f>
        <v>9000</v>
      </c>
      <c r="T62" s="210">
        <f>1600+1600</f>
        <v>3200</v>
      </c>
      <c r="U62" s="210">
        <f>1200+2000+1300</f>
        <v>4500</v>
      </c>
      <c r="V62" s="210"/>
      <c r="W62" s="210">
        <v>1000</v>
      </c>
      <c r="X62" s="210">
        <v>21000</v>
      </c>
      <c r="Y62" s="244">
        <f t="shared" si="9"/>
        <v>191225</v>
      </c>
      <c r="Z62" s="201"/>
    </row>
    <row r="63" spans="1:26" ht="13.5" customHeight="1" x14ac:dyDescent="0.25">
      <c r="A63" s="212" t="s">
        <v>149</v>
      </c>
      <c r="B63" s="213">
        <v>45090</v>
      </c>
      <c r="C63" s="214"/>
      <c r="D63" s="214"/>
      <c r="E63" s="214">
        <f>16500+2000+1000+4000+2000</f>
        <v>25500</v>
      </c>
      <c r="F63" s="214"/>
      <c r="G63" s="214">
        <f>29400</f>
        <v>29400</v>
      </c>
      <c r="H63" s="214"/>
      <c r="I63" s="214"/>
      <c r="J63" s="214">
        <v>10500</v>
      </c>
      <c r="K63" s="214">
        <v>1000</v>
      </c>
      <c r="L63" s="214"/>
      <c r="M63" s="214"/>
      <c r="N63" s="214"/>
      <c r="O63" s="214"/>
      <c r="P63" s="214"/>
      <c r="Q63" s="214"/>
      <c r="R63" s="214">
        <f>8000+1000</f>
        <v>9000</v>
      </c>
      <c r="S63" s="214">
        <f>24000</f>
        <v>24000</v>
      </c>
      <c r="T63" s="214"/>
      <c r="U63" s="214">
        <f>500+1100+1000</f>
        <v>2600</v>
      </c>
      <c r="V63" s="214">
        <v>25000</v>
      </c>
      <c r="W63" s="214"/>
      <c r="X63" s="214"/>
      <c r="Y63" s="245">
        <f t="shared" si="9"/>
        <v>127000</v>
      </c>
      <c r="Z63" s="201"/>
    </row>
    <row r="64" spans="1:26" ht="13.5" customHeight="1" x14ac:dyDescent="0.25">
      <c r="A64" s="212" t="s">
        <v>142</v>
      </c>
      <c r="B64" s="213">
        <v>45091</v>
      </c>
      <c r="C64" s="214"/>
      <c r="D64" s="214">
        <f>31000</f>
        <v>31000</v>
      </c>
      <c r="E64" s="214">
        <f>42800+93275+60750+8000+12500+3000+1000</f>
        <v>221325</v>
      </c>
      <c r="F64" s="214"/>
      <c r="G64" s="214">
        <f>18000</f>
        <v>18000</v>
      </c>
      <c r="H64" s="214"/>
      <c r="I64" s="214"/>
      <c r="J64" s="214"/>
      <c r="K64" s="214"/>
      <c r="L64" s="214">
        <v>80000</v>
      </c>
      <c r="M64" s="214"/>
      <c r="N64" s="214"/>
      <c r="O64" s="214"/>
      <c r="P64" s="214"/>
      <c r="Q64" s="214"/>
      <c r="R64" s="214"/>
      <c r="S64" s="214">
        <f>2000+2000</f>
        <v>4000</v>
      </c>
      <c r="T64" s="214">
        <f>1600</f>
        <v>1600</v>
      </c>
      <c r="U64" s="214">
        <f>2000+2000+1000</f>
        <v>5000</v>
      </c>
      <c r="V64" s="214"/>
      <c r="W64" s="214">
        <v>50000</v>
      </c>
      <c r="X64" s="214"/>
      <c r="Y64" s="245">
        <f t="shared" si="9"/>
        <v>410925</v>
      </c>
      <c r="Z64" s="201"/>
    </row>
    <row r="65" spans="1:26" ht="13.5" customHeight="1" x14ac:dyDescent="0.25">
      <c r="A65" s="212" t="s">
        <v>143</v>
      </c>
      <c r="B65" s="213">
        <v>45092</v>
      </c>
      <c r="C65" s="214"/>
      <c r="D65" s="214"/>
      <c r="E65" s="214">
        <f>37825+15000+12900+19000+1000+1000+500+6000+7300+2500+4000</f>
        <v>107025</v>
      </c>
      <c r="F65" s="214"/>
      <c r="G65" s="214">
        <f>16000+39000+27000+16500+2500+2200</f>
        <v>103200</v>
      </c>
      <c r="H65" s="214"/>
      <c r="I65" s="214"/>
      <c r="J65" s="214">
        <f>10500</f>
        <v>10500</v>
      </c>
      <c r="K65" s="214">
        <v>1000</v>
      </c>
      <c r="L65" s="214">
        <v>30000</v>
      </c>
      <c r="M65" s="214"/>
      <c r="N65" s="214"/>
      <c r="O65" s="214"/>
      <c r="P65" s="214"/>
      <c r="Q65" s="214"/>
      <c r="R65" s="214"/>
      <c r="S65" s="214">
        <v>700</v>
      </c>
      <c r="T65" s="214"/>
      <c r="U65" s="214">
        <f>3500</f>
        <v>3500</v>
      </c>
      <c r="V65" s="214"/>
      <c r="W65" s="214"/>
      <c r="X65" s="214">
        <v>20000</v>
      </c>
      <c r="Y65" s="245">
        <f t="shared" si="9"/>
        <v>275925</v>
      </c>
      <c r="Z65" s="201"/>
    </row>
    <row r="66" spans="1:26" ht="13.5" customHeight="1" x14ac:dyDescent="0.25">
      <c r="A66" s="212" t="s">
        <v>144</v>
      </c>
      <c r="B66" s="213">
        <v>45093</v>
      </c>
      <c r="C66" s="214"/>
      <c r="D66" s="214">
        <f>31000</f>
        <v>31000</v>
      </c>
      <c r="E66" s="214">
        <f>31500+24500+15600+20000+19000+2400+2000+2000+1000</f>
        <v>118000</v>
      </c>
      <c r="F66" s="214"/>
      <c r="G66" s="214">
        <f>14000+4000</f>
        <v>18000</v>
      </c>
      <c r="H66" s="214"/>
      <c r="I66" s="214"/>
      <c r="J66" s="214"/>
      <c r="K66" s="214">
        <v>1000</v>
      </c>
      <c r="L66" s="214"/>
      <c r="M66" s="214"/>
      <c r="N66" s="214"/>
      <c r="O66" s="214"/>
      <c r="P66" s="214"/>
      <c r="Q66" s="214"/>
      <c r="R66" s="214"/>
      <c r="S66" s="214">
        <f>2000+4500+2000</f>
        <v>8500</v>
      </c>
      <c r="T66" s="214"/>
      <c r="U66" s="214">
        <f>2000+600+1000</f>
        <v>3600</v>
      </c>
      <c r="V66" s="214"/>
      <c r="W66" s="214"/>
      <c r="X66" s="214"/>
      <c r="Y66" s="245">
        <f t="shared" si="9"/>
        <v>180100</v>
      </c>
      <c r="Z66" s="201"/>
    </row>
    <row r="67" spans="1:26" ht="13.5" customHeight="1" x14ac:dyDescent="0.25">
      <c r="A67" s="212" t="s">
        <v>138</v>
      </c>
      <c r="B67" s="213">
        <v>45094</v>
      </c>
      <c r="C67" s="214"/>
      <c r="D67" s="214"/>
      <c r="E67" s="214">
        <f>17500+2400+4200+24700+26200+32900+20000+2000+1000</f>
        <v>130900</v>
      </c>
      <c r="F67" s="214"/>
      <c r="G67" s="214">
        <f>16000+8500+79000+29400+2000+54000</f>
        <v>188900</v>
      </c>
      <c r="H67" s="214">
        <f>54000</f>
        <v>54000</v>
      </c>
      <c r="I67" s="214"/>
      <c r="J67" s="214">
        <v>7000</v>
      </c>
      <c r="K67" s="214">
        <v>1000</v>
      </c>
      <c r="L67" s="214"/>
      <c r="M67" s="214"/>
      <c r="N67" s="214">
        <f>200000</f>
        <v>200000</v>
      </c>
      <c r="O67" s="214"/>
      <c r="P67" s="214"/>
      <c r="Q67" s="227"/>
      <c r="R67" s="227"/>
      <c r="S67" s="214">
        <f>12000+4500</f>
        <v>16500</v>
      </c>
      <c r="T67" s="214"/>
      <c r="U67" s="214">
        <f>2000+1000+1100</f>
        <v>4100</v>
      </c>
      <c r="V67" s="214"/>
      <c r="W67" s="214"/>
      <c r="X67" s="214">
        <v>26000</v>
      </c>
      <c r="Y67" s="245">
        <f t="shared" si="9"/>
        <v>628400</v>
      </c>
      <c r="Z67" s="201"/>
    </row>
    <row r="68" spans="1:26" ht="14.25" customHeight="1" x14ac:dyDescent="0.25">
      <c r="A68" s="218" t="s">
        <v>139</v>
      </c>
      <c r="B68" s="219">
        <v>45095</v>
      </c>
      <c r="C68" s="220"/>
      <c r="D68" s="220"/>
      <c r="E68" s="220">
        <f>49400+4000+2000+13000+5300+2000+6000</f>
        <v>81700</v>
      </c>
      <c r="F68" s="220"/>
      <c r="G68" s="220">
        <f>39000+19400+2000+1000+74000</f>
        <v>135400</v>
      </c>
      <c r="H68" s="220">
        <f>848350</f>
        <v>848350</v>
      </c>
      <c r="I68" s="220"/>
      <c r="J68" s="220"/>
      <c r="K68" s="220">
        <v>1000</v>
      </c>
      <c r="L68" s="220"/>
      <c r="M68" s="220"/>
      <c r="N68" s="220"/>
      <c r="O68" s="220"/>
      <c r="P68" s="220"/>
      <c r="Q68" s="220"/>
      <c r="R68" s="220"/>
      <c r="S68" s="220">
        <v>30000</v>
      </c>
      <c r="T68" s="220">
        <f>1600</f>
        <v>1600</v>
      </c>
      <c r="U68" s="220">
        <f>2000+1000+1000+1000</f>
        <v>5000</v>
      </c>
      <c r="V68" s="220"/>
      <c r="W68" s="220">
        <f>350000+70000+10000+247500</f>
        <v>677500</v>
      </c>
      <c r="X68" s="220">
        <f>150000+27500</f>
        <v>177500</v>
      </c>
      <c r="Y68" s="246">
        <f t="shared" si="9"/>
        <v>1958050</v>
      </c>
      <c r="Z68" s="201"/>
    </row>
    <row r="69" spans="1:26" ht="14.25" customHeight="1" x14ac:dyDescent="0.25">
      <c r="A69" s="208" t="s">
        <v>140</v>
      </c>
      <c r="B69" s="209">
        <v>45096</v>
      </c>
      <c r="C69" s="210"/>
      <c r="D69" s="210">
        <v>31000</v>
      </c>
      <c r="E69" s="210">
        <f>9800+16800+3400+38625+23000+1000+1000</f>
        <v>93625</v>
      </c>
      <c r="F69" s="210"/>
      <c r="G69" s="210">
        <f>16500+54000</f>
        <v>70500</v>
      </c>
      <c r="H69" s="210"/>
      <c r="I69" s="210"/>
      <c r="J69" s="210"/>
      <c r="K69" s="210"/>
      <c r="L69" s="210"/>
      <c r="M69" s="210"/>
      <c r="N69" s="210"/>
      <c r="O69" s="210">
        <v>3000</v>
      </c>
      <c r="P69" s="210"/>
      <c r="Q69" s="210"/>
      <c r="R69" s="210"/>
      <c r="S69" s="210"/>
      <c r="T69" s="210"/>
      <c r="U69" s="210">
        <v>3000</v>
      </c>
      <c r="V69" s="210"/>
      <c r="W69" s="210"/>
      <c r="X69" s="210"/>
      <c r="Y69" s="244">
        <f t="shared" si="9"/>
        <v>201125</v>
      </c>
      <c r="Z69" s="201"/>
    </row>
    <row r="70" spans="1:26" ht="13.5" customHeight="1" x14ac:dyDescent="0.25">
      <c r="A70" s="212" t="s">
        <v>141</v>
      </c>
      <c r="B70" s="213">
        <v>45097</v>
      </c>
      <c r="C70" s="214"/>
      <c r="D70" s="214"/>
      <c r="E70" s="214">
        <f>3900+3500+13800</f>
        <v>21200</v>
      </c>
      <c r="F70" s="214"/>
      <c r="G70" s="214">
        <v>4700</v>
      </c>
      <c r="H70" s="214"/>
      <c r="I70" s="214"/>
      <c r="J70" s="214">
        <v>10500</v>
      </c>
      <c r="K70" s="214"/>
      <c r="L70" s="214"/>
      <c r="M70" s="214"/>
      <c r="N70" s="214"/>
      <c r="O70" s="214"/>
      <c r="P70" s="214">
        <f>55000</f>
        <v>55000</v>
      </c>
      <c r="Q70" s="214"/>
      <c r="R70" s="214">
        <v>400</v>
      </c>
      <c r="S70" s="214"/>
      <c r="T70" s="214">
        <f>1600+1600</f>
        <v>3200</v>
      </c>
      <c r="U70" s="214">
        <v>2300</v>
      </c>
      <c r="V70" s="214"/>
      <c r="W70" s="214"/>
      <c r="X70" s="214"/>
      <c r="Y70" s="245">
        <f t="shared" si="9"/>
        <v>97300</v>
      </c>
      <c r="Z70" s="201"/>
    </row>
    <row r="71" spans="1:26" ht="13.5" customHeight="1" x14ac:dyDescent="0.25">
      <c r="A71" s="212" t="s">
        <v>142</v>
      </c>
      <c r="B71" s="213">
        <v>45098</v>
      </c>
      <c r="C71" s="214"/>
      <c r="D71" s="214"/>
      <c r="E71" s="214">
        <f>14300+12000+1000+7200+6200+22500+3000</f>
        <v>66200</v>
      </c>
      <c r="F71" s="214"/>
      <c r="G71" s="214">
        <f>22000+500+1000+5550+29400</f>
        <v>58450</v>
      </c>
      <c r="H71" s="214"/>
      <c r="I71" s="214"/>
      <c r="J71" s="214"/>
      <c r="K71" s="214">
        <v>1000</v>
      </c>
      <c r="L71" s="214">
        <v>50000</v>
      </c>
      <c r="M71" s="214"/>
      <c r="N71" s="214"/>
      <c r="O71" s="214"/>
      <c r="P71" s="214"/>
      <c r="Q71" s="214"/>
      <c r="R71" s="214"/>
      <c r="S71" s="214">
        <f>4500</f>
        <v>4500</v>
      </c>
      <c r="T71" s="214"/>
      <c r="U71" s="214">
        <f>1500+2000+1000+1100</f>
        <v>5600</v>
      </c>
      <c r="V71" s="214"/>
      <c r="W71" s="214"/>
      <c r="X71" s="214"/>
      <c r="Y71" s="245">
        <f t="shared" si="9"/>
        <v>185750</v>
      </c>
      <c r="Z71" s="201"/>
    </row>
    <row r="72" spans="1:26" ht="13.5" customHeight="1" x14ac:dyDescent="0.25">
      <c r="A72" s="212" t="s">
        <v>143</v>
      </c>
      <c r="B72" s="213">
        <v>45099</v>
      </c>
      <c r="C72" s="214"/>
      <c r="D72" s="214">
        <v>31000</v>
      </c>
      <c r="E72" s="214">
        <f>8100+46350+4400+14700+34700+22000</f>
        <v>130250</v>
      </c>
      <c r="F72" s="214"/>
      <c r="G72" s="214">
        <f>39000+1000+500+500+200</f>
        <v>41200</v>
      </c>
      <c r="H72" s="214"/>
      <c r="I72" s="214"/>
      <c r="J72" s="214">
        <v>10500</v>
      </c>
      <c r="K72" s="214">
        <v>500</v>
      </c>
      <c r="L72" s="214">
        <v>30000</v>
      </c>
      <c r="M72" s="214"/>
      <c r="N72" s="214"/>
      <c r="O72" s="214"/>
      <c r="P72" s="214"/>
      <c r="Q72" s="214"/>
      <c r="R72" s="214"/>
      <c r="S72" s="214">
        <f>250+2000</f>
        <v>2250</v>
      </c>
      <c r="T72" s="214"/>
      <c r="U72" s="214">
        <v>2000</v>
      </c>
      <c r="V72" s="227"/>
      <c r="W72" s="214"/>
      <c r="X72" s="214"/>
      <c r="Y72" s="245">
        <f t="shared" si="9"/>
        <v>247700</v>
      </c>
      <c r="Z72" s="201"/>
    </row>
    <row r="73" spans="1:26" ht="13.5" customHeight="1" x14ac:dyDescent="0.25">
      <c r="A73" s="212" t="s">
        <v>144</v>
      </c>
      <c r="B73" s="213">
        <v>45100</v>
      </c>
      <c r="C73" s="214"/>
      <c r="D73" s="214"/>
      <c r="E73" s="214">
        <f>21500+26950+5000+9500+500+1000+2000</f>
        <v>66450</v>
      </c>
      <c r="F73" s="214"/>
      <c r="G73" s="214">
        <f>300+2500+2200+1000+500+200</f>
        <v>6700</v>
      </c>
      <c r="H73" s="214"/>
      <c r="I73" s="214"/>
      <c r="J73" s="214"/>
      <c r="K73" s="214">
        <v>1000</v>
      </c>
      <c r="L73" s="214"/>
      <c r="M73" s="214"/>
      <c r="N73" s="214"/>
      <c r="O73" s="214"/>
      <c r="P73" s="214"/>
      <c r="Q73" s="214"/>
      <c r="R73" s="214">
        <f>1200+5000</f>
        <v>6200</v>
      </c>
      <c r="S73" s="214">
        <f>4500+1500</f>
        <v>6000</v>
      </c>
      <c r="T73" s="214">
        <v>1600</v>
      </c>
      <c r="U73" s="214"/>
      <c r="V73" s="214"/>
      <c r="W73" s="214"/>
      <c r="X73" s="214">
        <f>170000</f>
        <v>170000</v>
      </c>
      <c r="Y73" s="245">
        <f t="shared" si="9"/>
        <v>257950</v>
      </c>
      <c r="Z73" s="201"/>
    </row>
    <row r="74" spans="1:26" ht="13.5" customHeight="1" x14ac:dyDescent="0.25">
      <c r="A74" s="212" t="s">
        <v>138</v>
      </c>
      <c r="B74" s="213">
        <v>45101</v>
      </c>
      <c r="C74" s="214"/>
      <c r="D74" s="214"/>
      <c r="E74" s="214">
        <f>33300+10500+16600+22500+7500+1000+600</f>
        <v>92000</v>
      </c>
      <c r="F74" s="214"/>
      <c r="G74" s="214">
        <f>21000+14500+14000+1000+500+200+500+1000+800</f>
        <v>53500</v>
      </c>
      <c r="H74" s="214"/>
      <c r="I74" s="214"/>
      <c r="J74" s="214">
        <v>10500</v>
      </c>
      <c r="K74" s="214">
        <v>1000</v>
      </c>
      <c r="L74" s="214"/>
      <c r="M74" s="214"/>
      <c r="N74" s="214"/>
      <c r="O74" s="214"/>
      <c r="P74" s="214"/>
      <c r="Q74" s="214"/>
      <c r="R74" s="214"/>
      <c r="S74" s="214">
        <f>1000+4500</f>
        <v>5500</v>
      </c>
      <c r="T74" s="214"/>
      <c r="U74" s="214">
        <v>2000</v>
      </c>
      <c r="V74" s="214"/>
      <c r="W74" s="214"/>
      <c r="X74" s="214"/>
      <c r="Y74" s="245">
        <f t="shared" si="9"/>
        <v>164500</v>
      </c>
      <c r="Z74" s="201"/>
    </row>
    <row r="75" spans="1:26" ht="14.25" customHeight="1" x14ac:dyDescent="0.25">
      <c r="A75" s="218" t="s">
        <v>139</v>
      </c>
      <c r="B75" s="219">
        <v>45102</v>
      </c>
      <c r="C75" s="220"/>
      <c r="D75" s="220">
        <f>31000</f>
        <v>31000</v>
      </c>
      <c r="E75" s="220">
        <f>17000+15000+600+24500+2500+2500+33650+14000+9150+5700</f>
        <v>124600</v>
      </c>
      <c r="F75" s="220"/>
      <c r="G75" s="220">
        <f>21000+39000+29400+4000+17000</f>
        <v>110400</v>
      </c>
      <c r="H75" s="221">
        <f>1300500</f>
        <v>1300500</v>
      </c>
      <c r="I75" s="220"/>
      <c r="J75" s="220"/>
      <c r="K75" s="220">
        <v>1000</v>
      </c>
      <c r="L75" s="220"/>
      <c r="M75" s="220"/>
      <c r="N75" s="220"/>
      <c r="O75" s="220"/>
      <c r="P75" s="220"/>
      <c r="Q75" s="220"/>
      <c r="R75" s="220"/>
      <c r="S75" s="220"/>
      <c r="T75" s="220"/>
      <c r="U75" s="220">
        <v>2000</v>
      </c>
      <c r="V75" s="220"/>
      <c r="W75" s="220"/>
      <c r="X75" s="220"/>
      <c r="Y75" s="246">
        <f t="shared" si="9"/>
        <v>1569500</v>
      </c>
      <c r="Z75" s="201"/>
    </row>
    <row r="76" spans="1:26" ht="14.25" customHeight="1" x14ac:dyDescent="0.25">
      <c r="A76" s="208" t="s">
        <v>140</v>
      </c>
      <c r="B76" s="209">
        <v>45103</v>
      </c>
      <c r="C76" s="210"/>
      <c r="D76" s="210">
        <v>15000</v>
      </c>
      <c r="E76" s="210">
        <f>19500+1600+12000+26525+2000+1500</f>
        <v>63125</v>
      </c>
      <c r="F76" s="210"/>
      <c r="G76" s="210">
        <f>90000</f>
        <v>90000</v>
      </c>
      <c r="H76" s="210"/>
      <c r="I76" s="210"/>
      <c r="J76" s="210"/>
      <c r="K76" s="210"/>
      <c r="L76" s="210"/>
      <c r="M76" s="210"/>
      <c r="N76" s="210"/>
      <c r="O76" s="210"/>
      <c r="P76" s="210"/>
      <c r="Q76" s="210"/>
      <c r="R76" s="210"/>
      <c r="S76" s="210">
        <f>2000+9000+2000</f>
        <v>13000</v>
      </c>
      <c r="T76" s="210">
        <f>1600+1600</f>
        <v>3200</v>
      </c>
      <c r="U76" s="210">
        <f>10000+2000</f>
        <v>12000</v>
      </c>
      <c r="V76" s="210"/>
      <c r="W76" s="210"/>
      <c r="X76" s="210">
        <v>65000</v>
      </c>
      <c r="Y76" s="244">
        <f t="shared" si="9"/>
        <v>261325</v>
      </c>
      <c r="Z76" s="201"/>
    </row>
    <row r="77" spans="1:26" ht="13.5" customHeight="1" x14ac:dyDescent="0.25">
      <c r="A77" s="212" t="s">
        <v>141</v>
      </c>
      <c r="B77" s="213">
        <v>45104</v>
      </c>
      <c r="C77" s="214"/>
      <c r="D77" s="214"/>
      <c r="E77" s="214">
        <f>14000+17725+1700</f>
        <v>33425</v>
      </c>
      <c r="F77" s="214"/>
      <c r="G77" s="227">
        <v>158000</v>
      </c>
      <c r="H77" s="214"/>
      <c r="I77" s="214"/>
      <c r="J77" s="214"/>
      <c r="K77" s="214"/>
      <c r="L77" s="214"/>
      <c r="M77" s="214"/>
      <c r="N77" s="214"/>
      <c r="O77" s="214"/>
      <c r="P77" s="214"/>
      <c r="Q77" s="214"/>
      <c r="R77" s="214"/>
      <c r="S77" s="214"/>
      <c r="T77" s="214"/>
      <c r="U77" s="214"/>
      <c r="V77" s="214"/>
      <c r="W77" s="214"/>
      <c r="X77" s="214"/>
      <c r="Y77" s="245">
        <f t="shared" si="9"/>
        <v>191425</v>
      </c>
      <c r="Z77" s="201"/>
    </row>
    <row r="78" spans="1:26" ht="13.5" customHeight="1" x14ac:dyDescent="0.25">
      <c r="A78" s="212" t="s">
        <v>142</v>
      </c>
      <c r="B78" s="213">
        <v>45105</v>
      </c>
      <c r="C78" s="214"/>
      <c r="D78" s="214">
        <v>31000</v>
      </c>
      <c r="E78" s="214">
        <f>25200+51650+8500</f>
        <v>85350</v>
      </c>
      <c r="F78" s="214"/>
      <c r="G78" s="214">
        <f>4000+29400+1000+1000+1000+500+500+2500+2200</f>
        <v>42100</v>
      </c>
      <c r="H78" s="214"/>
      <c r="I78" s="214"/>
      <c r="J78" s="214">
        <v>10500</v>
      </c>
      <c r="K78" s="214">
        <v>1000</v>
      </c>
      <c r="L78" s="214">
        <f>100000+5000</f>
        <v>105000</v>
      </c>
      <c r="M78" s="214"/>
      <c r="N78" s="214"/>
      <c r="O78" s="214"/>
      <c r="P78" s="214"/>
      <c r="Q78" s="214"/>
      <c r="R78" s="214"/>
      <c r="S78" s="214"/>
      <c r="T78" s="214"/>
      <c r="U78" s="214">
        <f>2000+2000+1500</f>
        <v>5500</v>
      </c>
      <c r="V78" s="214">
        <v>50000</v>
      </c>
      <c r="W78" s="214"/>
      <c r="X78" s="214"/>
      <c r="Y78" s="245">
        <f t="shared" si="9"/>
        <v>330450</v>
      </c>
      <c r="Z78" s="201">
        <f>Y78-273950</f>
        <v>56500</v>
      </c>
    </row>
    <row r="79" spans="1:26" ht="13.5" customHeight="1" x14ac:dyDescent="0.25">
      <c r="A79" s="212" t="s">
        <v>143</v>
      </c>
      <c r="B79" s="213">
        <v>45106</v>
      </c>
      <c r="C79" s="214"/>
      <c r="D79" s="214"/>
      <c r="E79" s="214">
        <f>12500+4150+43500+3450</f>
        <v>63600</v>
      </c>
      <c r="F79" s="214"/>
      <c r="G79" s="214">
        <f>7600+9700+8500+500+500+1000+1000+500+1000+1000+3800</f>
        <v>35100</v>
      </c>
      <c r="H79" s="214"/>
      <c r="I79" s="214"/>
      <c r="J79" s="214">
        <v>2000</v>
      </c>
      <c r="K79" s="214">
        <v>1000</v>
      </c>
      <c r="L79" s="214">
        <v>30000</v>
      </c>
      <c r="M79" s="214"/>
      <c r="N79" s="214"/>
      <c r="O79" s="214"/>
      <c r="P79" s="214"/>
      <c r="Q79" s="214"/>
      <c r="R79" s="214"/>
      <c r="S79" s="214">
        <v>1000</v>
      </c>
      <c r="T79" s="214">
        <f>1600</f>
        <v>1600</v>
      </c>
      <c r="U79" s="214"/>
      <c r="V79" s="214"/>
      <c r="W79" s="214">
        <v>90000</v>
      </c>
      <c r="X79" s="214">
        <f>57000+23000</f>
        <v>80000</v>
      </c>
      <c r="Y79" s="245">
        <f t="shared" si="9"/>
        <v>304300</v>
      </c>
      <c r="Z79" s="201">
        <f>Y79-214300</f>
        <v>90000</v>
      </c>
    </row>
    <row r="80" spans="1:26" ht="14.25" customHeight="1" x14ac:dyDescent="0.25">
      <c r="A80" s="228" t="s">
        <v>144</v>
      </c>
      <c r="B80" s="229">
        <v>45107</v>
      </c>
      <c r="C80" s="220"/>
      <c r="D80" s="220">
        <v>46000</v>
      </c>
      <c r="E80" s="220">
        <f>17000+5950+41050+2000+1000+2000</f>
        <v>69000</v>
      </c>
      <c r="F80" s="220"/>
      <c r="G80" s="220">
        <f>14500+39000+17000+18000+1000+1000+1000+500+500+1000+25000+150000</f>
        <v>268500</v>
      </c>
      <c r="H80" s="220">
        <v>54000</v>
      </c>
      <c r="I80" s="220"/>
      <c r="J80" s="220">
        <v>8750</v>
      </c>
      <c r="K80" s="220">
        <v>1000</v>
      </c>
      <c r="L80" s="220">
        <v>75000</v>
      </c>
      <c r="M80" s="220"/>
      <c r="N80" s="220">
        <v>200000</v>
      </c>
      <c r="O80" s="220"/>
      <c r="P80" s="220"/>
      <c r="Q80" s="220">
        <v>200000</v>
      </c>
      <c r="R80" s="220"/>
      <c r="S80" s="220">
        <f>9000+2000+2000</f>
        <v>13000</v>
      </c>
      <c r="T80" s="220"/>
      <c r="U80" s="220"/>
      <c r="V80" s="220">
        <v>25000</v>
      </c>
      <c r="W80" s="220">
        <v>200000</v>
      </c>
      <c r="X80" s="220">
        <v>5000</v>
      </c>
      <c r="Y80" s="246">
        <f t="shared" si="9"/>
        <v>1165250</v>
      </c>
      <c r="Z80" s="201"/>
    </row>
    <row r="81" spans="1:26" ht="14.25" customHeight="1" x14ac:dyDescent="0.25">
      <c r="A81" s="254" t="s">
        <v>145</v>
      </c>
      <c r="B81" s="231"/>
      <c r="C81" s="232">
        <f t="shared" ref="C81:Y81" si="10">SUM(C51:C80)</f>
        <v>0</v>
      </c>
      <c r="D81" s="232">
        <f t="shared" si="10"/>
        <v>417600</v>
      </c>
      <c r="E81" s="232">
        <f t="shared" si="10"/>
        <v>2518900</v>
      </c>
      <c r="F81" s="232">
        <f t="shared" si="10"/>
        <v>20000</v>
      </c>
      <c r="G81" s="232">
        <f t="shared" si="10"/>
        <v>1973150</v>
      </c>
      <c r="H81" s="232">
        <f t="shared" si="10"/>
        <v>3330150</v>
      </c>
      <c r="I81" s="232">
        <f t="shared" si="10"/>
        <v>0</v>
      </c>
      <c r="J81" s="232">
        <f t="shared" si="10"/>
        <v>110750</v>
      </c>
      <c r="K81" s="232">
        <f t="shared" si="10"/>
        <v>23500</v>
      </c>
      <c r="L81" s="232">
        <f t="shared" si="10"/>
        <v>480000</v>
      </c>
      <c r="M81" s="232">
        <f t="shared" si="10"/>
        <v>0</v>
      </c>
      <c r="N81" s="232">
        <f t="shared" si="10"/>
        <v>550000</v>
      </c>
      <c r="O81" s="232">
        <f t="shared" si="10"/>
        <v>12000</v>
      </c>
      <c r="P81" s="232">
        <f t="shared" si="10"/>
        <v>95000</v>
      </c>
      <c r="Q81" s="232">
        <f t="shared" si="10"/>
        <v>200000</v>
      </c>
      <c r="R81" s="232">
        <f t="shared" si="10"/>
        <v>48300</v>
      </c>
      <c r="S81" s="232">
        <f t="shared" si="10"/>
        <v>200900</v>
      </c>
      <c r="T81" s="232">
        <f t="shared" si="10"/>
        <v>19100</v>
      </c>
      <c r="U81" s="232">
        <f t="shared" si="10"/>
        <v>90500</v>
      </c>
      <c r="V81" s="232">
        <f t="shared" si="10"/>
        <v>120000</v>
      </c>
      <c r="W81" s="232">
        <f t="shared" si="10"/>
        <v>1180500</v>
      </c>
      <c r="X81" s="232">
        <f t="shared" si="10"/>
        <v>791500</v>
      </c>
      <c r="Y81" s="233">
        <f t="shared" si="10"/>
        <v>12181850</v>
      </c>
      <c r="Z81" s="201"/>
    </row>
    <row r="82" spans="1:26" ht="13.5" customHeight="1" x14ac:dyDescent="0.25">
      <c r="A82" s="255" t="s">
        <v>40</v>
      </c>
      <c r="B82" s="235"/>
      <c r="C82" s="236">
        <f t="shared" ref="C82:X82" si="11">C81/$Y$81</f>
        <v>0</v>
      </c>
      <c r="D82" s="236">
        <f t="shared" si="11"/>
        <v>3.4280507476286443E-2</v>
      </c>
      <c r="E82" s="236">
        <f t="shared" si="11"/>
        <v>0.20677483305080921</v>
      </c>
      <c r="F82" s="236">
        <f t="shared" si="11"/>
        <v>1.6417867565271284E-3</v>
      </c>
      <c r="G82" s="236">
        <f t="shared" si="11"/>
        <v>0.16197457693207518</v>
      </c>
      <c r="H82" s="236">
        <f t="shared" si="11"/>
        <v>0.27336980836244085</v>
      </c>
      <c r="I82" s="236">
        <f t="shared" si="11"/>
        <v>0</v>
      </c>
      <c r="J82" s="236">
        <f t="shared" si="11"/>
        <v>9.0913941642689743E-3</v>
      </c>
      <c r="K82" s="236">
        <f t="shared" si="11"/>
        <v>1.929099438919376E-3</v>
      </c>
      <c r="L82" s="236">
        <f t="shared" si="11"/>
        <v>3.9402882156651081E-2</v>
      </c>
      <c r="M82" s="236">
        <f t="shared" si="11"/>
        <v>0</v>
      </c>
      <c r="N82" s="236">
        <f t="shared" si="11"/>
        <v>4.5149135804496032E-2</v>
      </c>
      <c r="O82" s="236">
        <f t="shared" si="11"/>
        <v>9.8507205391627707E-4</v>
      </c>
      <c r="P82" s="236">
        <f t="shared" si="11"/>
        <v>7.7984870935038607E-3</v>
      </c>
      <c r="Q82" s="236">
        <f t="shared" si="11"/>
        <v>1.6417867565271284E-2</v>
      </c>
      <c r="R82" s="236">
        <f t="shared" si="11"/>
        <v>3.9649150170130154E-3</v>
      </c>
      <c r="S82" s="236">
        <f t="shared" si="11"/>
        <v>1.6491747969315004E-2</v>
      </c>
      <c r="T82" s="236">
        <f t="shared" si="11"/>
        <v>1.5679063524834077E-3</v>
      </c>
      <c r="U82" s="236">
        <f t="shared" si="11"/>
        <v>7.4290850732852565E-3</v>
      </c>
      <c r="V82" s="236">
        <f t="shared" si="11"/>
        <v>9.8507205391627703E-3</v>
      </c>
      <c r="W82" s="236">
        <f t="shared" si="11"/>
        <v>9.6906463304013757E-2</v>
      </c>
      <c r="X82" s="236">
        <f t="shared" si="11"/>
        <v>6.4973710889561109E-2</v>
      </c>
      <c r="Y82" s="256"/>
      <c r="Z82" s="201"/>
    </row>
    <row r="83" spans="1:26" ht="14.25" customHeight="1" x14ac:dyDescent="0.25">
      <c r="A83" s="257" t="s">
        <v>147</v>
      </c>
      <c r="B83" s="258"/>
      <c r="C83" s="259">
        <f t="shared" ref="C83:Y83" si="12">IF(C47&gt;0,C81/C47-1,"")</f>
        <v>-1</v>
      </c>
      <c r="D83" s="259">
        <f t="shared" si="12"/>
        <v>0.29689440993788829</v>
      </c>
      <c r="E83" s="259">
        <f t="shared" si="12"/>
        <v>8.3118335053319559E-2</v>
      </c>
      <c r="F83" s="259">
        <f t="shared" si="12"/>
        <v>-0.52885747938751471</v>
      </c>
      <c r="G83" s="259">
        <f t="shared" si="12"/>
        <v>-0.4195764082953376</v>
      </c>
      <c r="H83" s="260" t="str">
        <f t="shared" si="12"/>
        <v/>
      </c>
      <c r="I83" s="259">
        <f t="shared" si="12"/>
        <v>-1</v>
      </c>
      <c r="J83" s="259">
        <f t="shared" si="12"/>
        <v>0.59352517985611519</v>
      </c>
      <c r="K83" s="259">
        <f t="shared" si="12"/>
        <v>2.1739130434782705E-2</v>
      </c>
      <c r="L83" s="259">
        <f t="shared" si="12"/>
        <v>0.43283582089552231</v>
      </c>
      <c r="M83" s="259">
        <f t="shared" si="12"/>
        <v>-1</v>
      </c>
      <c r="N83" s="259">
        <f t="shared" si="12"/>
        <v>0.17021276595744683</v>
      </c>
      <c r="O83" s="260" t="str">
        <f t="shared" si="12"/>
        <v/>
      </c>
      <c r="P83" s="259">
        <f t="shared" si="12"/>
        <v>0.58333333333333326</v>
      </c>
      <c r="Q83" s="259">
        <f t="shared" si="12"/>
        <v>0</v>
      </c>
      <c r="R83" s="259">
        <f t="shared" si="12"/>
        <v>-0.52901023890784982</v>
      </c>
      <c r="S83" s="259">
        <f t="shared" si="12"/>
        <v>0.10841379310344834</v>
      </c>
      <c r="T83" s="259">
        <f t="shared" si="12"/>
        <v>-0.80648429584599801</v>
      </c>
      <c r="U83" s="259">
        <f t="shared" si="12"/>
        <v>4.9275362318840665E-2</v>
      </c>
      <c r="V83" s="259">
        <f t="shared" si="12"/>
        <v>-0.13088986882665643</v>
      </c>
      <c r="W83" s="259">
        <f t="shared" si="12"/>
        <v>-0.46487518603920308</v>
      </c>
      <c r="X83" s="259">
        <f t="shared" si="12"/>
        <v>-0.101589103291714</v>
      </c>
      <c r="Y83" s="261">
        <f t="shared" si="12"/>
        <v>9.8448643388775681E-2</v>
      </c>
      <c r="Z83" s="201"/>
    </row>
    <row r="84" spans="1:26" ht="15.75" customHeight="1" x14ac:dyDescent="0.25">
      <c r="A84" s="267"/>
      <c r="B84" s="267"/>
      <c r="C84" s="263"/>
      <c r="D84" s="263"/>
      <c r="E84" s="264" t="s">
        <v>150</v>
      </c>
      <c r="F84" s="263"/>
      <c r="G84" s="263"/>
      <c r="H84" s="263"/>
      <c r="I84" s="263"/>
      <c r="J84" s="263"/>
      <c r="K84" s="263"/>
      <c r="L84" s="263"/>
      <c r="M84" s="263"/>
      <c r="N84" s="263"/>
      <c r="O84" s="263"/>
      <c r="P84" s="263"/>
      <c r="Q84" s="263"/>
      <c r="R84" s="263"/>
      <c r="S84" s="263"/>
      <c r="T84" s="263"/>
      <c r="U84" s="265"/>
      <c r="V84" s="263"/>
      <c r="W84" s="263"/>
      <c r="X84" s="263"/>
      <c r="Y84" s="266"/>
      <c r="Z84" s="201"/>
    </row>
    <row r="85" spans="1:26" ht="13.5" customHeight="1" x14ac:dyDescent="0.25">
      <c r="A85" s="212" t="s">
        <v>138</v>
      </c>
      <c r="B85" s="213">
        <v>45108</v>
      </c>
      <c r="C85" s="214"/>
      <c r="D85" s="214"/>
      <c r="E85" s="214">
        <f>12500+75600+22150+15600+15000+19400+19350+6000+24500+2000+2000+5000</f>
        <v>219100</v>
      </c>
      <c r="F85" s="214"/>
      <c r="G85" s="214">
        <f>8500+21000+14800</f>
        <v>44300</v>
      </c>
      <c r="H85" s="214"/>
      <c r="I85" s="214"/>
      <c r="J85" s="214">
        <v>5250</v>
      </c>
      <c r="K85" s="214">
        <v>1000</v>
      </c>
      <c r="L85" s="214"/>
      <c r="M85" s="214"/>
      <c r="N85" s="214"/>
      <c r="O85" s="214"/>
      <c r="P85" s="214"/>
      <c r="Q85" s="214"/>
      <c r="R85" s="214"/>
      <c r="S85" s="214">
        <v>4000</v>
      </c>
      <c r="T85" s="214">
        <v>1600</v>
      </c>
      <c r="U85" s="214">
        <v>1500</v>
      </c>
      <c r="V85" s="214"/>
      <c r="W85" s="214"/>
      <c r="X85" s="214">
        <f>30000+5000</f>
        <v>35000</v>
      </c>
      <c r="Y85" s="245">
        <f t="shared" ref="Y85:Y115" si="13">SUM(C85:X85)</f>
        <v>311750</v>
      </c>
      <c r="Z85" s="201"/>
    </row>
    <row r="86" spans="1:26" ht="14.25" customHeight="1" x14ac:dyDescent="0.25">
      <c r="A86" s="218" t="s">
        <v>139</v>
      </c>
      <c r="B86" s="219">
        <v>45109</v>
      </c>
      <c r="C86" s="220"/>
      <c r="D86" s="220"/>
      <c r="E86" s="220">
        <f>3450+12000+3600+2600+18500+4000+6800</f>
        <v>50950</v>
      </c>
      <c r="F86" s="220"/>
      <c r="G86" s="220">
        <f>39000+29400+500+500+500+1000+1000+1000+1000</f>
        <v>73900</v>
      </c>
      <c r="H86" s="220">
        <v>1515750</v>
      </c>
      <c r="I86" s="220"/>
      <c r="J86" s="220"/>
      <c r="K86" s="220">
        <v>1000</v>
      </c>
      <c r="L86" s="220"/>
      <c r="M86" s="220"/>
      <c r="N86" s="220"/>
      <c r="O86" s="220"/>
      <c r="P86" s="220"/>
      <c r="Q86" s="220"/>
      <c r="R86" s="220"/>
      <c r="S86" s="220"/>
      <c r="T86" s="220"/>
      <c r="U86" s="220"/>
      <c r="V86" s="220"/>
      <c r="W86" s="220"/>
      <c r="X86" s="220"/>
      <c r="Y86" s="246">
        <f t="shared" si="13"/>
        <v>1641600</v>
      </c>
      <c r="Z86" s="201"/>
    </row>
    <row r="87" spans="1:26" ht="14.25" customHeight="1" x14ac:dyDescent="0.25">
      <c r="A87" s="208" t="s">
        <v>140</v>
      </c>
      <c r="B87" s="209">
        <v>45110</v>
      </c>
      <c r="C87" s="210"/>
      <c r="D87" s="210">
        <v>46000</v>
      </c>
      <c r="E87" s="210">
        <f>13550+2600+5400+27000+8000+9600+13000</f>
        <v>79150</v>
      </c>
      <c r="F87" s="210"/>
      <c r="G87" s="210">
        <f>19400+500+1000+1000+1000+500+500+500</f>
        <v>24400</v>
      </c>
      <c r="H87" s="210"/>
      <c r="I87" s="210"/>
      <c r="J87" s="210">
        <v>2000</v>
      </c>
      <c r="K87" s="210">
        <v>1000</v>
      </c>
      <c r="L87" s="210"/>
      <c r="M87" s="210"/>
      <c r="N87" s="210"/>
      <c r="O87" s="210"/>
      <c r="P87" s="210"/>
      <c r="Q87" s="210"/>
      <c r="R87" s="210">
        <v>500</v>
      </c>
      <c r="S87" s="210">
        <v>9000</v>
      </c>
      <c r="T87" s="210">
        <f>1600+1600</f>
        <v>3200</v>
      </c>
      <c r="U87" s="210"/>
      <c r="V87" s="210">
        <v>10000</v>
      </c>
      <c r="W87" s="210"/>
      <c r="X87" s="210">
        <v>80000</v>
      </c>
      <c r="Y87" s="244">
        <f t="shared" si="13"/>
        <v>255250</v>
      </c>
      <c r="Z87" s="201"/>
    </row>
    <row r="88" spans="1:26" ht="13.5" customHeight="1" x14ac:dyDescent="0.25">
      <c r="A88" s="212" t="s">
        <v>141</v>
      </c>
      <c r="B88" s="213">
        <v>45111</v>
      </c>
      <c r="C88" s="214"/>
      <c r="D88" s="214"/>
      <c r="E88" s="214">
        <f>6500+4500+17300</f>
        <v>28300</v>
      </c>
      <c r="F88" s="214"/>
      <c r="G88" s="214">
        <f>1000+1000+500+500+1000+500+1000</f>
        <v>5500</v>
      </c>
      <c r="H88" s="214"/>
      <c r="I88" s="214"/>
      <c r="J88" s="214">
        <v>8750</v>
      </c>
      <c r="K88" s="214"/>
      <c r="L88" s="214"/>
      <c r="M88" s="214"/>
      <c r="N88" s="214"/>
      <c r="O88" s="214"/>
      <c r="P88" s="214"/>
      <c r="Q88" s="214"/>
      <c r="R88" s="214"/>
      <c r="S88" s="214"/>
      <c r="T88" s="214">
        <v>36000</v>
      </c>
      <c r="U88" s="214"/>
      <c r="V88" s="214"/>
      <c r="W88" s="214">
        <v>1000</v>
      </c>
      <c r="X88" s="214">
        <f>15000+20000</f>
        <v>35000</v>
      </c>
      <c r="Y88" s="245">
        <f t="shared" si="13"/>
        <v>114550</v>
      </c>
      <c r="Z88" s="201"/>
    </row>
    <row r="89" spans="1:26" ht="13.5" customHeight="1" x14ac:dyDescent="0.25">
      <c r="A89" s="212" t="s">
        <v>142</v>
      </c>
      <c r="B89" s="213">
        <v>45112</v>
      </c>
      <c r="C89" s="214"/>
      <c r="D89" s="214"/>
      <c r="E89" s="214">
        <f>22500+11500+3100+8300+17300+16900</f>
        <v>79600</v>
      </c>
      <c r="F89" s="214">
        <v>21000</v>
      </c>
      <c r="G89" s="214">
        <f>17500+65000+22500+2500+2200</f>
        <v>109700</v>
      </c>
      <c r="H89" s="214"/>
      <c r="I89" s="214"/>
      <c r="J89" s="214"/>
      <c r="K89" s="214">
        <v>1000</v>
      </c>
      <c r="L89" s="214">
        <f>80000+10000</f>
        <v>90000</v>
      </c>
      <c r="M89" s="214"/>
      <c r="N89" s="214"/>
      <c r="O89" s="214"/>
      <c r="P89" s="214"/>
      <c r="Q89" s="214"/>
      <c r="R89" s="214"/>
      <c r="S89" s="214">
        <v>2000</v>
      </c>
      <c r="T89" s="214">
        <v>1600</v>
      </c>
      <c r="U89" s="214"/>
      <c r="V89" s="214">
        <v>5000</v>
      </c>
      <c r="W89" s="214">
        <v>200000</v>
      </c>
      <c r="X89" s="214"/>
      <c r="Y89" s="245">
        <f t="shared" si="13"/>
        <v>509900</v>
      </c>
      <c r="Z89" s="201"/>
    </row>
    <row r="90" spans="1:26" ht="13.5" customHeight="1" x14ac:dyDescent="0.25">
      <c r="A90" s="212" t="s">
        <v>143</v>
      </c>
      <c r="B90" s="213">
        <v>45113</v>
      </c>
      <c r="C90" s="214"/>
      <c r="D90" s="214">
        <v>46000</v>
      </c>
      <c r="E90" s="214">
        <f>5000+2350+8100+3750</f>
        <v>19200</v>
      </c>
      <c r="F90" s="214">
        <v>60000</v>
      </c>
      <c r="G90" s="214">
        <f>54000+1000+1000+500+1000+1000+500+500</f>
        <v>59500</v>
      </c>
      <c r="H90" s="214"/>
      <c r="I90" s="214"/>
      <c r="J90" s="214"/>
      <c r="K90" s="214">
        <v>1000</v>
      </c>
      <c r="L90" s="214">
        <v>30000</v>
      </c>
      <c r="M90" s="214"/>
      <c r="N90" s="214"/>
      <c r="O90" s="214">
        <v>9000</v>
      </c>
      <c r="P90" s="214"/>
      <c r="Q90" s="214"/>
      <c r="R90" s="214"/>
      <c r="S90" s="214">
        <v>1000</v>
      </c>
      <c r="T90" s="214"/>
      <c r="U90" s="214">
        <v>500</v>
      </c>
      <c r="V90" s="214">
        <v>5000</v>
      </c>
      <c r="W90" s="214"/>
      <c r="X90" s="214"/>
      <c r="Y90" s="245">
        <f t="shared" si="13"/>
        <v>231200</v>
      </c>
      <c r="Z90" s="201"/>
    </row>
    <row r="91" spans="1:26" ht="13.5" customHeight="1" x14ac:dyDescent="0.25">
      <c r="A91" s="212" t="s">
        <v>144</v>
      </c>
      <c r="B91" s="213">
        <v>45114</v>
      </c>
      <c r="C91" s="214"/>
      <c r="D91" s="214"/>
      <c r="E91" s="214">
        <f>23000+8500+14900+8325+23500+3000+16000+12500+22150+500</f>
        <v>132375</v>
      </c>
      <c r="F91" s="214"/>
      <c r="G91" s="214">
        <f>14500+39000+29400</f>
        <v>82900</v>
      </c>
      <c r="H91" s="214"/>
      <c r="I91" s="214"/>
      <c r="J91" s="214">
        <v>8750</v>
      </c>
      <c r="K91" s="214">
        <v>1000</v>
      </c>
      <c r="L91" s="214"/>
      <c r="M91" s="214"/>
      <c r="N91" s="214"/>
      <c r="O91" s="214"/>
      <c r="P91" s="214"/>
      <c r="Q91" s="214"/>
      <c r="R91" s="214"/>
      <c r="S91" s="214">
        <v>2000</v>
      </c>
      <c r="T91" s="214"/>
      <c r="U91" s="214"/>
      <c r="V91" s="214"/>
      <c r="W91" s="214"/>
      <c r="X91" s="214">
        <v>15000</v>
      </c>
      <c r="Y91" s="245">
        <f t="shared" si="13"/>
        <v>242025</v>
      </c>
      <c r="Z91" s="201"/>
    </row>
    <row r="92" spans="1:26" ht="13.5" customHeight="1" x14ac:dyDescent="0.25">
      <c r="A92" s="212" t="s">
        <v>138</v>
      </c>
      <c r="B92" s="213">
        <v>45115</v>
      </c>
      <c r="C92" s="214"/>
      <c r="D92" s="214">
        <v>46000</v>
      </c>
      <c r="E92" s="214">
        <f>8650+15300+22500+23100+14000+12200+15500+3500+5000</f>
        <v>119750</v>
      </c>
      <c r="F92" s="214"/>
      <c r="G92" s="214">
        <f>39000+22000+8500+8000+270000</f>
        <v>347500</v>
      </c>
      <c r="H92" s="214"/>
      <c r="I92" s="214"/>
      <c r="J92" s="214"/>
      <c r="K92" s="214">
        <v>1000</v>
      </c>
      <c r="L92" s="214"/>
      <c r="M92" s="214"/>
      <c r="N92" s="214"/>
      <c r="O92" s="214"/>
      <c r="P92" s="214"/>
      <c r="Q92" s="214"/>
      <c r="R92" s="214"/>
      <c r="S92" s="214">
        <f>1000+9000</f>
        <v>10000</v>
      </c>
      <c r="T92" s="214">
        <f>8800+1800+1000+1000</f>
        <v>12600</v>
      </c>
      <c r="U92" s="214"/>
      <c r="V92" s="214"/>
      <c r="W92" s="214">
        <f>800+400000</f>
        <v>400800</v>
      </c>
      <c r="X92" s="214"/>
      <c r="Y92" s="245">
        <f t="shared" si="13"/>
        <v>937650</v>
      </c>
      <c r="Z92" s="201"/>
    </row>
    <row r="93" spans="1:26" ht="14.25" customHeight="1" x14ac:dyDescent="0.25">
      <c r="A93" s="218" t="s">
        <v>139</v>
      </c>
      <c r="B93" s="219">
        <v>45116</v>
      </c>
      <c r="C93" s="220"/>
      <c r="D93" s="220"/>
      <c r="E93" s="220">
        <f>4950+2400+12000+5000+22500+4000+2500+40100</f>
        <v>93450</v>
      </c>
      <c r="F93" s="220"/>
      <c r="G93" s="220">
        <f>14500+9700+29400</f>
        <v>53600</v>
      </c>
      <c r="H93" s="220">
        <v>1605050</v>
      </c>
      <c r="I93" s="220"/>
      <c r="J93" s="220">
        <v>8750</v>
      </c>
      <c r="K93" s="220"/>
      <c r="L93" s="220"/>
      <c r="M93" s="220"/>
      <c r="N93" s="220"/>
      <c r="O93" s="220"/>
      <c r="P93" s="220"/>
      <c r="Q93" s="220"/>
      <c r="R93" s="220"/>
      <c r="S93" s="220">
        <v>2000</v>
      </c>
      <c r="T93" s="220"/>
      <c r="U93" s="220">
        <v>500</v>
      </c>
      <c r="V93" s="220"/>
      <c r="W93" s="220"/>
      <c r="X93" s="220"/>
      <c r="Y93" s="246">
        <f t="shared" si="13"/>
        <v>1763350</v>
      </c>
      <c r="Z93" s="201"/>
    </row>
    <row r="94" spans="1:26" ht="14.25" customHeight="1" x14ac:dyDescent="0.25">
      <c r="A94" s="208" t="s">
        <v>140</v>
      </c>
      <c r="B94" s="209">
        <v>45117</v>
      </c>
      <c r="C94" s="210"/>
      <c r="D94" s="210">
        <v>46000</v>
      </c>
      <c r="E94" s="210">
        <f>21800+5400+12000+2500+58550+1000</f>
        <v>101250</v>
      </c>
      <c r="F94" s="210"/>
      <c r="G94" s="210">
        <f>8500+22000+14500+13500+9700+39000+4000</f>
        <v>111200</v>
      </c>
      <c r="H94" s="210"/>
      <c r="I94" s="210"/>
      <c r="J94" s="210"/>
      <c r="K94" s="210"/>
      <c r="L94" s="210"/>
      <c r="M94" s="210"/>
      <c r="N94" s="210"/>
      <c r="O94" s="210"/>
      <c r="P94" s="210"/>
      <c r="Q94" s="210"/>
      <c r="R94" s="210"/>
      <c r="S94" s="210">
        <f>9000+8000+2000</f>
        <v>19000</v>
      </c>
      <c r="T94" s="210">
        <v>2700</v>
      </c>
      <c r="U94" s="210"/>
      <c r="V94" s="210"/>
      <c r="W94" s="210"/>
      <c r="X94" s="210">
        <v>50000</v>
      </c>
      <c r="Y94" s="244">
        <f t="shared" si="13"/>
        <v>330150</v>
      </c>
      <c r="Z94" s="201"/>
    </row>
    <row r="95" spans="1:26" ht="13.5" customHeight="1" x14ac:dyDescent="0.25">
      <c r="A95" s="212" t="s">
        <v>141</v>
      </c>
      <c r="B95" s="213">
        <v>45118</v>
      </c>
      <c r="C95" s="214"/>
      <c r="D95" s="214">
        <v>46000</v>
      </c>
      <c r="E95" s="214">
        <f>8500+1200+1300+5000+1700</f>
        <v>17700</v>
      </c>
      <c r="F95" s="214"/>
      <c r="G95" s="214">
        <f>1000+1000+500+500+500+1500</f>
        <v>5000</v>
      </c>
      <c r="H95" s="214"/>
      <c r="I95" s="214"/>
      <c r="J95" s="214">
        <v>8750</v>
      </c>
      <c r="K95" s="214">
        <v>1000</v>
      </c>
      <c r="L95" s="214"/>
      <c r="M95" s="214"/>
      <c r="N95" s="214"/>
      <c r="O95" s="214"/>
      <c r="P95" s="214"/>
      <c r="Q95" s="214"/>
      <c r="R95" s="214"/>
      <c r="S95" s="214"/>
      <c r="T95" s="214"/>
      <c r="U95" s="214"/>
      <c r="V95" s="214"/>
      <c r="W95" s="214"/>
      <c r="X95" s="214"/>
      <c r="Y95" s="245">
        <f t="shared" si="13"/>
        <v>78450</v>
      </c>
      <c r="Z95" s="201"/>
    </row>
    <row r="96" spans="1:26" ht="13.5" customHeight="1" x14ac:dyDescent="0.25">
      <c r="A96" s="212" t="s">
        <v>142</v>
      </c>
      <c r="B96" s="213">
        <v>45119</v>
      </c>
      <c r="C96" s="214"/>
      <c r="D96" s="214"/>
      <c r="E96" s="214">
        <f>30000+14000+12000+12950+3675+4000+5000+27800+13150+2250+20500+1000+1000+1000</f>
        <v>148325</v>
      </c>
      <c r="F96" s="214"/>
      <c r="G96" s="214">
        <v>8000</v>
      </c>
      <c r="H96" s="214"/>
      <c r="I96" s="214"/>
      <c r="J96" s="214"/>
      <c r="K96" s="214">
        <v>1000</v>
      </c>
      <c r="L96" s="214">
        <f>100000+10000</f>
        <v>110000</v>
      </c>
      <c r="M96" s="214"/>
      <c r="N96" s="214"/>
      <c r="O96" s="214"/>
      <c r="P96" s="214"/>
      <c r="Q96" s="214"/>
      <c r="R96" s="214">
        <f>106000+5000+8000+3600</f>
        <v>122600</v>
      </c>
      <c r="S96" s="214"/>
      <c r="T96" s="214"/>
      <c r="U96" s="214"/>
      <c r="V96" s="214"/>
      <c r="W96" s="214"/>
      <c r="X96" s="214"/>
      <c r="Y96" s="245">
        <f t="shared" si="13"/>
        <v>389925</v>
      </c>
      <c r="Z96" s="201"/>
    </row>
    <row r="97" spans="1:26" ht="13.5" customHeight="1" x14ac:dyDescent="0.25">
      <c r="A97" s="212" t="s">
        <v>143</v>
      </c>
      <c r="B97" s="213">
        <v>45120</v>
      </c>
      <c r="C97" s="214"/>
      <c r="D97" s="214">
        <v>46000</v>
      </c>
      <c r="E97" s="214">
        <f>13700+13000+2250+34300+5000+42000+1000</f>
        <v>111250</v>
      </c>
      <c r="F97" s="214"/>
      <c r="G97" s="214">
        <v>8000</v>
      </c>
      <c r="H97" s="214"/>
      <c r="I97" s="214"/>
      <c r="J97" s="214"/>
      <c r="K97" s="214">
        <v>1000</v>
      </c>
      <c r="L97" s="214">
        <v>30000</v>
      </c>
      <c r="M97" s="214"/>
      <c r="N97" s="214">
        <v>200000</v>
      </c>
      <c r="O97" s="214"/>
      <c r="P97" s="214"/>
      <c r="Q97" s="214"/>
      <c r="R97" s="214"/>
      <c r="S97" s="214">
        <f>2000+9000+2000</f>
        <v>13000</v>
      </c>
      <c r="T97" s="214">
        <f>4000+700</f>
        <v>4700</v>
      </c>
      <c r="U97" s="214">
        <v>825</v>
      </c>
      <c r="V97" s="214"/>
      <c r="W97" s="214">
        <f>25000+15000</f>
        <v>40000</v>
      </c>
      <c r="X97" s="214"/>
      <c r="Y97" s="245">
        <f t="shared" si="13"/>
        <v>454775</v>
      </c>
      <c r="Z97" s="201"/>
    </row>
    <row r="98" spans="1:26" ht="13.5" customHeight="1" x14ac:dyDescent="0.25">
      <c r="A98" s="212" t="s">
        <v>144</v>
      </c>
      <c r="B98" s="213">
        <v>45121</v>
      </c>
      <c r="C98" s="214">
        <v>100000</v>
      </c>
      <c r="D98" s="214"/>
      <c r="E98" s="214">
        <f>47000+23500+27000+6400+1400+19800+5000</f>
        <v>130100</v>
      </c>
      <c r="F98" s="214"/>
      <c r="G98" s="214">
        <f>79200+39000+23000+18000</f>
        <v>159200</v>
      </c>
      <c r="H98" s="214"/>
      <c r="I98" s="214"/>
      <c r="J98" s="214">
        <v>8750</v>
      </c>
      <c r="K98" s="214">
        <v>1000</v>
      </c>
      <c r="L98" s="214"/>
      <c r="M98" s="214"/>
      <c r="N98" s="214"/>
      <c r="O98" s="214"/>
      <c r="P98" s="214"/>
      <c r="Q98" s="214"/>
      <c r="R98" s="214"/>
      <c r="S98" s="214"/>
      <c r="T98" s="214"/>
      <c r="U98" s="214"/>
      <c r="V98" s="214"/>
      <c r="W98" s="214"/>
      <c r="X98" s="214">
        <v>36500</v>
      </c>
      <c r="Y98" s="245">
        <f t="shared" si="13"/>
        <v>435550</v>
      </c>
      <c r="Z98" s="201"/>
    </row>
    <row r="99" spans="1:26" ht="13.5" customHeight="1" x14ac:dyDescent="0.25">
      <c r="A99" s="212" t="s">
        <v>138</v>
      </c>
      <c r="B99" s="213">
        <v>45122</v>
      </c>
      <c r="C99" s="214"/>
      <c r="D99" s="214">
        <v>46000</v>
      </c>
      <c r="E99" s="214">
        <f>22100+26600+22500+3000+4500+14400+10000+14000</f>
        <v>117100</v>
      </c>
      <c r="F99" s="214"/>
      <c r="G99" s="214">
        <f>27000+23000+24900</f>
        <v>74900</v>
      </c>
      <c r="H99" s="214"/>
      <c r="I99" s="214"/>
      <c r="J99" s="214"/>
      <c r="K99" s="214">
        <v>1000</v>
      </c>
      <c r="L99" s="214"/>
      <c r="M99" s="214"/>
      <c r="N99" s="214"/>
      <c r="O99" s="214"/>
      <c r="P99" s="214"/>
      <c r="Q99" s="214"/>
      <c r="R99" s="214"/>
      <c r="S99" s="214">
        <f>28000+91000</f>
        <v>119000</v>
      </c>
      <c r="T99" s="214"/>
      <c r="U99" s="214"/>
      <c r="V99" s="214">
        <v>24000</v>
      </c>
      <c r="W99" s="214"/>
      <c r="X99" s="214"/>
      <c r="Y99" s="245">
        <f t="shared" si="13"/>
        <v>382000</v>
      </c>
      <c r="Z99" s="201"/>
    </row>
    <row r="100" spans="1:26" ht="14.25" customHeight="1" x14ac:dyDescent="0.25">
      <c r="A100" s="218" t="s">
        <v>139</v>
      </c>
      <c r="B100" s="219">
        <v>45123</v>
      </c>
      <c r="C100" s="220"/>
      <c r="D100" s="220"/>
      <c r="E100" s="220">
        <f>12000+7050+9750+5000</f>
        <v>33800</v>
      </c>
      <c r="F100" s="220"/>
      <c r="G100" s="220">
        <f>39000+4000</f>
        <v>43000</v>
      </c>
      <c r="H100" s="220">
        <v>955350</v>
      </c>
      <c r="I100" s="220"/>
      <c r="J100" s="220"/>
      <c r="K100" s="220"/>
      <c r="L100" s="220"/>
      <c r="M100" s="220"/>
      <c r="N100" s="220"/>
      <c r="O100" s="220"/>
      <c r="P100" s="220"/>
      <c r="Q100" s="220"/>
      <c r="R100" s="220"/>
      <c r="S100" s="220">
        <f>4500+1600</f>
        <v>6100</v>
      </c>
      <c r="T100" s="220"/>
      <c r="U100" s="220"/>
      <c r="V100" s="220"/>
      <c r="W100" s="220"/>
      <c r="X100" s="220"/>
      <c r="Y100" s="246">
        <f t="shared" si="13"/>
        <v>1038250</v>
      </c>
      <c r="Z100" s="201"/>
    </row>
    <row r="101" spans="1:26" ht="14.25" customHeight="1" x14ac:dyDescent="0.25">
      <c r="A101" s="208" t="s">
        <v>140</v>
      </c>
      <c r="B101" s="209">
        <v>45124</v>
      </c>
      <c r="C101" s="210"/>
      <c r="D101" s="210">
        <v>46000</v>
      </c>
      <c r="E101" s="210">
        <f>13000+2000+14500+9000+47500+13500</f>
        <v>99500</v>
      </c>
      <c r="F101" s="210"/>
      <c r="G101" s="210">
        <f>18000+15000+41400+7600+9000+4000+136500</f>
        <v>231500</v>
      </c>
      <c r="H101" s="210"/>
      <c r="I101" s="210"/>
      <c r="J101" s="210"/>
      <c r="K101" s="210">
        <v>1000</v>
      </c>
      <c r="L101" s="210"/>
      <c r="M101" s="210"/>
      <c r="N101" s="210"/>
      <c r="O101" s="210"/>
      <c r="P101" s="210"/>
      <c r="Q101" s="210"/>
      <c r="R101" s="210"/>
      <c r="S101" s="210">
        <v>9000</v>
      </c>
      <c r="T101" s="210">
        <v>500</v>
      </c>
      <c r="U101" s="210">
        <f>1000+1600</f>
        <v>2600</v>
      </c>
      <c r="V101" s="210"/>
      <c r="W101" s="210"/>
      <c r="X101" s="210"/>
      <c r="Y101" s="244">
        <f t="shared" si="13"/>
        <v>390100</v>
      </c>
      <c r="Z101" s="201"/>
    </row>
    <row r="102" spans="1:26" ht="13.5" customHeight="1" x14ac:dyDescent="0.25">
      <c r="A102" s="212" t="s">
        <v>141</v>
      </c>
      <c r="B102" s="213">
        <v>45125</v>
      </c>
      <c r="C102" s="214"/>
      <c r="D102" s="214">
        <v>46000</v>
      </c>
      <c r="E102" s="214">
        <f>6000+5000</f>
        <v>11000</v>
      </c>
      <c r="F102" s="214"/>
      <c r="G102" s="214">
        <f>19500+10500+9700+29400+2000+500+1000+1000+500</f>
        <v>74100</v>
      </c>
      <c r="H102" s="214"/>
      <c r="I102" s="214"/>
      <c r="J102" s="214">
        <v>5250</v>
      </c>
      <c r="K102" s="214"/>
      <c r="L102" s="214"/>
      <c r="M102" s="214"/>
      <c r="N102" s="214"/>
      <c r="O102" s="214"/>
      <c r="P102" s="214"/>
      <c r="Q102" s="214"/>
      <c r="R102" s="214"/>
      <c r="S102" s="214"/>
      <c r="T102" s="214"/>
      <c r="U102" s="214">
        <v>500</v>
      </c>
      <c r="V102" s="214"/>
      <c r="W102" s="214"/>
      <c r="X102" s="214">
        <f>9000+18000</f>
        <v>27000</v>
      </c>
      <c r="Y102" s="245">
        <f t="shared" si="13"/>
        <v>163850</v>
      </c>
      <c r="Z102" s="201"/>
    </row>
    <row r="103" spans="1:26" ht="13.5" customHeight="1" x14ac:dyDescent="0.25">
      <c r="A103" s="212" t="s">
        <v>142</v>
      </c>
      <c r="B103" s="213">
        <v>45126</v>
      </c>
      <c r="C103" s="214"/>
      <c r="D103" s="214"/>
      <c r="E103" s="214">
        <f>3400+7550+14050+15500+1400+26000</f>
        <v>67900</v>
      </c>
      <c r="F103" s="214"/>
      <c r="G103" s="214">
        <f>8000+735000+60000</f>
        <v>803000</v>
      </c>
      <c r="H103" s="214"/>
      <c r="I103" s="214"/>
      <c r="J103" s="214">
        <v>8750</v>
      </c>
      <c r="K103" s="214">
        <v>1000</v>
      </c>
      <c r="L103" s="214">
        <f>70000+10000</f>
        <v>80000</v>
      </c>
      <c r="M103" s="214"/>
      <c r="N103" s="214"/>
      <c r="O103" s="214"/>
      <c r="P103" s="214"/>
      <c r="Q103" s="214"/>
      <c r="R103" s="214">
        <v>1500</v>
      </c>
      <c r="S103" s="214">
        <v>9000</v>
      </c>
      <c r="T103" s="214"/>
      <c r="U103" s="214"/>
      <c r="V103" s="214"/>
      <c r="W103" s="214"/>
      <c r="X103" s="214"/>
      <c r="Y103" s="245">
        <f t="shared" si="13"/>
        <v>971150</v>
      </c>
      <c r="Z103" s="201"/>
    </row>
    <row r="104" spans="1:26" ht="13.5" customHeight="1" x14ac:dyDescent="0.25">
      <c r="A104" s="212" t="s">
        <v>143</v>
      </c>
      <c r="B104" s="213">
        <v>45127</v>
      </c>
      <c r="C104" s="214"/>
      <c r="D104" s="214">
        <v>46000</v>
      </c>
      <c r="E104" s="214">
        <f>10000+9000+15000+4200+14000+5000+57000+9950</f>
        <v>124150</v>
      </c>
      <c r="F104" s="214"/>
      <c r="G104" s="214">
        <v>29400</v>
      </c>
      <c r="H104" s="214"/>
      <c r="I104" s="214"/>
      <c r="J104" s="214">
        <v>8750</v>
      </c>
      <c r="K104" s="214"/>
      <c r="L104" s="214">
        <v>30000</v>
      </c>
      <c r="M104" s="214"/>
      <c r="N104" s="214"/>
      <c r="O104" s="214"/>
      <c r="P104" s="214"/>
      <c r="Q104" s="214"/>
      <c r="R104" s="214">
        <v>1000</v>
      </c>
      <c r="S104" s="214">
        <v>2000</v>
      </c>
      <c r="T104" s="214"/>
      <c r="U104" s="214"/>
      <c r="V104" s="214"/>
      <c r="W104" s="214"/>
      <c r="X104" s="214"/>
      <c r="Y104" s="245">
        <f t="shared" si="13"/>
        <v>241300</v>
      </c>
      <c r="Z104" s="201"/>
    </row>
    <row r="105" spans="1:26" ht="13.5" customHeight="1" x14ac:dyDescent="0.25">
      <c r="A105" s="212" t="s">
        <v>144</v>
      </c>
      <c r="B105" s="213">
        <v>45128</v>
      </c>
      <c r="C105" s="214"/>
      <c r="D105" s="214"/>
      <c r="E105" s="214">
        <f>6500+5000+11500+13500+500+1000+5000</f>
        <v>43000</v>
      </c>
      <c r="F105" s="214"/>
      <c r="G105" s="214">
        <f>39000+15000+23000+8000+226800</f>
        <v>311800</v>
      </c>
      <c r="H105" s="214"/>
      <c r="I105" s="214"/>
      <c r="J105" s="214">
        <v>3500</v>
      </c>
      <c r="K105" s="214">
        <v>1000</v>
      </c>
      <c r="L105" s="214"/>
      <c r="M105" s="214"/>
      <c r="N105" s="214"/>
      <c r="O105" s="214"/>
      <c r="P105" s="214"/>
      <c r="Q105" s="214"/>
      <c r="R105" s="214"/>
      <c r="S105" s="214"/>
      <c r="T105" s="214"/>
      <c r="U105" s="214"/>
      <c r="V105" s="214">
        <v>24000</v>
      </c>
      <c r="W105" s="214"/>
      <c r="X105" s="214"/>
      <c r="Y105" s="245">
        <f t="shared" si="13"/>
        <v>383300</v>
      </c>
      <c r="Z105" s="201"/>
    </row>
    <row r="106" spans="1:26" ht="13.5" customHeight="1" x14ac:dyDescent="0.25">
      <c r="A106" s="212" t="s">
        <v>138</v>
      </c>
      <c r="B106" s="213">
        <v>45129</v>
      </c>
      <c r="C106" s="214"/>
      <c r="D106" s="214">
        <v>46000</v>
      </c>
      <c r="E106" s="214">
        <f>23500+12000+5500+1400+7150+53800+5000+14500+22100+4050</f>
        <v>149000</v>
      </c>
      <c r="F106" s="214"/>
      <c r="G106" s="214">
        <f>18000+39000+27000+8500</f>
        <v>92500</v>
      </c>
      <c r="H106" s="214"/>
      <c r="I106" s="214"/>
      <c r="J106" s="214">
        <v>5250</v>
      </c>
      <c r="K106" s="214">
        <v>1000</v>
      </c>
      <c r="L106" s="214"/>
      <c r="M106" s="214"/>
      <c r="N106" s="214"/>
      <c r="O106" s="214"/>
      <c r="P106" s="214"/>
      <c r="Q106" s="214"/>
      <c r="R106" s="214"/>
      <c r="S106" s="214"/>
      <c r="T106" s="214"/>
      <c r="U106" s="214"/>
      <c r="V106" s="214"/>
      <c r="W106" s="214">
        <v>55000</v>
      </c>
      <c r="X106" s="214"/>
      <c r="Y106" s="245">
        <f t="shared" si="13"/>
        <v>348750</v>
      </c>
      <c r="Z106" s="201"/>
    </row>
    <row r="107" spans="1:26" ht="14.25" customHeight="1" x14ac:dyDescent="0.25">
      <c r="A107" s="218" t="s">
        <v>139</v>
      </c>
      <c r="B107" s="219">
        <v>45130</v>
      </c>
      <c r="C107" s="220"/>
      <c r="D107" s="220">
        <v>92000</v>
      </c>
      <c r="E107" s="220">
        <f>64100+5000+12750+7650+35925+12500+5500+16000+20500</f>
        <v>179925</v>
      </c>
      <c r="F107" s="220"/>
      <c r="G107" s="220">
        <f>15000+79200+2500+4000+29400</f>
        <v>130100</v>
      </c>
      <c r="H107" s="220">
        <v>1387500</v>
      </c>
      <c r="I107" s="220"/>
      <c r="J107" s="220"/>
      <c r="K107" s="220">
        <v>1000</v>
      </c>
      <c r="L107" s="220"/>
      <c r="M107" s="220"/>
      <c r="N107" s="220"/>
      <c r="O107" s="220"/>
      <c r="P107" s="220"/>
      <c r="Q107" s="220"/>
      <c r="R107" s="220"/>
      <c r="S107" s="220">
        <v>9000</v>
      </c>
      <c r="T107" s="220"/>
      <c r="U107" s="220">
        <v>1500</v>
      </c>
      <c r="V107" s="220"/>
      <c r="W107" s="220"/>
      <c r="X107" s="220"/>
      <c r="Y107" s="246">
        <f t="shared" si="13"/>
        <v>1801025</v>
      </c>
      <c r="Z107" s="201"/>
    </row>
    <row r="108" spans="1:26" ht="14.25" customHeight="1" x14ac:dyDescent="0.25">
      <c r="A108" s="208" t="s">
        <v>140</v>
      </c>
      <c r="B108" s="209">
        <v>45131</v>
      </c>
      <c r="C108" s="210"/>
      <c r="D108" s="210"/>
      <c r="E108" s="210">
        <f>46100+22500+12500+5000+1400+19750+12000+2500+1400</f>
        <v>123150</v>
      </c>
      <c r="F108" s="210"/>
      <c r="G108" s="210">
        <f>39000+23000+18000</f>
        <v>80000</v>
      </c>
      <c r="H108" s="210"/>
      <c r="I108" s="210"/>
      <c r="J108" s="210">
        <v>1000</v>
      </c>
      <c r="K108" s="210">
        <v>1000</v>
      </c>
      <c r="L108" s="210"/>
      <c r="M108" s="210"/>
      <c r="N108" s="210"/>
      <c r="O108" s="210"/>
      <c r="P108" s="210"/>
      <c r="Q108" s="210"/>
      <c r="R108" s="210"/>
      <c r="S108" s="210"/>
      <c r="T108" s="210"/>
      <c r="U108" s="210">
        <v>500</v>
      </c>
      <c r="V108" s="210"/>
      <c r="W108" s="210"/>
      <c r="X108" s="210"/>
      <c r="Y108" s="244">
        <f t="shared" si="13"/>
        <v>205650</v>
      </c>
      <c r="Z108" s="201"/>
    </row>
    <row r="109" spans="1:26" ht="13.5" customHeight="1" x14ac:dyDescent="0.25">
      <c r="A109" s="212" t="s">
        <v>141</v>
      </c>
      <c r="B109" s="213">
        <v>45132</v>
      </c>
      <c r="C109" s="214"/>
      <c r="D109" s="214"/>
      <c r="E109" s="214">
        <f>8500+5000</f>
        <v>13500</v>
      </c>
      <c r="F109" s="214"/>
      <c r="G109" s="214">
        <f>18000+54000+700+300+500+1000+1000+1500</f>
        <v>77000</v>
      </c>
      <c r="H109" s="214"/>
      <c r="I109" s="214"/>
      <c r="J109" s="214">
        <v>10500</v>
      </c>
      <c r="K109" s="214"/>
      <c r="L109" s="214"/>
      <c r="M109" s="214"/>
      <c r="N109" s="214">
        <f>200000+100000</f>
        <v>300000</v>
      </c>
      <c r="O109" s="214"/>
      <c r="P109" s="214"/>
      <c r="Q109" s="214"/>
      <c r="R109" s="214"/>
      <c r="S109" s="214"/>
      <c r="T109" s="214"/>
      <c r="U109" s="214"/>
      <c r="V109" s="214"/>
      <c r="W109" s="214"/>
      <c r="X109" s="214"/>
      <c r="Y109" s="245">
        <f t="shared" si="13"/>
        <v>401000</v>
      </c>
      <c r="Z109" s="201"/>
    </row>
    <row r="110" spans="1:26" ht="13.5" customHeight="1" x14ac:dyDescent="0.25">
      <c r="A110" s="212" t="s">
        <v>142</v>
      </c>
      <c r="B110" s="213">
        <v>45133</v>
      </c>
      <c r="C110" s="214"/>
      <c r="D110" s="214"/>
      <c r="E110" s="214">
        <f>18000+11000+5000+25000+22500+12800+17900+13500</f>
        <v>125700</v>
      </c>
      <c r="F110" s="214"/>
      <c r="G110" s="214">
        <f>39000+16000+23000</f>
        <v>78000</v>
      </c>
      <c r="H110" s="214"/>
      <c r="I110" s="214"/>
      <c r="J110" s="214"/>
      <c r="K110" s="214">
        <v>1000</v>
      </c>
      <c r="L110" s="214">
        <f>70000+10000</f>
        <v>80000</v>
      </c>
      <c r="M110" s="214"/>
      <c r="N110" s="214"/>
      <c r="O110" s="214"/>
      <c r="P110" s="214"/>
      <c r="Q110" s="214"/>
      <c r="R110" s="214"/>
      <c r="S110" s="214">
        <f>2000+9000</f>
        <v>11000</v>
      </c>
      <c r="T110" s="214"/>
      <c r="U110" s="214"/>
      <c r="V110" s="214"/>
      <c r="W110" s="214"/>
      <c r="X110" s="214"/>
      <c r="Y110" s="245">
        <f t="shared" si="13"/>
        <v>295700</v>
      </c>
      <c r="Z110" s="201"/>
    </row>
    <row r="111" spans="1:26" ht="13.5" customHeight="1" x14ac:dyDescent="0.25">
      <c r="A111" s="212" t="s">
        <v>143</v>
      </c>
      <c r="B111" s="213">
        <v>45134</v>
      </c>
      <c r="C111" s="214"/>
      <c r="D111" s="214"/>
      <c r="E111" s="214">
        <f>3450+8500+3400+1400+22850+9000+5000</f>
        <v>53600</v>
      </c>
      <c r="F111" s="214"/>
      <c r="G111" s="214">
        <v>6000</v>
      </c>
      <c r="H111" s="214"/>
      <c r="I111" s="214"/>
      <c r="J111" s="214"/>
      <c r="K111" s="214">
        <v>1000</v>
      </c>
      <c r="L111" s="214">
        <v>30000</v>
      </c>
      <c r="M111" s="214"/>
      <c r="N111" s="214"/>
      <c r="O111" s="214"/>
      <c r="P111" s="214"/>
      <c r="Q111" s="214"/>
      <c r="R111" s="214"/>
      <c r="S111" s="214">
        <f>13500+2000</f>
        <v>15500</v>
      </c>
      <c r="T111" s="214"/>
      <c r="U111" s="214"/>
      <c r="V111" s="214"/>
      <c r="W111" s="214"/>
      <c r="X111" s="214"/>
      <c r="Y111" s="245">
        <f t="shared" si="13"/>
        <v>106100</v>
      </c>
      <c r="Z111" s="201"/>
    </row>
    <row r="112" spans="1:26" ht="13.5" customHeight="1" x14ac:dyDescent="0.25">
      <c r="A112" s="212" t="s">
        <v>144</v>
      </c>
      <c r="B112" s="213">
        <v>45135</v>
      </c>
      <c r="C112" s="214"/>
      <c r="D112" s="214">
        <v>92000</v>
      </c>
      <c r="E112" s="214">
        <f>35700+4000+4650+8000+14000+38100</f>
        <v>104450</v>
      </c>
      <c r="F112" s="214">
        <v>21000</v>
      </c>
      <c r="G112" s="214">
        <f>29400+812000+79200</f>
        <v>920600</v>
      </c>
      <c r="H112" s="214"/>
      <c r="I112" s="214"/>
      <c r="J112" s="214">
        <v>8750</v>
      </c>
      <c r="K112" s="214">
        <v>1000</v>
      </c>
      <c r="L112" s="214"/>
      <c r="M112" s="214"/>
      <c r="N112" s="214"/>
      <c r="O112" s="214"/>
      <c r="P112" s="214"/>
      <c r="Q112" s="214"/>
      <c r="R112" s="214">
        <v>2000</v>
      </c>
      <c r="S112" s="214"/>
      <c r="T112" s="214"/>
      <c r="U112" s="214"/>
      <c r="V112" s="214"/>
      <c r="W112" s="214">
        <v>60000</v>
      </c>
      <c r="X112" s="214">
        <v>50000</v>
      </c>
      <c r="Y112" s="245">
        <f t="shared" si="13"/>
        <v>1259800</v>
      </c>
      <c r="Z112" s="201"/>
    </row>
    <row r="113" spans="1:26" ht="13.5" customHeight="1" x14ac:dyDescent="0.25">
      <c r="A113" s="212" t="s">
        <v>138</v>
      </c>
      <c r="B113" s="213">
        <v>45136</v>
      </c>
      <c r="C113" s="214"/>
      <c r="D113" s="214"/>
      <c r="E113" s="214">
        <f>16500+26700+5000+20000+26000+9300+17000+1000</f>
        <v>121500</v>
      </c>
      <c r="F113" s="214"/>
      <c r="G113" s="214">
        <f>16500+7600+19400+8500+13500</f>
        <v>65500</v>
      </c>
      <c r="H113" s="214"/>
      <c r="I113" s="214"/>
      <c r="J113" s="214">
        <v>5250</v>
      </c>
      <c r="K113" s="214">
        <v>1000</v>
      </c>
      <c r="L113" s="214"/>
      <c r="M113" s="214"/>
      <c r="N113" s="214"/>
      <c r="O113" s="214"/>
      <c r="P113" s="214"/>
      <c r="Q113" s="214"/>
      <c r="R113" s="214"/>
      <c r="S113" s="214">
        <f>3000+9000</f>
        <v>12000</v>
      </c>
      <c r="T113" s="214"/>
      <c r="U113" s="214"/>
      <c r="V113" s="214"/>
      <c r="W113" s="214"/>
      <c r="X113" s="214"/>
      <c r="Y113" s="245">
        <f t="shared" si="13"/>
        <v>205250</v>
      </c>
      <c r="Z113" s="201"/>
    </row>
    <row r="114" spans="1:26" ht="14.25" customHeight="1" x14ac:dyDescent="0.25">
      <c r="A114" s="218" t="s">
        <v>139</v>
      </c>
      <c r="B114" s="219">
        <v>45137</v>
      </c>
      <c r="C114" s="220"/>
      <c r="D114" s="220">
        <v>92000</v>
      </c>
      <c r="E114" s="220">
        <f>13400+22500+18000+1400+5000+8500+1400+8000+26600+1000</f>
        <v>105800</v>
      </c>
      <c r="F114" s="220"/>
      <c r="G114" s="220">
        <f>29400</f>
        <v>29400</v>
      </c>
      <c r="H114" s="220">
        <v>1499150</v>
      </c>
      <c r="I114" s="220"/>
      <c r="J114" s="220">
        <v>3500</v>
      </c>
      <c r="K114" s="220">
        <v>1000</v>
      </c>
      <c r="L114" s="220">
        <v>150000</v>
      </c>
      <c r="M114" s="220">
        <f>50000</f>
        <v>50000</v>
      </c>
      <c r="N114" s="220"/>
      <c r="O114" s="220"/>
      <c r="P114" s="220"/>
      <c r="Q114" s="220"/>
      <c r="R114" s="220"/>
      <c r="S114" s="220">
        <v>3000</v>
      </c>
      <c r="T114" s="220"/>
      <c r="U114" s="220">
        <v>5000</v>
      </c>
      <c r="V114" s="220">
        <v>31000</v>
      </c>
      <c r="W114" s="220">
        <v>45000</v>
      </c>
      <c r="X114" s="220"/>
      <c r="Y114" s="245">
        <f t="shared" si="13"/>
        <v>2014850</v>
      </c>
      <c r="Z114" s="201"/>
    </row>
    <row r="115" spans="1:26" ht="15" customHeight="1" x14ac:dyDescent="0.25">
      <c r="A115" s="268" t="s">
        <v>140</v>
      </c>
      <c r="B115" s="269">
        <v>45138</v>
      </c>
      <c r="C115" s="270"/>
      <c r="D115" s="270"/>
      <c r="E115" s="270">
        <f>22000+12000+5000+43100+12500+2800+23000+9450+12150</f>
        <v>142000</v>
      </c>
      <c r="F115" s="270"/>
      <c r="G115" s="270">
        <f>33750+392500</f>
        <v>426250</v>
      </c>
      <c r="H115" s="270"/>
      <c r="I115" s="270"/>
      <c r="J115" s="270">
        <v>1000</v>
      </c>
      <c r="K115" s="270">
        <v>1000</v>
      </c>
      <c r="L115" s="270"/>
      <c r="M115" s="270"/>
      <c r="N115" s="270"/>
      <c r="O115" s="270"/>
      <c r="P115" s="270"/>
      <c r="Q115" s="270">
        <v>200000</v>
      </c>
      <c r="R115" s="270"/>
      <c r="S115" s="270">
        <f>9000+2000</f>
        <v>11000</v>
      </c>
      <c r="T115" s="270"/>
      <c r="U115" s="270">
        <v>800</v>
      </c>
      <c r="V115" s="270"/>
      <c r="W115" s="270">
        <v>29000</v>
      </c>
      <c r="X115" s="270"/>
      <c r="Y115" s="246">
        <f t="shared" si="13"/>
        <v>811050</v>
      </c>
      <c r="Z115" s="201"/>
    </row>
    <row r="116" spans="1:26" ht="14.25" customHeight="1" x14ac:dyDescent="0.25">
      <c r="A116" s="254" t="s">
        <v>145</v>
      </c>
      <c r="B116" s="231"/>
      <c r="C116" s="232">
        <f t="shared" ref="C116:X116" si="14">SUM(C85:C115)</f>
        <v>100000</v>
      </c>
      <c r="D116" s="232">
        <f t="shared" si="14"/>
        <v>782000</v>
      </c>
      <c r="E116" s="232">
        <f t="shared" si="14"/>
        <v>2945575</v>
      </c>
      <c r="F116" s="232">
        <f t="shared" si="14"/>
        <v>102000</v>
      </c>
      <c r="G116" s="232">
        <f t="shared" si="14"/>
        <v>4565750</v>
      </c>
      <c r="H116" s="232">
        <f t="shared" si="14"/>
        <v>6962800</v>
      </c>
      <c r="I116" s="232">
        <f t="shared" si="14"/>
        <v>0</v>
      </c>
      <c r="J116" s="232">
        <f t="shared" si="14"/>
        <v>112500</v>
      </c>
      <c r="K116" s="232">
        <f t="shared" si="14"/>
        <v>24000</v>
      </c>
      <c r="L116" s="232">
        <f t="shared" si="14"/>
        <v>630000</v>
      </c>
      <c r="M116" s="232">
        <f t="shared" si="14"/>
        <v>50000</v>
      </c>
      <c r="N116" s="232">
        <f t="shared" si="14"/>
        <v>500000</v>
      </c>
      <c r="O116" s="232">
        <f t="shared" si="14"/>
        <v>9000</v>
      </c>
      <c r="P116" s="232">
        <f t="shared" si="14"/>
        <v>0</v>
      </c>
      <c r="Q116" s="232">
        <f t="shared" si="14"/>
        <v>200000</v>
      </c>
      <c r="R116" s="232">
        <f t="shared" si="14"/>
        <v>127600</v>
      </c>
      <c r="S116" s="232">
        <f t="shared" si="14"/>
        <v>268600</v>
      </c>
      <c r="T116" s="232">
        <f t="shared" si="14"/>
        <v>62900</v>
      </c>
      <c r="U116" s="232">
        <f t="shared" si="14"/>
        <v>14225</v>
      </c>
      <c r="V116" s="232">
        <f t="shared" si="14"/>
        <v>99000</v>
      </c>
      <c r="W116" s="232">
        <f t="shared" si="14"/>
        <v>830800</v>
      </c>
      <c r="X116" s="232">
        <f t="shared" si="14"/>
        <v>328500</v>
      </c>
      <c r="Y116" s="233">
        <f>SUM(Y84:Y115)</f>
        <v>18715250</v>
      </c>
      <c r="Z116" s="201"/>
    </row>
    <row r="117" spans="1:26" ht="13.5" customHeight="1" x14ac:dyDescent="0.25">
      <c r="A117" s="255" t="s">
        <v>40</v>
      </c>
      <c r="B117" s="235"/>
      <c r="C117" s="236">
        <f t="shared" ref="C117:X117" si="15">C116/$Y$116</f>
        <v>5.3432361309627176E-3</v>
      </c>
      <c r="D117" s="236">
        <f t="shared" si="15"/>
        <v>4.1784106544128452E-2</v>
      </c>
      <c r="E117" s="236">
        <f t="shared" si="15"/>
        <v>0.15738902766460508</v>
      </c>
      <c r="F117" s="236">
        <f t="shared" si="15"/>
        <v>5.4501008535819719E-3</v>
      </c>
      <c r="G117" s="236">
        <f t="shared" si="15"/>
        <v>0.24395880364943029</v>
      </c>
      <c r="H117" s="236">
        <f t="shared" si="15"/>
        <v>0.37203884532667209</v>
      </c>
      <c r="I117" s="236">
        <f t="shared" si="15"/>
        <v>0</v>
      </c>
      <c r="J117" s="236">
        <f t="shared" si="15"/>
        <v>6.0111406473330568E-3</v>
      </c>
      <c r="K117" s="236">
        <f t="shared" si="15"/>
        <v>1.2823766714310523E-3</v>
      </c>
      <c r="L117" s="236">
        <f t="shared" si="15"/>
        <v>3.366238762506512E-2</v>
      </c>
      <c r="M117" s="236">
        <f t="shared" si="15"/>
        <v>2.6716180654813588E-3</v>
      </c>
      <c r="N117" s="236">
        <f t="shared" si="15"/>
        <v>2.6716180654813588E-2</v>
      </c>
      <c r="O117" s="236">
        <f t="shared" si="15"/>
        <v>4.8089125178664459E-4</v>
      </c>
      <c r="P117" s="236">
        <f t="shared" si="15"/>
        <v>0</v>
      </c>
      <c r="Q117" s="236">
        <f t="shared" si="15"/>
        <v>1.0686472261925435E-2</v>
      </c>
      <c r="R117" s="236">
        <f t="shared" si="15"/>
        <v>6.8179693031084274E-3</v>
      </c>
      <c r="S117" s="236">
        <f t="shared" si="15"/>
        <v>1.4351932247765859E-2</v>
      </c>
      <c r="T117" s="236">
        <f t="shared" si="15"/>
        <v>3.3608955263755495E-3</v>
      </c>
      <c r="U117" s="236">
        <f t="shared" si="15"/>
        <v>7.6007533962944656E-4</v>
      </c>
      <c r="V117" s="236">
        <f t="shared" si="15"/>
        <v>5.2898037696530904E-3</v>
      </c>
      <c r="W117" s="236">
        <f t="shared" si="15"/>
        <v>4.4391605776038255E-2</v>
      </c>
      <c r="X117" s="236">
        <f t="shared" si="15"/>
        <v>1.7552530690212526E-2</v>
      </c>
      <c r="Y117" s="256"/>
      <c r="Z117" s="201"/>
    </row>
    <row r="118" spans="1:26" ht="14.25" customHeight="1" x14ac:dyDescent="0.25">
      <c r="A118" s="257" t="s">
        <v>147</v>
      </c>
      <c r="B118" s="258"/>
      <c r="C118" s="260" t="str">
        <f t="shared" ref="C118:X118" si="16">IF(C82&gt;0,C116/C81-1,"")</f>
        <v/>
      </c>
      <c r="D118" s="259">
        <f t="shared" si="16"/>
        <v>0.87260536398467425</v>
      </c>
      <c r="E118" s="259">
        <f t="shared" si="16"/>
        <v>0.16938941601492719</v>
      </c>
      <c r="F118" s="259">
        <f t="shared" si="16"/>
        <v>4.0999999999999996</v>
      </c>
      <c r="G118" s="259">
        <f t="shared" si="16"/>
        <v>1.3139396396624687</v>
      </c>
      <c r="H118" s="259">
        <f t="shared" si="16"/>
        <v>1.0908367490953861</v>
      </c>
      <c r="I118" s="260" t="str">
        <f t="shared" si="16"/>
        <v/>
      </c>
      <c r="J118" s="259">
        <f t="shared" si="16"/>
        <v>1.5801354401805856E-2</v>
      </c>
      <c r="K118" s="259">
        <f t="shared" si="16"/>
        <v>2.1276595744680771E-2</v>
      </c>
      <c r="L118" s="259">
        <f t="shared" si="16"/>
        <v>0.3125</v>
      </c>
      <c r="M118" s="260" t="str">
        <f t="shared" si="16"/>
        <v/>
      </c>
      <c r="N118" s="259">
        <f t="shared" si="16"/>
        <v>-9.0909090909090939E-2</v>
      </c>
      <c r="O118" s="259">
        <f t="shared" si="16"/>
        <v>-0.25</v>
      </c>
      <c r="P118" s="259">
        <f t="shared" si="16"/>
        <v>-1</v>
      </c>
      <c r="Q118" s="259">
        <f t="shared" si="16"/>
        <v>0</v>
      </c>
      <c r="R118" s="259">
        <f t="shared" si="16"/>
        <v>1.6418219461697721</v>
      </c>
      <c r="S118" s="259">
        <f t="shared" si="16"/>
        <v>0.33698357391737188</v>
      </c>
      <c r="T118" s="259">
        <f t="shared" si="16"/>
        <v>2.2931937172774868</v>
      </c>
      <c r="U118" s="259">
        <f t="shared" si="16"/>
        <v>-0.84281767955801101</v>
      </c>
      <c r="V118" s="259">
        <f t="shared" si="16"/>
        <v>-0.17500000000000004</v>
      </c>
      <c r="W118" s="259">
        <f t="shared" si="16"/>
        <v>-0.29623041084286317</v>
      </c>
      <c r="X118" s="259">
        <f t="shared" si="16"/>
        <v>-0.58496525584333536</v>
      </c>
      <c r="Y118" s="261">
        <f>IF(Y81&gt;0,Y116/Y81-1,"")</f>
        <v>0.53632247975471703</v>
      </c>
      <c r="Z118" s="201"/>
    </row>
    <row r="119" spans="1:26" ht="15.75" customHeight="1" x14ac:dyDescent="0.25">
      <c r="A119" s="271"/>
      <c r="B119" s="271"/>
      <c r="C119" s="271"/>
      <c r="D119" s="271"/>
      <c r="E119" s="271"/>
      <c r="F119" s="271"/>
      <c r="G119" s="271"/>
      <c r="H119" s="271"/>
      <c r="I119" s="271"/>
      <c r="J119" s="271"/>
      <c r="K119" s="271"/>
      <c r="L119" s="271"/>
      <c r="M119" s="271"/>
      <c r="N119" s="271"/>
      <c r="O119" s="271"/>
      <c r="P119" s="271"/>
      <c r="Q119" s="271"/>
      <c r="R119" s="271"/>
      <c r="S119" s="271"/>
      <c r="T119" s="271"/>
      <c r="U119" s="271"/>
      <c r="V119" s="271"/>
      <c r="W119" s="271"/>
      <c r="X119" s="271"/>
      <c r="Y119" s="271"/>
      <c r="Z119" s="271"/>
    </row>
    <row r="120" spans="1:26" ht="15.75" customHeight="1" x14ac:dyDescent="0.25">
      <c r="A120" s="271"/>
      <c r="B120" s="271"/>
      <c r="C120" s="271"/>
      <c r="D120" s="271"/>
      <c r="E120" s="271"/>
      <c r="F120" s="271"/>
      <c r="G120" s="271"/>
      <c r="H120" s="271"/>
      <c r="I120" s="271"/>
      <c r="J120" s="271"/>
      <c r="K120" s="271"/>
      <c r="L120" s="271"/>
      <c r="M120" s="271"/>
      <c r="N120" s="271"/>
      <c r="O120" s="271"/>
      <c r="P120" s="271"/>
      <c r="Q120" s="271"/>
      <c r="R120" s="271"/>
      <c r="S120" s="271"/>
      <c r="T120" s="271"/>
      <c r="U120" s="271"/>
      <c r="V120" s="271"/>
      <c r="W120" s="271"/>
      <c r="X120" s="271"/>
      <c r="Y120" s="271"/>
      <c r="Z120" s="271"/>
    </row>
    <row r="121" spans="1:26" ht="15.75" customHeight="1" x14ac:dyDescent="0.25">
      <c r="A121" s="271"/>
      <c r="B121" s="271"/>
      <c r="C121" s="271"/>
      <c r="D121" s="271"/>
      <c r="E121" s="271"/>
      <c r="F121" s="271"/>
      <c r="G121" s="271"/>
      <c r="H121" s="271"/>
      <c r="I121" s="271"/>
      <c r="J121" s="271"/>
      <c r="K121" s="271"/>
      <c r="L121" s="271"/>
      <c r="M121" s="271"/>
      <c r="N121" s="271"/>
      <c r="O121" s="271"/>
      <c r="P121" s="271"/>
      <c r="Q121" s="271"/>
      <c r="R121" s="271"/>
      <c r="S121" s="271"/>
      <c r="T121" s="271"/>
      <c r="U121" s="271"/>
      <c r="V121" s="271"/>
      <c r="W121" s="271"/>
      <c r="X121" s="271"/>
      <c r="Y121" s="271"/>
      <c r="Z121" s="271"/>
    </row>
    <row r="122" spans="1:26" ht="15.75" customHeight="1" x14ac:dyDescent="0.25">
      <c r="A122" s="271"/>
      <c r="B122" s="271"/>
      <c r="C122" s="271"/>
      <c r="D122" s="271"/>
      <c r="E122" s="271"/>
      <c r="F122" s="271"/>
      <c r="G122" s="271"/>
      <c r="H122" s="271"/>
      <c r="I122" s="271"/>
      <c r="J122" s="271"/>
      <c r="K122" s="271"/>
      <c r="L122" s="271"/>
      <c r="M122" s="271"/>
      <c r="N122" s="271"/>
      <c r="O122" s="271"/>
      <c r="P122" s="271"/>
      <c r="Q122" s="271"/>
      <c r="R122" s="271"/>
      <c r="S122" s="271"/>
      <c r="T122" s="271"/>
      <c r="U122" s="271"/>
      <c r="V122" s="271"/>
      <c r="W122" s="271"/>
      <c r="X122" s="271"/>
      <c r="Y122" s="271"/>
      <c r="Z122" s="271"/>
    </row>
    <row r="123" spans="1:26" ht="15.75" customHeight="1" x14ac:dyDescent="0.25">
      <c r="A123" s="271"/>
      <c r="B123" s="271"/>
      <c r="C123" s="271"/>
      <c r="D123" s="271"/>
      <c r="E123" s="271"/>
      <c r="F123" s="271"/>
      <c r="G123" s="271"/>
      <c r="H123" s="271"/>
      <c r="I123" s="271"/>
      <c r="J123" s="271"/>
      <c r="K123" s="271"/>
      <c r="L123" s="271"/>
      <c r="M123" s="271"/>
      <c r="N123" s="271"/>
      <c r="O123" s="271"/>
      <c r="P123" s="271"/>
      <c r="Q123" s="271"/>
      <c r="R123" s="271"/>
      <c r="S123" s="271"/>
      <c r="T123" s="271"/>
      <c r="U123" s="271"/>
      <c r="V123" s="271"/>
      <c r="W123" s="271"/>
      <c r="X123" s="271"/>
      <c r="Y123" s="271"/>
      <c r="Z123" s="271"/>
    </row>
    <row r="124" spans="1:26" ht="15.75" customHeight="1" x14ac:dyDescent="0.25">
      <c r="A124" s="271"/>
      <c r="B124" s="271"/>
      <c r="C124" s="271"/>
      <c r="D124" s="271"/>
      <c r="E124" s="271"/>
      <c r="F124" s="271"/>
      <c r="G124" s="271"/>
      <c r="H124" s="271"/>
      <c r="I124" s="271"/>
      <c r="J124" s="271"/>
      <c r="K124" s="271"/>
      <c r="L124" s="271"/>
      <c r="M124" s="271"/>
      <c r="N124" s="271"/>
      <c r="O124" s="271"/>
      <c r="P124" s="271"/>
      <c r="Q124" s="271"/>
      <c r="R124" s="271"/>
      <c r="S124" s="271"/>
      <c r="T124" s="271"/>
      <c r="U124" s="271"/>
      <c r="V124" s="271"/>
      <c r="W124" s="271"/>
      <c r="X124" s="271"/>
      <c r="Y124" s="271"/>
      <c r="Z124" s="271"/>
    </row>
    <row r="125" spans="1:26" ht="15.75" customHeight="1" x14ac:dyDescent="0.25">
      <c r="A125" s="271"/>
      <c r="B125" s="271"/>
      <c r="C125" s="271"/>
      <c r="D125" s="271"/>
      <c r="E125" s="271"/>
      <c r="F125" s="271"/>
      <c r="G125" s="271"/>
      <c r="H125" s="271"/>
      <c r="I125" s="271"/>
      <c r="J125" s="271"/>
      <c r="K125" s="271"/>
      <c r="L125" s="271"/>
      <c r="M125" s="271"/>
      <c r="N125" s="271"/>
      <c r="O125" s="271"/>
      <c r="P125" s="271"/>
      <c r="Q125" s="271"/>
      <c r="R125" s="271"/>
      <c r="S125" s="271"/>
      <c r="T125" s="271"/>
      <c r="U125" s="271"/>
      <c r="V125" s="271"/>
      <c r="W125" s="271"/>
      <c r="X125" s="271"/>
      <c r="Y125" s="271"/>
      <c r="Z125" s="271"/>
    </row>
    <row r="126" spans="1:26" ht="15.75" customHeight="1" x14ac:dyDescent="0.25">
      <c r="A126" s="271"/>
      <c r="B126" s="271"/>
      <c r="C126" s="271"/>
      <c r="D126" s="271"/>
      <c r="E126" s="271"/>
      <c r="F126" s="271"/>
      <c r="G126" s="271"/>
      <c r="H126" s="271"/>
      <c r="I126" s="271"/>
      <c r="J126" s="271"/>
      <c r="K126" s="271"/>
      <c r="L126" s="271"/>
      <c r="M126" s="271"/>
      <c r="N126" s="271"/>
      <c r="O126" s="271"/>
      <c r="P126" s="271"/>
      <c r="Q126" s="271"/>
      <c r="R126" s="271"/>
      <c r="S126" s="271"/>
      <c r="T126" s="271"/>
      <c r="U126" s="271"/>
      <c r="V126" s="271"/>
      <c r="W126" s="271"/>
      <c r="X126" s="271"/>
      <c r="Y126" s="271"/>
      <c r="Z126" s="271"/>
    </row>
    <row r="127" spans="1:26" ht="15.75" customHeight="1" x14ac:dyDescent="0.25">
      <c r="A127" s="271"/>
      <c r="B127" s="271"/>
      <c r="C127" s="271"/>
      <c r="D127" s="271"/>
      <c r="E127" s="271"/>
      <c r="F127" s="271"/>
      <c r="G127" s="271"/>
      <c r="H127" s="271"/>
      <c r="I127" s="271"/>
      <c r="J127" s="271"/>
      <c r="K127" s="271"/>
      <c r="L127" s="271"/>
      <c r="M127" s="271"/>
      <c r="N127" s="271"/>
      <c r="O127" s="271"/>
      <c r="P127" s="271"/>
      <c r="Q127" s="271"/>
      <c r="R127" s="271"/>
      <c r="S127" s="271"/>
      <c r="T127" s="271"/>
      <c r="U127" s="271"/>
      <c r="V127" s="271"/>
      <c r="W127" s="271"/>
      <c r="X127" s="271"/>
      <c r="Y127" s="271"/>
      <c r="Z127" s="271"/>
    </row>
    <row r="128" spans="1:26" ht="15.75" customHeight="1" x14ac:dyDescent="0.25">
      <c r="A128" s="271"/>
      <c r="B128" s="271"/>
      <c r="C128" s="271"/>
      <c r="D128" s="271"/>
      <c r="E128" s="271"/>
      <c r="F128" s="271"/>
      <c r="G128" s="271"/>
      <c r="H128" s="271"/>
      <c r="I128" s="271"/>
      <c r="J128" s="271"/>
      <c r="K128" s="271"/>
      <c r="L128" s="271"/>
      <c r="M128" s="271"/>
      <c r="N128" s="271"/>
      <c r="O128" s="271"/>
      <c r="P128" s="271"/>
      <c r="Q128" s="271"/>
      <c r="R128" s="271"/>
      <c r="S128" s="271"/>
      <c r="T128" s="271"/>
      <c r="U128" s="271"/>
      <c r="V128" s="271"/>
      <c r="W128" s="271"/>
      <c r="X128" s="271"/>
      <c r="Y128" s="271"/>
      <c r="Z128" s="271"/>
    </row>
    <row r="129" spans="1:26" ht="15.75" customHeight="1" x14ac:dyDescent="0.25">
      <c r="A129" s="271"/>
      <c r="B129" s="271"/>
      <c r="C129" s="271"/>
      <c r="D129" s="271"/>
      <c r="E129" s="271"/>
      <c r="F129" s="271"/>
      <c r="G129" s="271"/>
      <c r="H129" s="271"/>
      <c r="I129" s="271"/>
      <c r="J129" s="271"/>
      <c r="K129" s="271"/>
      <c r="L129" s="271"/>
      <c r="M129" s="271"/>
      <c r="N129" s="271"/>
      <c r="O129" s="271"/>
      <c r="P129" s="271"/>
      <c r="Q129" s="271"/>
      <c r="R129" s="271"/>
      <c r="S129" s="271"/>
      <c r="T129" s="271"/>
      <c r="U129" s="271"/>
      <c r="V129" s="271"/>
      <c r="W129" s="271"/>
      <c r="X129" s="271"/>
      <c r="Y129" s="271"/>
      <c r="Z129" s="271"/>
    </row>
    <row r="130" spans="1:26" ht="15.75" customHeight="1" x14ac:dyDescent="0.25">
      <c r="A130" s="271"/>
      <c r="B130" s="271"/>
      <c r="C130" s="271"/>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c r="Z130" s="271"/>
    </row>
    <row r="131" spans="1:26" ht="15.75" customHeight="1" x14ac:dyDescent="0.25">
      <c r="A131" s="271"/>
      <c r="B131" s="271"/>
      <c r="C131" s="271"/>
      <c r="D131" s="271"/>
      <c r="E131" s="271"/>
      <c r="F131" s="271"/>
      <c r="G131" s="271"/>
      <c r="H131" s="271"/>
      <c r="I131" s="271"/>
      <c r="J131" s="271"/>
      <c r="K131" s="271"/>
      <c r="L131" s="271"/>
      <c r="M131" s="271"/>
      <c r="N131" s="271"/>
      <c r="O131" s="271"/>
      <c r="P131" s="271"/>
      <c r="Q131" s="271"/>
      <c r="R131" s="271"/>
      <c r="S131" s="271"/>
      <c r="T131" s="271"/>
      <c r="U131" s="271"/>
      <c r="V131" s="271"/>
      <c r="W131" s="271"/>
      <c r="X131" s="271"/>
      <c r="Y131" s="271"/>
      <c r="Z131" s="271"/>
    </row>
    <row r="132" spans="1:26" ht="15.75" customHeight="1" x14ac:dyDescent="0.25">
      <c r="A132" s="271"/>
      <c r="B132" s="271"/>
      <c r="C132" s="271"/>
      <c r="D132" s="271"/>
      <c r="E132" s="271"/>
      <c r="F132" s="271"/>
      <c r="G132" s="271"/>
      <c r="H132" s="271"/>
      <c r="I132" s="271"/>
      <c r="J132" s="271"/>
      <c r="K132" s="271"/>
      <c r="L132" s="271"/>
      <c r="M132" s="271"/>
      <c r="N132" s="271"/>
      <c r="O132" s="271"/>
      <c r="P132" s="271"/>
      <c r="Q132" s="271"/>
      <c r="R132" s="271"/>
      <c r="S132" s="271"/>
      <c r="T132" s="271"/>
      <c r="U132" s="271"/>
      <c r="V132" s="271"/>
      <c r="W132" s="271"/>
      <c r="X132" s="271"/>
      <c r="Y132" s="271"/>
      <c r="Z132" s="271"/>
    </row>
    <row r="133" spans="1:26" ht="15.75" customHeight="1" x14ac:dyDescent="0.25">
      <c r="A133" s="271"/>
      <c r="B133" s="271"/>
      <c r="C133" s="271"/>
      <c r="D133" s="271"/>
      <c r="E133" s="271"/>
      <c r="F133" s="271"/>
      <c r="G133" s="271"/>
      <c r="H133" s="271"/>
      <c r="I133" s="271"/>
      <c r="J133" s="271"/>
      <c r="K133" s="271"/>
      <c r="L133" s="271"/>
      <c r="M133" s="271"/>
      <c r="N133" s="271"/>
      <c r="O133" s="271"/>
      <c r="P133" s="271"/>
      <c r="Q133" s="271"/>
      <c r="R133" s="271"/>
      <c r="S133" s="271"/>
      <c r="T133" s="271"/>
      <c r="U133" s="271"/>
      <c r="V133" s="271"/>
      <c r="W133" s="271"/>
      <c r="X133" s="271"/>
      <c r="Y133" s="271"/>
      <c r="Z133" s="271"/>
    </row>
    <row r="134" spans="1:26" ht="15.75" customHeight="1" x14ac:dyDescent="0.25">
      <c r="A134" s="271"/>
      <c r="B134" s="271"/>
      <c r="C134" s="271"/>
      <c r="D134" s="271"/>
      <c r="E134" s="271"/>
      <c r="F134" s="271"/>
      <c r="G134" s="271"/>
      <c r="H134" s="271"/>
      <c r="I134" s="271"/>
      <c r="J134" s="271"/>
      <c r="K134" s="271"/>
      <c r="L134" s="271"/>
      <c r="M134" s="271"/>
      <c r="N134" s="271"/>
      <c r="O134" s="271"/>
      <c r="P134" s="271"/>
      <c r="Q134" s="271"/>
      <c r="R134" s="271"/>
      <c r="S134" s="271"/>
      <c r="T134" s="271"/>
      <c r="U134" s="271"/>
      <c r="V134" s="271"/>
      <c r="W134" s="271"/>
      <c r="X134" s="271"/>
      <c r="Y134" s="271"/>
      <c r="Z134" s="271"/>
    </row>
    <row r="135" spans="1:26" ht="15.75" customHeight="1" x14ac:dyDescent="0.25">
      <c r="A135" s="271"/>
      <c r="B135" s="271"/>
      <c r="C135" s="271"/>
      <c r="D135" s="271"/>
      <c r="E135" s="271"/>
      <c r="F135" s="271"/>
      <c r="G135" s="271"/>
      <c r="H135" s="271"/>
      <c r="I135" s="271"/>
      <c r="J135" s="271"/>
      <c r="K135" s="271"/>
      <c r="L135" s="271"/>
      <c r="M135" s="271"/>
      <c r="N135" s="271"/>
      <c r="O135" s="271"/>
      <c r="P135" s="271"/>
      <c r="Q135" s="271"/>
      <c r="R135" s="271"/>
      <c r="S135" s="271"/>
      <c r="T135" s="271"/>
      <c r="U135" s="271"/>
      <c r="V135" s="271"/>
      <c r="W135" s="271"/>
      <c r="X135" s="271"/>
      <c r="Y135" s="271"/>
      <c r="Z135" s="271"/>
    </row>
    <row r="136" spans="1:26" ht="15.75" customHeight="1" x14ac:dyDescent="0.25">
      <c r="A136" s="271"/>
      <c r="B136" s="271"/>
      <c r="C136" s="271"/>
      <c r="D136" s="271"/>
      <c r="E136" s="271"/>
      <c r="F136" s="271"/>
      <c r="G136" s="271"/>
      <c r="H136" s="271"/>
      <c r="I136" s="271"/>
      <c r="J136" s="271"/>
      <c r="K136" s="271"/>
      <c r="L136" s="271"/>
      <c r="M136" s="271"/>
      <c r="N136" s="271"/>
      <c r="O136" s="271"/>
      <c r="P136" s="271"/>
      <c r="Q136" s="271"/>
      <c r="R136" s="271"/>
      <c r="S136" s="271"/>
      <c r="T136" s="271"/>
      <c r="U136" s="271"/>
      <c r="V136" s="271"/>
      <c r="W136" s="271"/>
      <c r="X136" s="271"/>
      <c r="Y136" s="271"/>
      <c r="Z136" s="271"/>
    </row>
    <row r="137" spans="1:26" ht="15.75" customHeight="1" x14ac:dyDescent="0.25">
      <c r="A137" s="271"/>
      <c r="B137" s="271"/>
      <c r="C137" s="271"/>
      <c r="D137" s="271"/>
      <c r="E137" s="271"/>
      <c r="F137" s="271"/>
      <c r="G137" s="271"/>
      <c r="H137" s="271"/>
      <c r="I137" s="271"/>
      <c r="J137" s="271"/>
      <c r="K137" s="271"/>
      <c r="L137" s="271"/>
      <c r="M137" s="271"/>
      <c r="N137" s="271"/>
      <c r="O137" s="271"/>
      <c r="P137" s="271"/>
      <c r="Q137" s="271"/>
      <c r="R137" s="271"/>
      <c r="S137" s="271"/>
      <c r="T137" s="271"/>
      <c r="U137" s="271"/>
      <c r="V137" s="271"/>
      <c r="W137" s="271"/>
      <c r="X137" s="271"/>
      <c r="Y137" s="271"/>
      <c r="Z137" s="271"/>
    </row>
    <row r="138" spans="1:26" ht="15.75" customHeight="1" x14ac:dyDescent="0.25">
      <c r="A138" s="271"/>
      <c r="B138" s="271"/>
      <c r="C138" s="271"/>
      <c r="D138" s="271"/>
      <c r="E138" s="271"/>
      <c r="F138" s="271"/>
      <c r="G138" s="271"/>
      <c r="H138" s="271"/>
      <c r="I138" s="271"/>
      <c r="J138" s="271"/>
      <c r="K138" s="271"/>
      <c r="L138" s="271"/>
      <c r="M138" s="271"/>
      <c r="N138" s="271"/>
      <c r="O138" s="271"/>
      <c r="P138" s="271"/>
      <c r="Q138" s="271"/>
      <c r="R138" s="271"/>
      <c r="S138" s="271"/>
      <c r="T138" s="271"/>
      <c r="U138" s="271"/>
      <c r="V138" s="271"/>
      <c r="W138" s="271"/>
      <c r="X138" s="271"/>
      <c r="Y138" s="271"/>
      <c r="Z138" s="271"/>
    </row>
    <row r="139" spans="1:26" ht="15.75" customHeight="1" x14ac:dyDescent="0.25">
      <c r="A139" s="271"/>
      <c r="B139" s="271"/>
      <c r="C139" s="271"/>
      <c r="D139" s="271"/>
      <c r="E139" s="271"/>
      <c r="F139" s="271"/>
      <c r="G139" s="271"/>
      <c r="H139" s="271"/>
      <c r="I139" s="271"/>
      <c r="J139" s="271"/>
      <c r="K139" s="271"/>
      <c r="L139" s="271"/>
      <c r="M139" s="271"/>
      <c r="N139" s="271"/>
      <c r="O139" s="271"/>
      <c r="P139" s="271"/>
      <c r="Q139" s="271"/>
      <c r="R139" s="271"/>
      <c r="S139" s="271"/>
      <c r="T139" s="271"/>
      <c r="U139" s="271"/>
      <c r="V139" s="271"/>
      <c r="W139" s="271"/>
      <c r="X139" s="271"/>
      <c r="Y139" s="271"/>
      <c r="Z139" s="271"/>
    </row>
    <row r="140" spans="1:26" ht="15.75" customHeight="1" x14ac:dyDescent="0.25">
      <c r="A140" s="271"/>
      <c r="B140" s="271"/>
      <c r="C140" s="271"/>
      <c r="D140" s="271"/>
      <c r="E140" s="271"/>
      <c r="F140" s="271"/>
      <c r="G140" s="271"/>
      <c r="H140" s="271"/>
      <c r="I140" s="271"/>
      <c r="J140" s="271"/>
      <c r="K140" s="271"/>
      <c r="L140" s="271"/>
      <c r="M140" s="271"/>
      <c r="N140" s="271"/>
      <c r="O140" s="271"/>
      <c r="P140" s="271"/>
      <c r="Q140" s="271"/>
      <c r="R140" s="271"/>
      <c r="S140" s="271"/>
      <c r="T140" s="271"/>
      <c r="U140" s="271"/>
      <c r="V140" s="271"/>
      <c r="W140" s="271"/>
      <c r="X140" s="271"/>
      <c r="Y140" s="271"/>
      <c r="Z140" s="271"/>
    </row>
    <row r="141" spans="1:26" ht="15.75" customHeight="1" x14ac:dyDescent="0.25">
      <c r="A141" s="271"/>
      <c r="B141" s="271"/>
      <c r="C141" s="271"/>
      <c r="D141" s="271"/>
      <c r="E141" s="271"/>
      <c r="F141" s="271"/>
      <c r="G141" s="271"/>
      <c r="H141" s="271"/>
      <c r="I141" s="271"/>
      <c r="J141" s="271"/>
      <c r="K141" s="271"/>
      <c r="L141" s="271"/>
      <c r="M141" s="271"/>
      <c r="N141" s="271"/>
      <c r="O141" s="271"/>
      <c r="P141" s="271"/>
      <c r="Q141" s="271"/>
      <c r="R141" s="271"/>
      <c r="S141" s="271"/>
      <c r="T141" s="271"/>
      <c r="U141" s="271"/>
      <c r="V141" s="271"/>
      <c r="W141" s="271"/>
      <c r="X141" s="271"/>
      <c r="Y141" s="271"/>
      <c r="Z141" s="271"/>
    </row>
    <row r="142" spans="1:26" ht="15.75" customHeight="1" x14ac:dyDescent="0.25">
      <c r="A142" s="271"/>
      <c r="B142" s="271"/>
      <c r="C142" s="271"/>
      <c r="D142" s="271"/>
      <c r="E142" s="271"/>
      <c r="F142" s="271"/>
      <c r="G142" s="271"/>
      <c r="H142" s="271"/>
      <c r="I142" s="271"/>
      <c r="J142" s="271"/>
      <c r="K142" s="271"/>
      <c r="L142" s="271"/>
      <c r="M142" s="271"/>
      <c r="N142" s="271"/>
      <c r="O142" s="271"/>
      <c r="P142" s="271"/>
      <c r="Q142" s="271"/>
      <c r="R142" s="271"/>
      <c r="S142" s="271"/>
      <c r="T142" s="271"/>
      <c r="U142" s="271"/>
      <c r="V142" s="271"/>
      <c r="W142" s="271"/>
      <c r="X142" s="271"/>
      <c r="Y142" s="271"/>
      <c r="Z142" s="271"/>
    </row>
    <row r="143" spans="1:26" ht="15.75" customHeight="1" x14ac:dyDescent="0.25">
      <c r="A143" s="271"/>
      <c r="B143" s="271"/>
      <c r="C143" s="271"/>
      <c r="D143" s="271"/>
      <c r="E143" s="271"/>
      <c r="F143" s="271"/>
      <c r="G143" s="271"/>
      <c r="H143" s="271"/>
      <c r="I143" s="271"/>
      <c r="J143" s="271"/>
      <c r="K143" s="271"/>
      <c r="L143" s="271"/>
      <c r="M143" s="271"/>
      <c r="N143" s="271"/>
      <c r="O143" s="271"/>
      <c r="P143" s="271"/>
      <c r="Q143" s="271"/>
      <c r="R143" s="271"/>
      <c r="S143" s="271"/>
      <c r="T143" s="271"/>
      <c r="U143" s="271"/>
      <c r="V143" s="271"/>
      <c r="W143" s="271"/>
      <c r="X143" s="271"/>
      <c r="Y143" s="271"/>
      <c r="Z143" s="271"/>
    </row>
    <row r="144" spans="1:26" ht="15.75" customHeight="1" x14ac:dyDescent="0.25">
      <c r="A144" s="271"/>
      <c r="B144" s="271"/>
      <c r="C144" s="271"/>
      <c r="D144" s="271"/>
      <c r="E144" s="271"/>
      <c r="F144" s="271"/>
      <c r="G144" s="271"/>
      <c r="H144" s="271"/>
      <c r="I144" s="271"/>
      <c r="J144" s="271"/>
      <c r="K144" s="271"/>
      <c r="L144" s="271"/>
      <c r="M144" s="271"/>
      <c r="N144" s="271"/>
      <c r="O144" s="271"/>
      <c r="P144" s="271"/>
      <c r="Q144" s="271"/>
      <c r="R144" s="271"/>
      <c r="S144" s="271"/>
      <c r="T144" s="271"/>
      <c r="U144" s="271"/>
      <c r="V144" s="271"/>
      <c r="W144" s="271"/>
      <c r="X144" s="271"/>
      <c r="Y144" s="271"/>
      <c r="Z144" s="271"/>
    </row>
    <row r="145" spans="1:26" ht="15.75" customHeight="1" x14ac:dyDescent="0.25">
      <c r="A145" s="271"/>
      <c r="B145" s="271"/>
      <c r="C145" s="271"/>
      <c r="D145" s="271"/>
      <c r="E145" s="271"/>
      <c r="F145" s="271"/>
      <c r="G145" s="271"/>
      <c r="H145" s="271"/>
      <c r="I145" s="271"/>
      <c r="J145" s="271"/>
      <c r="K145" s="271"/>
      <c r="L145" s="271"/>
      <c r="M145" s="271"/>
      <c r="N145" s="271"/>
      <c r="O145" s="271"/>
      <c r="P145" s="271"/>
      <c r="Q145" s="271"/>
      <c r="R145" s="271"/>
      <c r="S145" s="271"/>
      <c r="T145" s="271"/>
      <c r="U145" s="271"/>
      <c r="V145" s="271"/>
      <c r="W145" s="271"/>
      <c r="X145" s="271"/>
      <c r="Y145" s="271"/>
      <c r="Z145" s="271"/>
    </row>
    <row r="146" spans="1:26" ht="15.75" customHeight="1" x14ac:dyDescent="0.25">
      <c r="A146" s="271"/>
      <c r="B146" s="271"/>
      <c r="C146" s="271"/>
      <c r="D146" s="271"/>
      <c r="E146" s="271"/>
      <c r="F146" s="271"/>
      <c r="G146" s="271"/>
      <c r="H146" s="271"/>
      <c r="I146" s="271"/>
      <c r="J146" s="271"/>
      <c r="K146" s="271"/>
      <c r="L146" s="271"/>
      <c r="M146" s="271"/>
      <c r="N146" s="271"/>
      <c r="O146" s="271"/>
      <c r="P146" s="271"/>
      <c r="Q146" s="271"/>
      <c r="R146" s="271"/>
      <c r="S146" s="271"/>
      <c r="T146" s="271"/>
      <c r="U146" s="271"/>
      <c r="V146" s="271"/>
      <c r="W146" s="271"/>
      <c r="X146" s="271"/>
      <c r="Y146" s="271"/>
      <c r="Z146" s="271"/>
    </row>
    <row r="147" spans="1:26" ht="15.75" customHeight="1" x14ac:dyDescent="0.25">
      <c r="A147" s="271"/>
      <c r="B147" s="271"/>
      <c r="C147" s="271"/>
      <c r="D147" s="271"/>
      <c r="E147" s="271"/>
      <c r="F147" s="271"/>
      <c r="G147" s="271"/>
      <c r="H147" s="271"/>
      <c r="I147" s="271"/>
      <c r="J147" s="271"/>
      <c r="K147" s="271"/>
      <c r="L147" s="271"/>
      <c r="M147" s="271"/>
      <c r="N147" s="271"/>
      <c r="O147" s="271"/>
      <c r="P147" s="271"/>
      <c r="Q147" s="271"/>
      <c r="R147" s="271"/>
      <c r="S147" s="271"/>
      <c r="T147" s="271"/>
      <c r="U147" s="271"/>
      <c r="V147" s="271"/>
      <c r="W147" s="271"/>
      <c r="X147" s="271"/>
      <c r="Y147" s="271"/>
      <c r="Z147" s="271"/>
    </row>
    <row r="148" spans="1:26" ht="15.75" customHeight="1" x14ac:dyDescent="0.25">
      <c r="A148" s="271"/>
      <c r="B148" s="271"/>
      <c r="C148" s="271"/>
      <c r="D148" s="271"/>
      <c r="E148" s="271"/>
      <c r="F148" s="271"/>
      <c r="G148" s="271"/>
      <c r="H148" s="271"/>
      <c r="I148" s="271"/>
      <c r="J148" s="271"/>
      <c r="K148" s="271"/>
      <c r="L148" s="271"/>
      <c r="M148" s="271"/>
      <c r="N148" s="271"/>
      <c r="O148" s="271"/>
      <c r="P148" s="271"/>
      <c r="Q148" s="271"/>
      <c r="R148" s="271"/>
      <c r="S148" s="271"/>
      <c r="T148" s="271"/>
      <c r="U148" s="271"/>
      <c r="V148" s="271"/>
      <c r="W148" s="271"/>
      <c r="X148" s="271"/>
      <c r="Y148" s="271"/>
      <c r="Z148" s="271"/>
    </row>
    <row r="149" spans="1:26" ht="15.75" customHeight="1" x14ac:dyDescent="0.25">
      <c r="A149" s="271"/>
      <c r="B149" s="271"/>
      <c r="C149" s="271"/>
      <c r="D149" s="271"/>
      <c r="E149" s="271"/>
      <c r="F149" s="271"/>
      <c r="G149" s="271"/>
      <c r="H149" s="271"/>
      <c r="I149" s="271"/>
      <c r="J149" s="271"/>
      <c r="K149" s="271"/>
      <c r="L149" s="271"/>
      <c r="M149" s="271"/>
      <c r="N149" s="271"/>
      <c r="O149" s="271"/>
      <c r="P149" s="271"/>
      <c r="Q149" s="271"/>
      <c r="R149" s="271"/>
      <c r="S149" s="271"/>
      <c r="T149" s="271"/>
      <c r="U149" s="271"/>
      <c r="V149" s="271"/>
      <c r="W149" s="271"/>
      <c r="X149" s="271"/>
      <c r="Y149" s="271"/>
      <c r="Z149" s="271"/>
    </row>
    <row r="150" spans="1:26" ht="15.75" customHeight="1" x14ac:dyDescent="0.25">
      <c r="A150" s="271"/>
      <c r="B150" s="271"/>
      <c r="C150" s="271"/>
      <c r="D150" s="271"/>
      <c r="E150" s="271"/>
      <c r="F150" s="271"/>
      <c r="G150" s="271"/>
      <c r="H150" s="271"/>
      <c r="I150" s="271"/>
      <c r="J150" s="271"/>
      <c r="K150" s="271"/>
      <c r="L150" s="271"/>
      <c r="M150" s="271"/>
      <c r="N150" s="271"/>
      <c r="O150" s="271"/>
      <c r="P150" s="271"/>
      <c r="Q150" s="271"/>
      <c r="R150" s="271"/>
      <c r="S150" s="271"/>
      <c r="T150" s="271"/>
      <c r="U150" s="271"/>
      <c r="V150" s="271"/>
      <c r="W150" s="271"/>
      <c r="X150" s="271"/>
      <c r="Y150" s="271"/>
      <c r="Z150" s="271"/>
    </row>
    <row r="151" spans="1:26" ht="15.75" customHeight="1" x14ac:dyDescent="0.25">
      <c r="A151" s="271"/>
      <c r="B151" s="271"/>
      <c r="C151" s="271"/>
      <c r="D151" s="271"/>
      <c r="E151" s="271"/>
      <c r="F151" s="271"/>
      <c r="G151" s="271"/>
      <c r="H151" s="271"/>
      <c r="I151" s="271"/>
      <c r="J151" s="271"/>
      <c r="K151" s="271"/>
      <c r="L151" s="271"/>
      <c r="M151" s="271"/>
      <c r="N151" s="271"/>
      <c r="O151" s="271"/>
      <c r="P151" s="271"/>
      <c r="Q151" s="271"/>
      <c r="R151" s="271"/>
      <c r="S151" s="271"/>
      <c r="T151" s="271"/>
      <c r="U151" s="271"/>
      <c r="V151" s="271"/>
      <c r="W151" s="271"/>
      <c r="X151" s="271"/>
      <c r="Y151" s="271"/>
      <c r="Z151" s="271"/>
    </row>
    <row r="152" spans="1:26" ht="15.75" customHeight="1" x14ac:dyDescent="0.25">
      <c r="A152" s="271"/>
      <c r="B152" s="271"/>
      <c r="C152" s="271"/>
      <c r="D152" s="271"/>
      <c r="E152" s="271"/>
      <c r="F152" s="271"/>
      <c r="G152" s="271"/>
      <c r="H152" s="271"/>
      <c r="I152" s="271"/>
      <c r="J152" s="271"/>
      <c r="K152" s="271"/>
      <c r="L152" s="271"/>
      <c r="M152" s="271"/>
      <c r="N152" s="271"/>
      <c r="O152" s="271"/>
      <c r="P152" s="271"/>
      <c r="Q152" s="271"/>
      <c r="R152" s="271"/>
      <c r="S152" s="271"/>
      <c r="T152" s="271"/>
      <c r="U152" s="271"/>
      <c r="V152" s="271"/>
      <c r="W152" s="271"/>
      <c r="X152" s="271"/>
      <c r="Y152" s="271"/>
      <c r="Z152" s="271"/>
    </row>
    <row r="153" spans="1:26" ht="15.75" customHeight="1" x14ac:dyDescent="0.25">
      <c r="A153" s="271"/>
      <c r="B153" s="271"/>
      <c r="C153" s="271"/>
      <c r="D153" s="271"/>
      <c r="E153" s="271"/>
      <c r="F153" s="271"/>
      <c r="G153" s="271"/>
      <c r="H153" s="271"/>
      <c r="I153" s="271"/>
      <c r="J153" s="271"/>
      <c r="K153" s="271"/>
      <c r="L153" s="271"/>
      <c r="M153" s="271"/>
      <c r="N153" s="271"/>
      <c r="O153" s="271"/>
      <c r="P153" s="271"/>
      <c r="Q153" s="271"/>
      <c r="R153" s="271"/>
      <c r="S153" s="271"/>
      <c r="T153" s="271"/>
      <c r="U153" s="271"/>
      <c r="V153" s="271"/>
      <c r="W153" s="271"/>
      <c r="X153" s="271"/>
      <c r="Y153" s="271"/>
      <c r="Z153" s="271"/>
    </row>
    <row r="154" spans="1:26" ht="15.75" customHeight="1" x14ac:dyDescent="0.25">
      <c r="A154" s="271"/>
      <c r="B154" s="271"/>
      <c r="C154" s="271"/>
      <c r="D154" s="271"/>
      <c r="E154" s="271"/>
      <c r="F154" s="271"/>
      <c r="G154" s="271"/>
      <c r="H154" s="271"/>
      <c r="I154" s="271"/>
      <c r="J154" s="271"/>
      <c r="K154" s="271"/>
      <c r="L154" s="271"/>
      <c r="M154" s="271"/>
      <c r="N154" s="271"/>
      <c r="O154" s="271"/>
      <c r="P154" s="271"/>
      <c r="Q154" s="271"/>
      <c r="R154" s="271"/>
      <c r="S154" s="271"/>
      <c r="T154" s="271"/>
      <c r="U154" s="271"/>
      <c r="V154" s="271"/>
      <c r="W154" s="271"/>
      <c r="X154" s="271"/>
      <c r="Y154" s="271"/>
      <c r="Z154" s="271"/>
    </row>
    <row r="155" spans="1:26" ht="15.75" customHeight="1" x14ac:dyDescent="0.25">
      <c r="A155" s="271"/>
      <c r="B155" s="271"/>
      <c r="C155" s="271"/>
      <c r="D155" s="271"/>
      <c r="E155" s="271"/>
      <c r="F155" s="271"/>
      <c r="G155" s="271"/>
      <c r="H155" s="271"/>
      <c r="I155" s="271"/>
      <c r="J155" s="271"/>
      <c r="K155" s="271"/>
      <c r="L155" s="271"/>
      <c r="M155" s="271"/>
      <c r="N155" s="271"/>
      <c r="O155" s="271"/>
      <c r="P155" s="271"/>
      <c r="Q155" s="271"/>
      <c r="R155" s="271"/>
      <c r="S155" s="271"/>
      <c r="T155" s="271"/>
      <c r="U155" s="271"/>
      <c r="V155" s="271"/>
      <c r="W155" s="271"/>
      <c r="X155" s="271"/>
      <c r="Y155" s="271"/>
      <c r="Z155" s="271"/>
    </row>
    <row r="156" spans="1:26" ht="15.75" customHeight="1" x14ac:dyDescent="0.25">
      <c r="A156" s="271"/>
      <c r="B156" s="271"/>
      <c r="C156" s="271"/>
      <c r="D156" s="271"/>
      <c r="E156" s="271"/>
      <c r="F156" s="271"/>
      <c r="G156" s="271"/>
      <c r="H156" s="271"/>
      <c r="I156" s="271"/>
      <c r="J156" s="271"/>
      <c r="K156" s="271"/>
      <c r="L156" s="271"/>
      <c r="M156" s="271"/>
      <c r="N156" s="271"/>
      <c r="O156" s="271"/>
      <c r="P156" s="271"/>
      <c r="Q156" s="271"/>
      <c r="R156" s="271"/>
      <c r="S156" s="271"/>
      <c r="T156" s="271"/>
      <c r="U156" s="271"/>
      <c r="V156" s="271"/>
      <c r="W156" s="271"/>
      <c r="X156" s="271"/>
      <c r="Y156" s="271"/>
      <c r="Z156" s="271"/>
    </row>
    <row r="157" spans="1:26" ht="15.75" customHeight="1" x14ac:dyDescent="0.25">
      <c r="A157" s="271"/>
      <c r="B157" s="271"/>
      <c r="C157" s="271"/>
      <c r="D157" s="271"/>
      <c r="E157" s="271"/>
      <c r="F157" s="271"/>
      <c r="G157" s="271"/>
      <c r="H157" s="271"/>
      <c r="I157" s="271"/>
      <c r="J157" s="271"/>
      <c r="K157" s="271"/>
      <c r="L157" s="271"/>
      <c r="M157" s="271"/>
      <c r="N157" s="271"/>
      <c r="O157" s="271"/>
      <c r="P157" s="271"/>
      <c r="Q157" s="271"/>
      <c r="R157" s="271"/>
      <c r="S157" s="271"/>
      <c r="T157" s="271"/>
      <c r="U157" s="271"/>
      <c r="V157" s="271"/>
      <c r="W157" s="271"/>
      <c r="X157" s="271"/>
      <c r="Y157" s="271"/>
      <c r="Z157" s="271"/>
    </row>
    <row r="158" spans="1:26" ht="15.75" customHeight="1" x14ac:dyDescent="0.25">
      <c r="A158" s="271"/>
      <c r="B158" s="271"/>
      <c r="C158" s="271"/>
      <c r="D158" s="271"/>
      <c r="E158" s="271"/>
      <c r="F158" s="271"/>
      <c r="G158" s="271"/>
      <c r="H158" s="271"/>
      <c r="I158" s="271"/>
      <c r="J158" s="271"/>
      <c r="K158" s="271"/>
      <c r="L158" s="271"/>
      <c r="M158" s="271"/>
      <c r="N158" s="271"/>
      <c r="O158" s="271"/>
      <c r="P158" s="271"/>
      <c r="Q158" s="271"/>
      <c r="R158" s="271"/>
      <c r="S158" s="271"/>
      <c r="T158" s="271"/>
      <c r="U158" s="271"/>
      <c r="V158" s="271"/>
      <c r="W158" s="271"/>
      <c r="X158" s="271"/>
      <c r="Y158" s="271"/>
      <c r="Z158" s="271"/>
    </row>
    <row r="159" spans="1:26" ht="15.75" customHeight="1" x14ac:dyDescent="0.25">
      <c r="A159" s="271"/>
      <c r="B159" s="271"/>
      <c r="C159" s="271"/>
      <c r="D159" s="271"/>
      <c r="E159" s="271"/>
      <c r="F159" s="271"/>
      <c r="G159" s="271"/>
      <c r="H159" s="271"/>
      <c r="I159" s="271"/>
      <c r="J159" s="271"/>
      <c r="K159" s="271"/>
      <c r="L159" s="271"/>
      <c r="M159" s="271"/>
      <c r="N159" s="271"/>
      <c r="O159" s="271"/>
      <c r="P159" s="271"/>
      <c r="Q159" s="271"/>
      <c r="R159" s="271"/>
      <c r="S159" s="271"/>
      <c r="T159" s="271"/>
      <c r="U159" s="271"/>
      <c r="V159" s="271"/>
      <c r="W159" s="271"/>
      <c r="X159" s="271"/>
      <c r="Y159" s="271"/>
      <c r="Z159" s="271"/>
    </row>
    <row r="160" spans="1:26" ht="15.75" customHeight="1" x14ac:dyDescent="0.25">
      <c r="A160" s="271"/>
      <c r="B160" s="271"/>
      <c r="C160" s="271"/>
      <c r="D160" s="271"/>
      <c r="E160" s="271"/>
      <c r="F160" s="271"/>
      <c r="G160" s="271"/>
      <c r="H160" s="271"/>
      <c r="I160" s="271"/>
      <c r="J160" s="271"/>
      <c r="K160" s="271"/>
      <c r="L160" s="271"/>
      <c r="M160" s="271"/>
      <c r="N160" s="271"/>
      <c r="O160" s="271"/>
      <c r="P160" s="271"/>
      <c r="Q160" s="271"/>
      <c r="R160" s="271"/>
      <c r="S160" s="271"/>
      <c r="T160" s="271"/>
      <c r="U160" s="271"/>
      <c r="V160" s="271"/>
      <c r="W160" s="271"/>
      <c r="X160" s="271"/>
      <c r="Y160" s="271"/>
      <c r="Z160" s="271"/>
    </row>
    <row r="161" spans="1:26" ht="15.75" customHeight="1" x14ac:dyDescent="0.25">
      <c r="A161" s="271"/>
      <c r="B161" s="271"/>
      <c r="C161" s="271"/>
      <c r="D161" s="271"/>
      <c r="E161" s="271"/>
      <c r="F161" s="271"/>
      <c r="G161" s="271"/>
      <c r="H161" s="271"/>
      <c r="I161" s="271"/>
      <c r="J161" s="271"/>
      <c r="K161" s="271"/>
      <c r="L161" s="271"/>
      <c r="M161" s="271"/>
      <c r="N161" s="271"/>
      <c r="O161" s="271"/>
      <c r="P161" s="271"/>
      <c r="Q161" s="271"/>
      <c r="R161" s="271"/>
      <c r="S161" s="271"/>
      <c r="T161" s="271"/>
      <c r="U161" s="271"/>
      <c r="V161" s="271"/>
      <c r="W161" s="271"/>
      <c r="X161" s="271"/>
      <c r="Y161" s="271"/>
      <c r="Z161" s="271"/>
    </row>
    <row r="162" spans="1:26" ht="15.75" customHeight="1" x14ac:dyDescent="0.25">
      <c r="A162" s="271"/>
      <c r="B162" s="271"/>
      <c r="C162" s="271"/>
      <c r="D162" s="271"/>
      <c r="E162" s="271"/>
      <c r="F162" s="271"/>
      <c r="G162" s="271"/>
      <c r="H162" s="271"/>
      <c r="I162" s="271"/>
      <c r="J162" s="271"/>
      <c r="K162" s="271"/>
      <c r="L162" s="271"/>
      <c r="M162" s="271"/>
      <c r="N162" s="271"/>
      <c r="O162" s="271"/>
      <c r="P162" s="271"/>
      <c r="Q162" s="271"/>
      <c r="R162" s="271"/>
      <c r="S162" s="271"/>
      <c r="T162" s="271"/>
      <c r="U162" s="271"/>
      <c r="V162" s="271"/>
      <c r="W162" s="271"/>
      <c r="X162" s="271"/>
      <c r="Y162" s="271"/>
      <c r="Z162" s="271"/>
    </row>
    <row r="163" spans="1:26" ht="15.75" customHeight="1" x14ac:dyDescent="0.25">
      <c r="A163" s="271"/>
      <c r="B163" s="271"/>
      <c r="C163" s="271"/>
      <c r="D163" s="271"/>
      <c r="E163" s="271"/>
      <c r="F163" s="271"/>
      <c r="G163" s="271"/>
      <c r="H163" s="271"/>
      <c r="I163" s="271"/>
      <c r="J163" s="271"/>
      <c r="K163" s="271"/>
      <c r="L163" s="271"/>
      <c r="M163" s="271"/>
      <c r="N163" s="271"/>
      <c r="O163" s="271"/>
      <c r="P163" s="271"/>
      <c r="Q163" s="271"/>
      <c r="R163" s="271"/>
      <c r="S163" s="271"/>
      <c r="T163" s="271"/>
      <c r="U163" s="271"/>
      <c r="V163" s="271"/>
      <c r="W163" s="271"/>
      <c r="X163" s="271"/>
      <c r="Y163" s="271"/>
      <c r="Z163" s="271"/>
    </row>
    <row r="164" spans="1:26" ht="15.75" customHeight="1" x14ac:dyDescent="0.25">
      <c r="A164" s="271"/>
      <c r="B164" s="271"/>
      <c r="C164" s="271"/>
      <c r="D164" s="271"/>
      <c r="E164" s="271"/>
      <c r="F164" s="271"/>
      <c r="G164" s="271"/>
      <c r="H164" s="271"/>
      <c r="I164" s="271"/>
      <c r="J164" s="271"/>
      <c r="K164" s="271"/>
      <c r="L164" s="271"/>
      <c r="M164" s="271"/>
      <c r="N164" s="271"/>
      <c r="O164" s="271"/>
      <c r="P164" s="271"/>
      <c r="Q164" s="271"/>
      <c r="R164" s="271"/>
      <c r="S164" s="271"/>
      <c r="T164" s="271"/>
      <c r="U164" s="271"/>
      <c r="V164" s="271"/>
      <c r="W164" s="271"/>
      <c r="X164" s="271"/>
      <c r="Y164" s="271"/>
      <c r="Z164" s="271"/>
    </row>
    <row r="165" spans="1:26" ht="15.75" customHeight="1" x14ac:dyDescent="0.25">
      <c r="A165" s="271"/>
      <c r="B165" s="271"/>
      <c r="C165" s="271"/>
      <c r="D165" s="271"/>
      <c r="E165" s="271"/>
      <c r="F165" s="271"/>
      <c r="G165" s="271"/>
      <c r="H165" s="271"/>
      <c r="I165" s="271"/>
      <c r="J165" s="271"/>
      <c r="K165" s="271"/>
      <c r="L165" s="271"/>
      <c r="M165" s="271"/>
      <c r="N165" s="271"/>
      <c r="O165" s="271"/>
      <c r="P165" s="271"/>
      <c r="Q165" s="271"/>
      <c r="R165" s="271"/>
      <c r="S165" s="271"/>
      <c r="T165" s="271"/>
      <c r="U165" s="271"/>
      <c r="V165" s="271"/>
      <c r="W165" s="271"/>
      <c r="X165" s="271"/>
      <c r="Y165" s="271"/>
      <c r="Z165" s="271"/>
    </row>
    <row r="166" spans="1:26" ht="15.75" customHeight="1" x14ac:dyDescent="0.25">
      <c r="A166" s="271"/>
      <c r="B166" s="271"/>
      <c r="C166" s="271"/>
      <c r="D166" s="271"/>
      <c r="E166" s="271"/>
      <c r="F166" s="271"/>
      <c r="G166" s="271"/>
      <c r="H166" s="271"/>
      <c r="I166" s="271"/>
      <c r="J166" s="271"/>
      <c r="K166" s="271"/>
      <c r="L166" s="271"/>
      <c r="M166" s="271"/>
      <c r="N166" s="271"/>
      <c r="O166" s="271"/>
      <c r="P166" s="271"/>
      <c r="Q166" s="271"/>
      <c r="R166" s="271"/>
      <c r="S166" s="271"/>
      <c r="T166" s="271"/>
      <c r="U166" s="271"/>
      <c r="V166" s="271"/>
      <c r="W166" s="271"/>
      <c r="X166" s="271"/>
      <c r="Y166" s="271"/>
      <c r="Z166" s="271"/>
    </row>
    <row r="167" spans="1:26" ht="15.75" customHeight="1" x14ac:dyDescent="0.25">
      <c r="A167" s="271"/>
      <c r="B167" s="271"/>
      <c r="C167" s="271"/>
      <c r="D167" s="271"/>
      <c r="E167" s="271"/>
      <c r="F167" s="271"/>
      <c r="G167" s="271"/>
      <c r="H167" s="271"/>
      <c r="I167" s="271"/>
      <c r="J167" s="271"/>
      <c r="K167" s="271"/>
      <c r="L167" s="271"/>
      <c r="M167" s="271"/>
      <c r="N167" s="271"/>
      <c r="O167" s="271"/>
      <c r="P167" s="271"/>
      <c r="Q167" s="271"/>
      <c r="R167" s="271"/>
      <c r="S167" s="271"/>
      <c r="T167" s="271"/>
      <c r="U167" s="271"/>
      <c r="V167" s="271"/>
      <c r="W167" s="271"/>
      <c r="X167" s="271"/>
      <c r="Y167" s="271"/>
      <c r="Z167" s="271"/>
    </row>
    <row r="168" spans="1:26" ht="15.75" customHeight="1" x14ac:dyDescent="0.25">
      <c r="A168" s="271"/>
      <c r="B168" s="271"/>
      <c r="C168" s="271"/>
      <c r="D168" s="271"/>
      <c r="E168" s="271"/>
      <c r="F168" s="271"/>
      <c r="G168" s="271"/>
      <c r="H168" s="271"/>
      <c r="I168" s="271"/>
      <c r="J168" s="271"/>
      <c r="K168" s="271"/>
      <c r="L168" s="271"/>
      <c r="M168" s="271"/>
      <c r="N168" s="271"/>
      <c r="O168" s="271"/>
      <c r="P168" s="271"/>
      <c r="Q168" s="271"/>
      <c r="R168" s="271"/>
      <c r="S168" s="271"/>
      <c r="T168" s="271"/>
      <c r="U168" s="271"/>
      <c r="V168" s="271"/>
      <c r="W168" s="271"/>
      <c r="X168" s="271"/>
      <c r="Y168" s="271"/>
      <c r="Z168" s="271"/>
    </row>
    <row r="169" spans="1:26" ht="15.75" customHeight="1" x14ac:dyDescent="0.25">
      <c r="A169" s="271"/>
      <c r="B169" s="271"/>
      <c r="C169" s="271"/>
      <c r="D169" s="271"/>
      <c r="E169" s="271"/>
      <c r="F169" s="271"/>
      <c r="G169" s="271"/>
      <c r="H169" s="271"/>
      <c r="I169" s="271"/>
      <c r="J169" s="271"/>
      <c r="K169" s="271"/>
      <c r="L169" s="271"/>
      <c r="M169" s="271"/>
      <c r="N169" s="271"/>
      <c r="O169" s="271"/>
      <c r="P169" s="271"/>
      <c r="Q169" s="271"/>
      <c r="R169" s="271"/>
      <c r="S169" s="271"/>
      <c r="T169" s="271"/>
      <c r="U169" s="271"/>
      <c r="V169" s="271"/>
      <c r="W169" s="271"/>
      <c r="X169" s="271"/>
      <c r="Y169" s="271"/>
      <c r="Z169" s="271"/>
    </row>
    <row r="170" spans="1:26" ht="15.75" customHeight="1" x14ac:dyDescent="0.25">
      <c r="A170" s="271"/>
      <c r="B170" s="271"/>
      <c r="C170" s="271"/>
      <c r="D170" s="271"/>
      <c r="E170" s="271"/>
      <c r="F170" s="271"/>
      <c r="G170" s="271"/>
      <c r="H170" s="271"/>
      <c r="I170" s="271"/>
      <c r="J170" s="271"/>
      <c r="K170" s="271"/>
      <c r="L170" s="271"/>
      <c r="M170" s="271"/>
      <c r="N170" s="271"/>
      <c r="O170" s="271"/>
      <c r="P170" s="271"/>
      <c r="Q170" s="271"/>
      <c r="R170" s="271"/>
      <c r="S170" s="271"/>
      <c r="T170" s="271"/>
      <c r="U170" s="271"/>
      <c r="V170" s="271"/>
      <c r="W170" s="271"/>
      <c r="X170" s="271"/>
      <c r="Y170" s="271"/>
      <c r="Z170" s="271"/>
    </row>
    <row r="171" spans="1:26" ht="15.75" customHeight="1" x14ac:dyDescent="0.25">
      <c r="A171" s="271"/>
      <c r="B171" s="271"/>
      <c r="C171" s="271"/>
      <c r="D171" s="271"/>
      <c r="E171" s="271"/>
      <c r="F171" s="271"/>
      <c r="G171" s="271"/>
      <c r="H171" s="271"/>
      <c r="I171" s="271"/>
      <c r="J171" s="271"/>
      <c r="K171" s="271"/>
      <c r="L171" s="271"/>
      <c r="M171" s="271"/>
      <c r="N171" s="271"/>
      <c r="O171" s="271"/>
      <c r="P171" s="271"/>
      <c r="Q171" s="271"/>
      <c r="R171" s="271"/>
      <c r="S171" s="271"/>
      <c r="T171" s="271"/>
      <c r="U171" s="271"/>
      <c r="V171" s="271"/>
      <c r="W171" s="271"/>
      <c r="X171" s="271"/>
      <c r="Y171" s="271"/>
      <c r="Z171" s="271"/>
    </row>
    <row r="172" spans="1:26" ht="15.75" customHeight="1" x14ac:dyDescent="0.25">
      <c r="A172" s="271"/>
      <c r="B172" s="271"/>
      <c r="C172" s="271"/>
      <c r="D172" s="271"/>
      <c r="E172" s="271"/>
      <c r="F172" s="271"/>
      <c r="G172" s="271"/>
      <c r="H172" s="271"/>
      <c r="I172" s="271"/>
      <c r="J172" s="271"/>
      <c r="K172" s="271"/>
      <c r="L172" s="271"/>
      <c r="M172" s="271"/>
      <c r="N172" s="271"/>
      <c r="O172" s="271"/>
      <c r="P172" s="271"/>
      <c r="Q172" s="271"/>
      <c r="R172" s="271"/>
      <c r="S172" s="271"/>
      <c r="T172" s="271"/>
      <c r="U172" s="271"/>
      <c r="V172" s="271"/>
      <c r="W172" s="271"/>
      <c r="X172" s="271"/>
      <c r="Y172" s="271"/>
      <c r="Z172" s="271"/>
    </row>
    <row r="173" spans="1:26" ht="15.75" customHeight="1" x14ac:dyDescent="0.25">
      <c r="A173" s="271"/>
      <c r="B173" s="271"/>
      <c r="C173" s="271"/>
      <c r="D173" s="271"/>
      <c r="E173" s="271"/>
      <c r="F173" s="271"/>
      <c r="G173" s="271"/>
      <c r="H173" s="271"/>
      <c r="I173" s="271"/>
      <c r="J173" s="271"/>
      <c r="K173" s="271"/>
      <c r="L173" s="271"/>
      <c r="M173" s="271"/>
      <c r="N173" s="271"/>
      <c r="O173" s="271"/>
      <c r="P173" s="271"/>
      <c r="Q173" s="271"/>
      <c r="R173" s="271"/>
      <c r="S173" s="271"/>
      <c r="T173" s="271"/>
      <c r="U173" s="271"/>
      <c r="V173" s="271"/>
      <c r="W173" s="271"/>
      <c r="X173" s="271"/>
      <c r="Y173" s="271"/>
      <c r="Z173" s="271"/>
    </row>
    <row r="174" spans="1:26" ht="15.75" customHeight="1" x14ac:dyDescent="0.25">
      <c r="A174" s="271"/>
      <c r="B174" s="271"/>
      <c r="C174" s="271"/>
      <c r="D174" s="271"/>
      <c r="E174" s="271"/>
      <c r="F174" s="271"/>
      <c r="G174" s="271"/>
      <c r="H174" s="271"/>
      <c r="I174" s="271"/>
      <c r="J174" s="271"/>
      <c r="K174" s="271"/>
      <c r="L174" s="271"/>
      <c r="M174" s="271"/>
      <c r="N174" s="271"/>
      <c r="O174" s="271"/>
      <c r="P174" s="271"/>
      <c r="Q174" s="271"/>
      <c r="R174" s="271"/>
      <c r="S174" s="271"/>
      <c r="T174" s="271"/>
      <c r="U174" s="271"/>
      <c r="V174" s="271"/>
      <c r="W174" s="271"/>
      <c r="X174" s="271"/>
      <c r="Y174" s="271"/>
      <c r="Z174" s="271"/>
    </row>
    <row r="175" spans="1:26" ht="15.75" customHeight="1" x14ac:dyDescent="0.25">
      <c r="A175" s="271"/>
      <c r="B175" s="271"/>
      <c r="C175" s="271"/>
      <c r="D175" s="271"/>
      <c r="E175" s="271"/>
      <c r="F175" s="271"/>
      <c r="G175" s="271"/>
      <c r="H175" s="271"/>
      <c r="I175" s="271"/>
      <c r="J175" s="271"/>
      <c r="K175" s="271"/>
      <c r="L175" s="271"/>
      <c r="M175" s="271"/>
      <c r="N175" s="271"/>
      <c r="O175" s="271"/>
      <c r="P175" s="271"/>
      <c r="Q175" s="271"/>
      <c r="R175" s="271"/>
      <c r="S175" s="271"/>
      <c r="T175" s="271"/>
      <c r="U175" s="271"/>
      <c r="V175" s="271"/>
      <c r="W175" s="271"/>
      <c r="X175" s="271"/>
      <c r="Y175" s="271"/>
      <c r="Z175" s="271"/>
    </row>
    <row r="176" spans="1:26" ht="15.75" customHeight="1" x14ac:dyDescent="0.25">
      <c r="A176" s="271"/>
      <c r="B176" s="271"/>
      <c r="C176" s="271"/>
      <c r="D176" s="271"/>
      <c r="E176" s="271"/>
      <c r="F176" s="271"/>
      <c r="G176" s="271"/>
      <c r="H176" s="271"/>
      <c r="I176" s="271"/>
      <c r="J176" s="271"/>
      <c r="K176" s="271"/>
      <c r="L176" s="271"/>
      <c r="M176" s="271"/>
      <c r="N176" s="271"/>
      <c r="O176" s="271"/>
      <c r="P176" s="271"/>
      <c r="Q176" s="271"/>
      <c r="R176" s="271"/>
      <c r="S176" s="271"/>
      <c r="T176" s="271"/>
      <c r="U176" s="271"/>
      <c r="V176" s="271"/>
      <c r="W176" s="271"/>
      <c r="X176" s="271"/>
      <c r="Y176" s="271"/>
      <c r="Z176" s="271"/>
    </row>
    <row r="177" spans="1:26" ht="15.75" customHeight="1" x14ac:dyDescent="0.25">
      <c r="A177" s="271"/>
      <c r="B177" s="271"/>
      <c r="C177" s="271"/>
      <c r="D177" s="271"/>
      <c r="E177" s="271"/>
      <c r="F177" s="271"/>
      <c r="G177" s="271"/>
      <c r="H177" s="271"/>
      <c r="I177" s="271"/>
      <c r="J177" s="271"/>
      <c r="K177" s="271"/>
      <c r="L177" s="271"/>
      <c r="M177" s="271"/>
      <c r="N177" s="271"/>
      <c r="O177" s="271"/>
      <c r="P177" s="271"/>
      <c r="Q177" s="271"/>
      <c r="R177" s="271"/>
      <c r="S177" s="271"/>
      <c r="T177" s="271"/>
      <c r="U177" s="271"/>
      <c r="V177" s="271"/>
      <c r="W177" s="271"/>
      <c r="X177" s="271"/>
      <c r="Y177" s="271"/>
      <c r="Z177" s="271"/>
    </row>
    <row r="178" spans="1:26" ht="15.75" customHeight="1" x14ac:dyDescent="0.25">
      <c r="A178" s="271"/>
      <c r="B178" s="271"/>
      <c r="C178" s="271"/>
      <c r="D178" s="271"/>
      <c r="E178" s="271"/>
      <c r="F178" s="271"/>
      <c r="G178" s="271"/>
      <c r="H178" s="271"/>
      <c r="I178" s="271"/>
      <c r="J178" s="271"/>
      <c r="K178" s="271"/>
      <c r="L178" s="271"/>
      <c r="M178" s="271"/>
      <c r="N178" s="271"/>
      <c r="O178" s="271"/>
      <c r="P178" s="271"/>
      <c r="Q178" s="271"/>
      <c r="R178" s="271"/>
      <c r="S178" s="271"/>
      <c r="T178" s="271"/>
      <c r="U178" s="271"/>
      <c r="V178" s="271"/>
      <c r="W178" s="271"/>
      <c r="X178" s="271"/>
      <c r="Y178" s="271"/>
      <c r="Z178" s="271"/>
    </row>
    <row r="179" spans="1:26" ht="15.75" customHeight="1" x14ac:dyDescent="0.25">
      <c r="A179" s="271"/>
      <c r="B179" s="271"/>
      <c r="C179" s="271"/>
      <c r="D179" s="271"/>
      <c r="E179" s="271"/>
      <c r="F179" s="271"/>
      <c r="G179" s="271"/>
      <c r="H179" s="271"/>
      <c r="I179" s="271"/>
      <c r="J179" s="271"/>
      <c r="K179" s="271"/>
      <c r="L179" s="271"/>
      <c r="M179" s="271"/>
      <c r="N179" s="271"/>
      <c r="O179" s="271"/>
      <c r="P179" s="271"/>
      <c r="Q179" s="271"/>
      <c r="R179" s="271"/>
      <c r="S179" s="271"/>
      <c r="T179" s="271"/>
      <c r="U179" s="271"/>
      <c r="V179" s="271"/>
      <c r="W179" s="271"/>
      <c r="X179" s="271"/>
      <c r="Y179" s="271"/>
      <c r="Z179" s="271"/>
    </row>
    <row r="180" spans="1:26" ht="15.75" customHeight="1" x14ac:dyDescent="0.25">
      <c r="A180" s="271"/>
      <c r="B180" s="271"/>
      <c r="C180" s="271"/>
      <c r="D180" s="271"/>
      <c r="E180" s="271"/>
      <c r="F180" s="271"/>
      <c r="G180" s="271"/>
      <c r="H180" s="271"/>
      <c r="I180" s="271"/>
      <c r="J180" s="271"/>
      <c r="K180" s="271"/>
      <c r="L180" s="271"/>
      <c r="M180" s="271"/>
      <c r="N180" s="271"/>
      <c r="O180" s="271"/>
      <c r="P180" s="271"/>
      <c r="Q180" s="271"/>
      <c r="R180" s="271"/>
      <c r="S180" s="271"/>
      <c r="T180" s="271"/>
      <c r="U180" s="271"/>
      <c r="V180" s="271"/>
      <c r="W180" s="271"/>
      <c r="X180" s="271"/>
      <c r="Y180" s="271"/>
      <c r="Z180" s="271"/>
    </row>
    <row r="181" spans="1:26" ht="15.75" customHeight="1" x14ac:dyDescent="0.25">
      <c r="A181" s="271"/>
      <c r="B181" s="271"/>
      <c r="C181" s="271"/>
      <c r="D181" s="271"/>
      <c r="E181" s="271"/>
      <c r="F181" s="271"/>
      <c r="G181" s="271"/>
      <c r="H181" s="271"/>
      <c r="I181" s="271"/>
      <c r="J181" s="271"/>
      <c r="K181" s="271"/>
      <c r="L181" s="271"/>
      <c r="M181" s="271"/>
      <c r="N181" s="271"/>
      <c r="O181" s="271"/>
      <c r="P181" s="271"/>
      <c r="Q181" s="271"/>
      <c r="R181" s="271"/>
      <c r="S181" s="271"/>
      <c r="T181" s="271"/>
      <c r="U181" s="271"/>
      <c r="V181" s="271"/>
      <c r="W181" s="271"/>
      <c r="X181" s="271"/>
      <c r="Y181" s="271"/>
      <c r="Z181" s="271"/>
    </row>
    <row r="182" spans="1:26" ht="15.75" customHeight="1" x14ac:dyDescent="0.25">
      <c r="A182" s="271"/>
      <c r="B182" s="271"/>
      <c r="C182" s="271"/>
      <c r="D182" s="271"/>
      <c r="E182" s="271"/>
      <c r="F182" s="271"/>
      <c r="G182" s="271"/>
      <c r="H182" s="271"/>
      <c r="I182" s="271"/>
      <c r="J182" s="271"/>
      <c r="K182" s="271"/>
      <c r="L182" s="271"/>
      <c r="M182" s="271"/>
      <c r="N182" s="271"/>
      <c r="O182" s="271"/>
      <c r="P182" s="271"/>
      <c r="Q182" s="271"/>
      <c r="R182" s="271"/>
      <c r="S182" s="271"/>
      <c r="T182" s="271"/>
      <c r="U182" s="271"/>
      <c r="V182" s="271"/>
      <c r="W182" s="271"/>
      <c r="X182" s="271"/>
      <c r="Y182" s="271"/>
      <c r="Z182" s="271"/>
    </row>
    <row r="183" spans="1:26" ht="15.75" customHeight="1" x14ac:dyDescent="0.25">
      <c r="A183" s="271"/>
      <c r="B183" s="271"/>
      <c r="C183" s="271"/>
      <c r="D183" s="271"/>
      <c r="E183" s="271"/>
      <c r="F183" s="271"/>
      <c r="G183" s="271"/>
      <c r="H183" s="271"/>
      <c r="I183" s="271"/>
      <c r="J183" s="271"/>
      <c r="K183" s="271"/>
      <c r="L183" s="271"/>
      <c r="M183" s="271"/>
      <c r="N183" s="271"/>
      <c r="O183" s="271"/>
      <c r="P183" s="271"/>
      <c r="Q183" s="271"/>
      <c r="R183" s="271"/>
      <c r="S183" s="271"/>
      <c r="T183" s="271"/>
      <c r="U183" s="271"/>
      <c r="V183" s="271"/>
      <c r="W183" s="271"/>
      <c r="X183" s="271"/>
      <c r="Y183" s="271"/>
      <c r="Z183" s="271"/>
    </row>
    <row r="184" spans="1:26" ht="15.75" customHeight="1" x14ac:dyDescent="0.25">
      <c r="A184" s="271"/>
      <c r="B184" s="271"/>
      <c r="C184" s="271"/>
      <c r="D184" s="271"/>
      <c r="E184" s="271"/>
      <c r="F184" s="271"/>
      <c r="G184" s="271"/>
      <c r="H184" s="271"/>
      <c r="I184" s="271"/>
      <c r="J184" s="271"/>
      <c r="K184" s="271"/>
      <c r="L184" s="271"/>
      <c r="M184" s="271"/>
      <c r="N184" s="271"/>
      <c r="O184" s="271"/>
      <c r="P184" s="271"/>
      <c r="Q184" s="271"/>
      <c r="R184" s="271"/>
      <c r="S184" s="271"/>
      <c r="T184" s="271"/>
      <c r="U184" s="271"/>
      <c r="V184" s="271"/>
      <c r="W184" s="271"/>
      <c r="X184" s="271"/>
      <c r="Y184" s="271"/>
      <c r="Z184" s="271"/>
    </row>
    <row r="185" spans="1:26" ht="15.75" customHeight="1" x14ac:dyDescent="0.25">
      <c r="A185" s="271"/>
      <c r="B185" s="271"/>
      <c r="C185" s="271"/>
      <c r="D185" s="271"/>
      <c r="E185" s="271"/>
      <c r="F185" s="271"/>
      <c r="G185" s="271"/>
      <c r="H185" s="271"/>
      <c r="I185" s="271"/>
      <c r="J185" s="271"/>
      <c r="K185" s="271"/>
      <c r="L185" s="271"/>
      <c r="M185" s="271"/>
      <c r="N185" s="271"/>
      <c r="O185" s="271"/>
      <c r="P185" s="271"/>
      <c r="Q185" s="271"/>
      <c r="R185" s="271"/>
      <c r="S185" s="271"/>
      <c r="T185" s="271"/>
      <c r="U185" s="271"/>
      <c r="V185" s="271"/>
      <c r="W185" s="271"/>
      <c r="X185" s="271"/>
      <c r="Y185" s="271"/>
      <c r="Z185" s="271"/>
    </row>
    <row r="186" spans="1:26" ht="15.75" customHeight="1" x14ac:dyDescent="0.25">
      <c r="A186" s="271"/>
      <c r="B186" s="271"/>
      <c r="C186" s="271"/>
      <c r="D186" s="271"/>
      <c r="E186" s="271"/>
      <c r="F186" s="271"/>
      <c r="G186" s="271"/>
      <c r="H186" s="271"/>
      <c r="I186" s="271"/>
      <c r="J186" s="271"/>
      <c r="K186" s="271"/>
      <c r="L186" s="271"/>
      <c r="M186" s="271"/>
      <c r="N186" s="271"/>
      <c r="O186" s="271"/>
      <c r="P186" s="271"/>
      <c r="Q186" s="271"/>
      <c r="R186" s="271"/>
      <c r="S186" s="271"/>
      <c r="T186" s="271"/>
      <c r="U186" s="271"/>
      <c r="V186" s="271"/>
      <c r="W186" s="271"/>
      <c r="X186" s="271"/>
      <c r="Y186" s="271"/>
      <c r="Z186" s="271"/>
    </row>
    <row r="187" spans="1:26" ht="15.75" customHeight="1" x14ac:dyDescent="0.25">
      <c r="A187" s="271"/>
      <c r="B187" s="271"/>
      <c r="C187" s="271"/>
      <c r="D187" s="271"/>
      <c r="E187" s="271"/>
      <c r="F187" s="271"/>
      <c r="G187" s="271"/>
      <c r="H187" s="271"/>
      <c r="I187" s="271"/>
      <c r="J187" s="271"/>
      <c r="K187" s="271"/>
      <c r="L187" s="271"/>
      <c r="M187" s="271"/>
      <c r="N187" s="271"/>
      <c r="O187" s="271"/>
      <c r="P187" s="271"/>
      <c r="Q187" s="271"/>
      <c r="R187" s="271"/>
      <c r="S187" s="271"/>
      <c r="T187" s="271"/>
      <c r="U187" s="271"/>
      <c r="V187" s="271"/>
      <c r="W187" s="271"/>
      <c r="X187" s="271"/>
      <c r="Y187" s="271"/>
      <c r="Z187" s="271"/>
    </row>
    <row r="188" spans="1:26" ht="15.75" customHeight="1" x14ac:dyDescent="0.25">
      <c r="A188" s="271"/>
      <c r="B188" s="271"/>
      <c r="C188" s="271"/>
      <c r="D188" s="271"/>
      <c r="E188" s="271"/>
      <c r="F188" s="271"/>
      <c r="G188" s="271"/>
      <c r="H188" s="271"/>
      <c r="I188" s="271"/>
      <c r="J188" s="271"/>
      <c r="K188" s="271"/>
      <c r="L188" s="271"/>
      <c r="M188" s="271"/>
      <c r="N188" s="271"/>
      <c r="O188" s="271"/>
      <c r="P188" s="271"/>
      <c r="Q188" s="271"/>
      <c r="R188" s="271"/>
      <c r="S188" s="271"/>
      <c r="T188" s="271"/>
      <c r="U188" s="271"/>
      <c r="V188" s="271"/>
      <c r="W188" s="271"/>
      <c r="X188" s="271"/>
      <c r="Y188" s="271"/>
      <c r="Z188" s="271"/>
    </row>
    <row r="189" spans="1:26" ht="15.75" customHeight="1" x14ac:dyDescent="0.25">
      <c r="A189" s="271"/>
      <c r="B189" s="271"/>
      <c r="C189" s="271"/>
      <c r="D189" s="271"/>
      <c r="E189" s="271"/>
      <c r="F189" s="271"/>
      <c r="G189" s="271"/>
      <c r="H189" s="271"/>
      <c r="I189" s="271"/>
      <c r="J189" s="271"/>
      <c r="K189" s="271"/>
      <c r="L189" s="271"/>
      <c r="M189" s="271"/>
      <c r="N189" s="271"/>
      <c r="O189" s="271"/>
      <c r="P189" s="271"/>
      <c r="Q189" s="271"/>
      <c r="R189" s="271"/>
      <c r="S189" s="271"/>
      <c r="T189" s="271"/>
      <c r="U189" s="271"/>
      <c r="V189" s="271"/>
      <c r="W189" s="271"/>
      <c r="X189" s="271"/>
      <c r="Y189" s="271"/>
      <c r="Z189" s="271"/>
    </row>
    <row r="190" spans="1:26" ht="15.75" customHeight="1" x14ac:dyDescent="0.25">
      <c r="A190" s="271"/>
      <c r="B190" s="271"/>
      <c r="C190" s="271"/>
      <c r="D190" s="271"/>
      <c r="E190" s="271"/>
      <c r="F190" s="271"/>
      <c r="G190" s="271"/>
      <c r="H190" s="271"/>
      <c r="I190" s="271"/>
      <c r="J190" s="271"/>
      <c r="K190" s="271"/>
      <c r="L190" s="271"/>
      <c r="M190" s="271"/>
      <c r="N190" s="271"/>
      <c r="O190" s="271"/>
      <c r="P190" s="271"/>
      <c r="Q190" s="271"/>
      <c r="R190" s="271"/>
      <c r="S190" s="271"/>
      <c r="T190" s="271"/>
      <c r="U190" s="271"/>
      <c r="V190" s="271"/>
      <c r="W190" s="271"/>
      <c r="X190" s="271"/>
      <c r="Y190" s="271"/>
      <c r="Z190" s="271"/>
    </row>
    <row r="191" spans="1:26" ht="15.75" customHeight="1" x14ac:dyDescent="0.25">
      <c r="A191" s="271"/>
      <c r="B191" s="271"/>
      <c r="C191" s="271"/>
      <c r="D191" s="271"/>
      <c r="E191" s="271"/>
      <c r="F191" s="271"/>
      <c r="G191" s="271"/>
      <c r="H191" s="271"/>
      <c r="I191" s="271"/>
      <c r="J191" s="271"/>
      <c r="K191" s="271"/>
      <c r="L191" s="271"/>
      <c r="M191" s="271"/>
      <c r="N191" s="271"/>
      <c r="O191" s="271"/>
      <c r="P191" s="271"/>
      <c r="Q191" s="271"/>
      <c r="R191" s="271"/>
      <c r="S191" s="271"/>
      <c r="T191" s="271"/>
      <c r="U191" s="271"/>
      <c r="V191" s="271"/>
      <c r="W191" s="271"/>
      <c r="X191" s="271"/>
      <c r="Y191" s="271"/>
      <c r="Z191" s="271"/>
    </row>
    <row r="192" spans="1:26" ht="15.75" customHeight="1" x14ac:dyDescent="0.25">
      <c r="A192" s="271"/>
      <c r="B192" s="271"/>
      <c r="C192" s="271"/>
      <c r="D192" s="271"/>
      <c r="E192" s="271"/>
      <c r="F192" s="271"/>
      <c r="G192" s="271"/>
      <c r="H192" s="271"/>
      <c r="I192" s="271"/>
      <c r="J192" s="271"/>
      <c r="K192" s="271"/>
      <c r="L192" s="271"/>
      <c r="M192" s="271"/>
      <c r="N192" s="271"/>
      <c r="O192" s="271"/>
      <c r="P192" s="271"/>
      <c r="Q192" s="271"/>
      <c r="R192" s="271"/>
      <c r="S192" s="271"/>
      <c r="T192" s="271"/>
      <c r="U192" s="271"/>
      <c r="V192" s="271"/>
      <c r="W192" s="271"/>
      <c r="X192" s="271"/>
      <c r="Y192" s="271"/>
      <c r="Z192" s="271"/>
    </row>
    <row r="193" spans="1:26" ht="15.75" customHeight="1" x14ac:dyDescent="0.25">
      <c r="A193" s="271"/>
      <c r="B193" s="271"/>
      <c r="C193" s="271"/>
      <c r="D193" s="271"/>
      <c r="E193" s="271"/>
      <c r="F193" s="271"/>
      <c r="G193" s="271"/>
      <c r="H193" s="271"/>
      <c r="I193" s="271"/>
      <c r="J193" s="271"/>
      <c r="K193" s="271"/>
      <c r="L193" s="271"/>
      <c r="M193" s="271"/>
      <c r="N193" s="271"/>
      <c r="O193" s="271"/>
      <c r="P193" s="271"/>
      <c r="Q193" s="271"/>
      <c r="R193" s="271"/>
      <c r="S193" s="271"/>
      <c r="T193" s="271"/>
      <c r="U193" s="271"/>
      <c r="V193" s="271"/>
      <c r="W193" s="271"/>
      <c r="X193" s="271"/>
      <c r="Y193" s="271"/>
      <c r="Z193" s="271"/>
    </row>
    <row r="194" spans="1:26" ht="15.75" customHeight="1" x14ac:dyDescent="0.25">
      <c r="A194" s="271"/>
      <c r="B194" s="271"/>
      <c r="C194" s="271"/>
      <c r="D194" s="271"/>
      <c r="E194" s="271"/>
      <c r="F194" s="271"/>
      <c r="G194" s="271"/>
      <c r="H194" s="271"/>
      <c r="I194" s="271"/>
      <c r="J194" s="271"/>
      <c r="K194" s="271"/>
      <c r="L194" s="271"/>
      <c r="M194" s="271"/>
      <c r="N194" s="271"/>
      <c r="O194" s="271"/>
      <c r="P194" s="271"/>
      <c r="Q194" s="271"/>
      <c r="R194" s="271"/>
      <c r="S194" s="271"/>
      <c r="T194" s="271"/>
      <c r="U194" s="271"/>
      <c r="V194" s="271"/>
      <c r="W194" s="271"/>
      <c r="X194" s="271"/>
      <c r="Y194" s="271"/>
      <c r="Z194" s="271"/>
    </row>
    <row r="195" spans="1:26" ht="15.75" customHeight="1" x14ac:dyDescent="0.25">
      <c r="A195" s="271"/>
      <c r="B195" s="271"/>
      <c r="C195" s="271"/>
      <c r="D195" s="271"/>
      <c r="E195" s="271"/>
      <c r="F195" s="271"/>
      <c r="G195" s="271"/>
      <c r="H195" s="271"/>
      <c r="I195" s="271"/>
      <c r="J195" s="271"/>
      <c r="K195" s="271"/>
      <c r="L195" s="271"/>
      <c r="M195" s="271"/>
      <c r="N195" s="271"/>
      <c r="O195" s="271"/>
      <c r="P195" s="271"/>
      <c r="Q195" s="271"/>
      <c r="R195" s="271"/>
      <c r="S195" s="271"/>
      <c r="T195" s="271"/>
      <c r="U195" s="271"/>
      <c r="V195" s="271"/>
      <c r="W195" s="271"/>
      <c r="X195" s="271"/>
      <c r="Y195" s="271"/>
      <c r="Z195" s="271"/>
    </row>
    <row r="196" spans="1:26" ht="15.75" customHeight="1" x14ac:dyDescent="0.25">
      <c r="A196" s="271"/>
      <c r="B196" s="271"/>
      <c r="C196" s="271"/>
      <c r="D196" s="271"/>
      <c r="E196" s="271"/>
      <c r="F196" s="271"/>
      <c r="G196" s="271"/>
      <c r="H196" s="271"/>
      <c r="I196" s="271"/>
      <c r="J196" s="271"/>
      <c r="K196" s="271"/>
      <c r="L196" s="271"/>
      <c r="M196" s="271"/>
      <c r="N196" s="271"/>
      <c r="O196" s="271"/>
      <c r="P196" s="271"/>
      <c r="Q196" s="271"/>
      <c r="R196" s="271"/>
      <c r="S196" s="271"/>
      <c r="T196" s="271"/>
      <c r="U196" s="271"/>
      <c r="V196" s="271"/>
      <c r="W196" s="271"/>
      <c r="X196" s="271"/>
      <c r="Y196" s="271"/>
      <c r="Z196" s="271"/>
    </row>
    <row r="197" spans="1:26" ht="15.75" customHeight="1" x14ac:dyDescent="0.25">
      <c r="A197" s="271"/>
      <c r="B197" s="271"/>
      <c r="C197" s="271"/>
      <c r="D197" s="271"/>
      <c r="E197" s="271"/>
      <c r="F197" s="271"/>
      <c r="G197" s="271"/>
      <c r="H197" s="271"/>
      <c r="I197" s="271"/>
      <c r="J197" s="271"/>
      <c r="K197" s="271"/>
      <c r="L197" s="271"/>
      <c r="M197" s="271"/>
      <c r="N197" s="271"/>
      <c r="O197" s="271"/>
      <c r="P197" s="271"/>
      <c r="Q197" s="271"/>
      <c r="R197" s="271"/>
      <c r="S197" s="271"/>
      <c r="T197" s="271"/>
      <c r="U197" s="271"/>
      <c r="V197" s="271"/>
      <c r="W197" s="271"/>
      <c r="X197" s="271"/>
      <c r="Y197" s="271"/>
      <c r="Z197" s="271"/>
    </row>
    <row r="198" spans="1:26" ht="15.75" customHeight="1" x14ac:dyDescent="0.25">
      <c r="A198" s="271"/>
      <c r="B198" s="271"/>
      <c r="C198" s="271"/>
      <c r="D198" s="271"/>
      <c r="E198" s="271"/>
      <c r="F198" s="271"/>
      <c r="G198" s="271"/>
      <c r="H198" s="271"/>
      <c r="I198" s="271"/>
      <c r="J198" s="271"/>
      <c r="K198" s="271"/>
      <c r="L198" s="271"/>
      <c r="M198" s="271"/>
      <c r="N198" s="271"/>
      <c r="O198" s="271"/>
      <c r="P198" s="271"/>
      <c r="Q198" s="271"/>
      <c r="R198" s="271"/>
      <c r="S198" s="271"/>
      <c r="T198" s="271"/>
      <c r="U198" s="271"/>
      <c r="V198" s="271"/>
      <c r="W198" s="271"/>
      <c r="X198" s="271"/>
      <c r="Y198" s="271"/>
      <c r="Z198" s="271"/>
    </row>
    <row r="199" spans="1:26" ht="15.75" customHeight="1" x14ac:dyDescent="0.25">
      <c r="A199" s="271"/>
      <c r="B199" s="271"/>
      <c r="C199" s="271"/>
      <c r="D199" s="271"/>
      <c r="E199" s="271"/>
      <c r="F199" s="271"/>
      <c r="G199" s="271"/>
      <c r="H199" s="271"/>
      <c r="I199" s="271"/>
      <c r="J199" s="271"/>
      <c r="K199" s="271"/>
      <c r="L199" s="271"/>
      <c r="M199" s="271"/>
      <c r="N199" s="271"/>
      <c r="O199" s="271"/>
      <c r="P199" s="271"/>
      <c r="Q199" s="271"/>
      <c r="R199" s="271"/>
      <c r="S199" s="271"/>
      <c r="T199" s="271"/>
      <c r="U199" s="271"/>
      <c r="V199" s="271"/>
      <c r="W199" s="271"/>
      <c r="X199" s="271"/>
      <c r="Y199" s="271"/>
      <c r="Z199" s="271"/>
    </row>
    <row r="200" spans="1:26" ht="15.75" customHeight="1" x14ac:dyDescent="0.25">
      <c r="A200" s="271"/>
      <c r="B200" s="271"/>
      <c r="C200" s="271"/>
      <c r="D200" s="271"/>
      <c r="E200" s="271"/>
      <c r="F200" s="271"/>
      <c r="G200" s="271"/>
      <c r="H200" s="271"/>
      <c r="I200" s="271"/>
      <c r="J200" s="271"/>
      <c r="K200" s="271"/>
      <c r="L200" s="271"/>
      <c r="M200" s="271"/>
      <c r="N200" s="271"/>
      <c r="O200" s="271"/>
      <c r="P200" s="271"/>
      <c r="Q200" s="271"/>
      <c r="R200" s="271"/>
      <c r="S200" s="271"/>
      <c r="T200" s="271"/>
      <c r="U200" s="271"/>
      <c r="V200" s="271"/>
      <c r="W200" s="271"/>
      <c r="X200" s="271"/>
      <c r="Y200" s="271"/>
      <c r="Z200" s="271"/>
    </row>
    <row r="201" spans="1:26" ht="15.75" customHeight="1" x14ac:dyDescent="0.25">
      <c r="A201" s="271"/>
      <c r="B201" s="271"/>
      <c r="C201" s="271"/>
      <c r="D201" s="271"/>
      <c r="E201" s="271"/>
      <c r="F201" s="271"/>
      <c r="G201" s="271"/>
      <c r="H201" s="271"/>
      <c r="I201" s="271"/>
      <c r="J201" s="271"/>
      <c r="K201" s="271"/>
      <c r="L201" s="271"/>
      <c r="M201" s="271"/>
      <c r="N201" s="271"/>
      <c r="O201" s="271"/>
      <c r="P201" s="271"/>
      <c r="Q201" s="271"/>
      <c r="R201" s="271"/>
      <c r="S201" s="271"/>
      <c r="T201" s="271"/>
      <c r="U201" s="271"/>
      <c r="V201" s="271"/>
      <c r="W201" s="271"/>
      <c r="X201" s="271"/>
      <c r="Y201" s="271"/>
      <c r="Z201" s="271"/>
    </row>
    <row r="202" spans="1:26" ht="15.75" customHeight="1" x14ac:dyDescent="0.25">
      <c r="A202" s="271"/>
      <c r="B202" s="271"/>
      <c r="C202" s="271"/>
      <c r="D202" s="271"/>
      <c r="E202" s="271"/>
      <c r="F202" s="271"/>
      <c r="G202" s="271"/>
      <c r="H202" s="271"/>
      <c r="I202" s="271"/>
      <c r="J202" s="271"/>
      <c r="K202" s="271"/>
      <c r="L202" s="271"/>
      <c r="M202" s="271"/>
      <c r="N202" s="271"/>
      <c r="O202" s="271"/>
      <c r="P202" s="271"/>
      <c r="Q202" s="271"/>
      <c r="R202" s="271"/>
      <c r="S202" s="271"/>
      <c r="T202" s="271"/>
      <c r="U202" s="271"/>
      <c r="V202" s="271"/>
      <c r="W202" s="271"/>
      <c r="X202" s="271"/>
      <c r="Y202" s="271"/>
      <c r="Z202" s="271"/>
    </row>
    <row r="203" spans="1:26" ht="15.75" customHeight="1" x14ac:dyDescent="0.25">
      <c r="A203" s="271"/>
      <c r="B203" s="271"/>
      <c r="C203" s="271"/>
      <c r="D203" s="271"/>
      <c r="E203" s="271"/>
      <c r="F203" s="271"/>
      <c r="G203" s="271"/>
      <c r="H203" s="271"/>
      <c r="I203" s="271"/>
      <c r="J203" s="271"/>
      <c r="K203" s="271"/>
      <c r="L203" s="271"/>
      <c r="M203" s="271"/>
      <c r="N203" s="271"/>
      <c r="O203" s="271"/>
      <c r="P203" s="271"/>
      <c r="Q203" s="271"/>
      <c r="R203" s="271"/>
      <c r="S203" s="271"/>
      <c r="T203" s="271"/>
      <c r="U203" s="271"/>
      <c r="V203" s="271"/>
      <c r="W203" s="271"/>
      <c r="X203" s="271"/>
      <c r="Y203" s="271"/>
      <c r="Z203" s="271"/>
    </row>
    <row r="204" spans="1:26" ht="15.75" customHeight="1" x14ac:dyDescent="0.25">
      <c r="A204" s="271"/>
      <c r="B204" s="271"/>
      <c r="C204" s="271"/>
      <c r="D204" s="271"/>
      <c r="E204" s="271"/>
      <c r="F204" s="271"/>
      <c r="G204" s="271"/>
      <c r="H204" s="271"/>
      <c r="I204" s="271"/>
      <c r="J204" s="271"/>
      <c r="K204" s="271"/>
      <c r="L204" s="271"/>
      <c r="M204" s="271"/>
      <c r="N204" s="271"/>
      <c r="O204" s="271"/>
      <c r="P204" s="271"/>
      <c r="Q204" s="271"/>
      <c r="R204" s="271"/>
      <c r="S204" s="271"/>
      <c r="T204" s="271"/>
      <c r="U204" s="271"/>
      <c r="V204" s="271"/>
      <c r="W204" s="271"/>
      <c r="X204" s="271"/>
      <c r="Y204" s="271"/>
      <c r="Z204" s="271"/>
    </row>
    <row r="205" spans="1:26" ht="15.75" customHeight="1" x14ac:dyDescent="0.25">
      <c r="A205" s="271"/>
      <c r="B205" s="271"/>
      <c r="C205" s="271"/>
      <c r="D205" s="271"/>
      <c r="E205" s="271"/>
      <c r="F205" s="271"/>
      <c r="G205" s="271"/>
      <c r="H205" s="271"/>
      <c r="I205" s="271"/>
      <c r="J205" s="271"/>
      <c r="K205" s="271"/>
      <c r="L205" s="271"/>
      <c r="M205" s="271"/>
      <c r="N205" s="271"/>
      <c r="O205" s="271"/>
      <c r="P205" s="271"/>
      <c r="Q205" s="271"/>
      <c r="R205" s="271"/>
      <c r="S205" s="271"/>
      <c r="T205" s="271"/>
      <c r="U205" s="271"/>
      <c r="V205" s="271"/>
      <c r="W205" s="271"/>
      <c r="X205" s="271"/>
      <c r="Y205" s="271"/>
      <c r="Z205" s="271"/>
    </row>
    <row r="206" spans="1:26" ht="15.75" customHeight="1" x14ac:dyDescent="0.25">
      <c r="A206" s="271"/>
      <c r="B206" s="271"/>
      <c r="C206" s="271"/>
      <c r="D206" s="271"/>
      <c r="E206" s="271"/>
      <c r="F206" s="271"/>
      <c r="G206" s="271"/>
      <c r="H206" s="271"/>
      <c r="I206" s="271"/>
      <c r="J206" s="271"/>
      <c r="K206" s="271"/>
      <c r="L206" s="271"/>
      <c r="M206" s="271"/>
      <c r="N206" s="271"/>
      <c r="O206" s="271"/>
      <c r="P206" s="271"/>
      <c r="Q206" s="271"/>
      <c r="R206" s="271"/>
      <c r="S206" s="271"/>
      <c r="T206" s="271"/>
      <c r="U206" s="271"/>
      <c r="V206" s="271"/>
      <c r="W206" s="271"/>
      <c r="X206" s="271"/>
      <c r="Y206" s="271"/>
      <c r="Z206" s="271"/>
    </row>
    <row r="207" spans="1:26" ht="15.75" customHeight="1" x14ac:dyDescent="0.25">
      <c r="A207" s="271"/>
      <c r="B207" s="271"/>
      <c r="C207" s="271"/>
      <c r="D207" s="271"/>
      <c r="E207" s="271"/>
      <c r="F207" s="271"/>
      <c r="G207" s="271"/>
      <c r="H207" s="271"/>
      <c r="I207" s="271"/>
      <c r="J207" s="271"/>
      <c r="K207" s="271"/>
      <c r="L207" s="271"/>
      <c r="M207" s="271"/>
      <c r="N207" s="271"/>
      <c r="O207" s="271"/>
      <c r="P207" s="271"/>
      <c r="Q207" s="271"/>
      <c r="R207" s="271"/>
      <c r="S207" s="271"/>
      <c r="T207" s="271"/>
      <c r="U207" s="271"/>
      <c r="V207" s="271"/>
      <c r="W207" s="271"/>
      <c r="X207" s="271"/>
      <c r="Y207" s="271"/>
      <c r="Z207" s="271"/>
    </row>
    <row r="208" spans="1:26" ht="15.75" customHeight="1" x14ac:dyDescent="0.25">
      <c r="A208" s="271"/>
      <c r="B208" s="271"/>
      <c r="C208" s="271"/>
      <c r="D208" s="271"/>
      <c r="E208" s="271"/>
      <c r="F208" s="271"/>
      <c r="G208" s="271"/>
      <c r="H208" s="271"/>
      <c r="I208" s="271"/>
      <c r="J208" s="271"/>
      <c r="K208" s="271"/>
      <c r="L208" s="271"/>
      <c r="M208" s="271"/>
      <c r="N208" s="271"/>
      <c r="O208" s="271"/>
      <c r="P208" s="271"/>
      <c r="Q208" s="271"/>
      <c r="R208" s="271"/>
      <c r="S208" s="271"/>
      <c r="T208" s="271"/>
      <c r="U208" s="271"/>
      <c r="V208" s="271"/>
      <c r="W208" s="271"/>
      <c r="X208" s="271"/>
      <c r="Y208" s="271"/>
      <c r="Z208" s="271"/>
    </row>
    <row r="209" spans="1:26" ht="15.75" customHeight="1" x14ac:dyDescent="0.25">
      <c r="A209" s="271"/>
      <c r="B209" s="271"/>
      <c r="C209" s="271"/>
      <c r="D209" s="271"/>
      <c r="E209" s="271"/>
      <c r="F209" s="271"/>
      <c r="G209" s="271"/>
      <c r="H209" s="271"/>
      <c r="I209" s="271"/>
      <c r="J209" s="271"/>
      <c r="K209" s="271"/>
      <c r="L209" s="271"/>
      <c r="M209" s="271"/>
      <c r="N209" s="271"/>
      <c r="O209" s="271"/>
      <c r="P209" s="271"/>
      <c r="Q209" s="271"/>
      <c r="R209" s="271"/>
      <c r="S209" s="271"/>
      <c r="T209" s="271"/>
      <c r="U209" s="271"/>
      <c r="V209" s="271"/>
      <c r="W209" s="271"/>
      <c r="X209" s="271"/>
      <c r="Y209" s="271"/>
      <c r="Z209" s="271"/>
    </row>
    <row r="210" spans="1:26" ht="15.75" customHeight="1" x14ac:dyDescent="0.25">
      <c r="A210" s="271"/>
      <c r="B210" s="271"/>
      <c r="C210" s="271"/>
      <c r="D210" s="271"/>
      <c r="E210" s="271"/>
      <c r="F210" s="271"/>
      <c r="G210" s="271"/>
      <c r="H210" s="271"/>
      <c r="I210" s="271"/>
      <c r="J210" s="271"/>
      <c r="K210" s="271"/>
      <c r="L210" s="271"/>
      <c r="M210" s="271"/>
      <c r="N210" s="271"/>
      <c r="O210" s="271"/>
      <c r="P210" s="271"/>
      <c r="Q210" s="271"/>
      <c r="R210" s="271"/>
      <c r="S210" s="271"/>
      <c r="T210" s="271"/>
      <c r="U210" s="271"/>
      <c r="V210" s="271"/>
      <c r="W210" s="271"/>
      <c r="X210" s="271"/>
      <c r="Y210" s="271"/>
      <c r="Z210" s="271"/>
    </row>
    <row r="211" spans="1:26" ht="15.75" customHeight="1" x14ac:dyDescent="0.25">
      <c r="A211" s="271"/>
      <c r="B211" s="271"/>
      <c r="C211" s="271"/>
      <c r="D211" s="271"/>
      <c r="E211" s="271"/>
      <c r="F211" s="271"/>
      <c r="G211" s="271"/>
      <c r="H211" s="271"/>
      <c r="I211" s="271"/>
      <c r="J211" s="271"/>
      <c r="K211" s="271"/>
      <c r="L211" s="271"/>
      <c r="M211" s="271"/>
      <c r="N211" s="271"/>
      <c r="O211" s="271"/>
      <c r="P211" s="271"/>
      <c r="Q211" s="271"/>
      <c r="R211" s="271"/>
      <c r="S211" s="271"/>
      <c r="T211" s="271"/>
      <c r="U211" s="271"/>
      <c r="V211" s="271"/>
      <c r="W211" s="271"/>
      <c r="X211" s="271"/>
      <c r="Y211" s="271"/>
      <c r="Z211" s="271"/>
    </row>
    <row r="212" spans="1:26" ht="15.75" customHeight="1" x14ac:dyDescent="0.25">
      <c r="A212" s="271"/>
      <c r="B212" s="271"/>
      <c r="C212" s="271"/>
      <c r="D212" s="271"/>
      <c r="E212" s="271"/>
      <c r="F212" s="271"/>
      <c r="G212" s="271"/>
      <c r="H212" s="271"/>
      <c r="I212" s="271"/>
      <c r="J212" s="271"/>
      <c r="K212" s="271"/>
      <c r="L212" s="271"/>
      <c r="M212" s="271"/>
      <c r="N212" s="271"/>
      <c r="O212" s="271"/>
      <c r="P212" s="271"/>
      <c r="Q212" s="271"/>
      <c r="R212" s="271"/>
      <c r="S212" s="271"/>
      <c r="T212" s="271"/>
      <c r="U212" s="271"/>
      <c r="V212" s="271"/>
      <c r="W212" s="271"/>
      <c r="X212" s="271"/>
      <c r="Y212" s="271"/>
      <c r="Z212" s="271"/>
    </row>
    <row r="213" spans="1:26" ht="15.75" customHeight="1" x14ac:dyDescent="0.25">
      <c r="A213" s="271"/>
      <c r="B213" s="271"/>
      <c r="C213" s="271"/>
      <c r="D213" s="271"/>
      <c r="E213" s="271"/>
      <c r="F213" s="271"/>
      <c r="G213" s="271"/>
      <c r="H213" s="271"/>
      <c r="I213" s="271"/>
      <c r="J213" s="271"/>
      <c r="K213" s="271"/>
      <c r="L213" s="271"/>
      <c r="M213" s="271"/>
      <c r="N213" s="271"/>
      <c r="O213" s="271"/>
      <c r="P213" s="271"/>
      <c r="Q213" s="271"/>
      <c r="R213" s="271"/>
      <c r="S213" s="271"/>
      <c r="T213" s="271"/>
      <c r="U213" s="271"/>
      <c r="V213" s="271"/>
      <c r="W213" s="271"/>
      <c r="X213" s="271"/>
      <c r="Y213" s="271"/>
      <c r="Z213" s="271"/>
    </row>
    <row r="214" spans="1:26" ht="15.75" customHeight="1" x14ac:dyDescent="0.25">
      <c r="A214" s="271"/>
      <c r="B214" s="271"/>
      <c r="C214" s="271"/>
      <c r="D214" s="271"/>
      <c r="E214" s="271"/>
      <c r="F214" s="271"/>
      <c r="G214" s="271"/>
      <c r="H214" s="271"/>
      <c r="I214" s="271"/>
      <c r="J214" s="271"/>
      <c r="K214" s="271"/>
      <c r="L214" s="271"/>
      <c r="M214" s="271"/>
      <c r="N214" s="271"/>
      <c r="O214" s="271"/>
      <c r="P214" s="271"/>
      <c r="Q214" s="271"/>
      <c r="R214" s="271"/>
      <c r="S214" s="271"/>
      <c r="T214" s="271"/>
      <c r="U214" s="271"/>
      <c r="V214" s="271"/>
      <c r="W214" s="271"/>
      <c r="X214" s="271"/>
      <c r="Y214" s="271"/>
      <c r="Z214" s="271"/>
    </row>
    <row r="215" spans="1:26" ht="15.75" customHeight="1" x14ac:dyDescent="0.25">
      <c r="A215" s="271"/>
      <c r="B215" s="271"/>
      <c r="C215" s="271"/>
      <c r="D215" s="271"/>
      <c r="E215" s="271"/>
      <c r="F215" s="271"/>
      <c r="G215" s="271"/>
      <c r="H215" s="271"/>
      <c r="I215" s="271"/>
      <c r="J215" s="271"/>
      <c r="K215" s="271"/>
      <c r="L215" s="271"/>
      <c r="M215" s="271"/>
      <c r="N215" s="271"/>
      <c r="O215" s="271"/>
      <c r="P215" s="271"/>
      <c r="Q215" s="271"/>
      <c r="R215" s="271"/>
      <c r="S215" s="271"/>
      <c r="T215" s="271"/>
      <c r="U215" s="271"/>
      <c r="V215" s="271"/>
      <c r="W215" s="271"/>
      <c r="X215" s="271"/>
      <c r="Y215" s="271"/>
      <c r="Z215" s="271"/>
    </row>
    <row r="216" spans="1:26" ht="15.75" customHeight="1" x14ac:dyDescent="0.25">
      <c r="A216" s="271"/>
      <c r="B216" s="271"/>
      <c r="C216" s="271"/>
      <c r="D216" s="271"/>
      <c r="E216" s="271"/>
      <c r="F216" s="271"/>
      <c r="G216" s="271"/>
      <c r="H216" s="271"/>
      <c r="I216" s="271"/>
      <c r="J216" s="271"/>
      <c r="K216" s="271"/>
      <c r="L216" s="271"/>
      <c r="M216" s="271"/>
      <c r="N216" s="271"/>
      <c r="O216" s="271"/>
      <c r="P216" s="271"/>
      <c r="Q216" s="271"/>
      <c r="R216" s="271"/>
      <c r="S216" s="271"/>
      <c r="T216" s="271"/>
      <c r="U216" s="271"/>
      <c r="V216" s="271"/>
      <c r="W216" s="271"/>
      <c r="X216" s="271"/>
      <c r="Y216" s="271"/>
      <c r="Z216" s="271"/>
    </row>
    <row r="217" spans="1:26" ht="15.75" customHeight="1" x14ac:dyDescent="0.25">
      <c r="A217" s="271"/>
      <c r="B217" s="271"/>
      <c r="C217" s="271"/>
      <c r="D217" s="271"/>
      <c r="E217" s="271"/>
      <c r="F217" s="271"/>
      <c r="G217" s="271"/>
      <c r="H217" s="271"/>
      <c r="I217" s="271"/>
      <c r="J217" s="271"/>
      <c r="K217" s="271"/>
      <c r="L217" s="271"/>
      <c r="M217" s="271"/>
      <c r="N217" s="271"/>
      <c r="O217" s="271"/>
      <c r="P217" s="271"/>
      <c r="Q217" s="271"/>
      <c r="R217" s="271"/>
      <c r="S217" s="271"/>
      <c r="T217" s="271"/>
      <c r="U217" s="271"/>
      <c r="V217" s="271"/>
      <c r="W217" s="271"/>
      <c r="X217" s="271"/>
      <c r="Y217" s="271"/>
      <c r="Z217" s="271"/>
    </row>
    <row r="218" spans="1:26" ht="15.75" customHeight="1" x14ac:dyDescent="0.25">
      <c r="A218" s="271"/>
      <c r="B218" s="271"/>
      <c r="C218" s="271"/>
      <c r="D218" s="271"/>
      <c r="E218" s="271"/>
      <c r="F218" s="271"/>
      <c r="G218" s="271"/>
      <c r="H218" s="271"/>
      <c r="I218" s="271"/>
      <c r="J218" s="271"/>
      <c r="K218" s="271"/>
      <c r="L218" s="271"/>
      <c r="M218" s="271"/>
      <c r="N218" s="271"/>
      <c r="O218" s="271"/>
      <c r="P218" s="271"/>
      <c r="Q218" s="271"/>
      <c r="R218" s="271"/>
      <c r="S218" s="271"/>
      <c r="T218" s="271"/>
      <c r="U218" s="271"/>
      <c r="V218" s="271"/>
      <c r="W218" s="271"/>
      <c r="X218" s="271"/>
      <c r="Y218" s="271"/>
      <c r="Z218" s="271"/>
    </row>
    <row r="219" spans="1:26" ht="15.75" customHeight="1" x14ac:dyDescent="0.25">
      <c r="A219" s="271"/>
      <c r="B219" s="271"/>
      <c r="C219" s="271"/>
      <c r="D219" s="271"/>
      <c r="E219" s="271"/>
      <c r="F219" s="271"/>
      <c r="G219" s="271"/>
      <c r="H219" s="271"/>
      <c r="I219" s="271"/>
      <c r="J219" s="271"/>
      <c r="K219" s="271"/>
      <c r="L219" s="271"/>
      <c r="M219" s="271"/>
      <c r="N219" s="271"/>
      <c r="O219" s="271"/>
      <c r="P219" s="271"/>
      <c r="Q219" s="271"/>
      <c r="R219" s="271"/>
      <c r="S219" s="271"/>
      <c r="T219" s="271"/>
      <c r="U219" s="271"/>
      <c r="V219" s="271"/>
      <c r="W219" s="271"/>
      <c r="X219" s="271"/>
      <c r="Y219" s="271"/>
      <c r="Z219" s="271"/>
    </row>
    <row r="220" spans="1:26" ht="15.75" customHeight="1" x14ac:dyDescent="0.25">
      <c r="A220" s="271"/>
      <c r="B220" s="271"/>
      <c r="C220" s="271"/>
      <c r="D220" s="271"/>
      <c r="E220" s="271"/>
      <c r="F220" s="271"/>
      <c r="G220" s="271"/>
      <c r="H220" s="271"/>
      <c r="I220" s="271"/>
      <c r="J220" s="271"/>
      <c r="K220" s="271"/>
      <c r="L220" s="271"/>
      <c r="M220" s="271"/>
      <c r="N220" s="271"/>
      <c r="O220" s="271"/>
      <c r="P220" s="271"/>
      <c r="Q220" s="271"/>
      <c r="R220" s="271"/>
      <c r="S220" s="271"/>
      <c r="T220" s="271"/>
      <c r="U220" s="271"/>
      <c r="V220" s="271"/>
      <c r="W220" s="271"/>
      <c r="X220" s="271"/>
      <c r="Y220" s="271"/>
      <c r="Z220" s="271"/>
    </row>
    <row r="221" spans="1:26" ht="15.75" customHeight="1" x14ac:dyDescent="0.25">
      <c r="A221" s="271"/>
      <c r="B221" s="271"/>
      <c r="C221" s="271"/>
      <c r="D221" s="271"/>
      <c r="E221" s="271"/>
      <c r="F221" s="271"/>
      <c r="G221" s="271"/>
      <c r="H221" s="271"/>
      <c r="I221" s="271"/>
      <c r="J221" s="271"/>
      <c r="K221" s="271"/>
      <c r="L221" s="271"/>
      <c r="M221" s="271"/>
      <c r="N221" s="271"/>
      <c r="O221" s="271"/>
      <c r="P221" s="271"/>
      <c r="Q221" s="271"/>
      <c r="R221" s="271"/>
      <c r="S221" s="271"/>
      <c r="T221" s="271"/>
      <c r="U221" s="271"/>
      <c r="V221" s="271"/>
      <c r="W221" s="271"/>
      <c r="X221" s="271"/>
      <c r="Y221" s="271"/>
      <c r="Z221" s="271"/>
    </row>
    <row r="222" spans="1:26" ht="15.75" customHeight="1" x14ac:dyDescent="0.25">
      <c r="A222" s="271"/>
      <c r="B222" s="271"/>
      <c r="C222" s="271"/>
      <c r="D222" s="271"/>
      <c r="E222" s="271"/>
      <c r="F222" s="271"/>
      <c r="G222" s="271"/>
      <c r="H222" s="271"/>
      <c r="I222" s="271"/>
      <c r="J222" s="271"/>
      <c r="K222" s="271"/>
      <c r="L222" s="271"/>
      <c r="M222" s="271"/>
      <c r="N222" s="271"/>
      <c r="O222" s="271"/>
      <c r="P222" s="271"/>
      <c r="Q222" s="271"/>
      <c r="R222" s="271"/>
      <c r="S222" s="271"/>
      <c r="T222" s="271"/>
      <c r="U222" s="271"/>
      <c r="V222" s="271"/>
      <c r="W222" s="271"/>
      <c r="X222" s="271"/>
      <c r="Y222" s="271"/>
      <c r="Z222" s="271"/>
    </row>
    <row r="223" spans="1:26" ht="15.75" customHeight="1" x14ac:dyDescent="0.25">
      <c r="A223" s="271"/>
      <c r="B223" s="271"/>
      <c r="C223" s="271"/>
      <c r="D223" s="271"/>
      <c r="E223" s="271"/>
      <c r="F223" s="271"/>
      <c r="G223" s="271"/>
      <c r="H223" s="271"/>
      <c r="I223" s="271"/>
      <c r="J223" s="271"/>
      <c r="K223" s="271"/>
      <c r="L223" s="271"/>
      <c r="M223" s="271"/>
      <c r="N223" s="271"/>
      <c r="O223" s="271"/>
      <c r="P223" s="271"/>
      <c r="Q223" s="271"/>
      <c r="R223" s="271"/>
      <c r="S223" s="271"/>
      <c r="T223" s="271"/>
      <c r="U223" s="271"/>
      <c r="V223" s="271"/>
      <c r="W223" s="271"/>
      <c r="X223" s="271"/>
      <c r="Y223" s="271"/>
      <c r="Z223" s="271"/>
    </row>
    <row r="224" spans="1:26" ht="15.75" customHeight="1" x14ac:dyDescent="0.25">
      <c r="A224" s="271"/>
      <c r="B224" s="271"/>
      <c r="C224" s="271"/>
      <c r="D224" s="271"/>
      <c r="E224" s="271"/>
      <c r="F224" s="271"/>
      <c r="G224" s="271"/>
      <c r="H224" s="271"/>
      <c r="I224" s="271"/>
      <c r="J224" s="271"/>
      <c r="K224" s="271"/>
      <c r="L224" s="271"/>
      <c r="M224" s="271"/>
      <c r="N224" s="271"/>
      <c r="O224" s="271"/>
      <c r="P224" s="271"/>
      <c r="Q224" s="271"/>
      <c r="R224" s="271"/>
      <c r="S224" s="271"/>
      <c r="T224" s="271"/>
      <c r="U224" s="271"/>
      <c r="V224" s="271"/>
      <c r="W224" s="271"/>
      <c r="X224" s="271"/>
      <c r="Y224" s="271"/>
      <c r="Z224" s="271"/>
    </row>
    <row r="225" spans="1:26" ht="15.75" customHeight="1" x14ac:dyDescent="0.25">
      <c r="A225" s="271"/>
      <c r="B225" s="271"/>
      <c r="C225" s="271"/>
      <c r="D225" s="271"/>
      <c r="E225" s="271"/>
      <c r="F225" s="271"/>
      <c r="G225" s="271"/>
      <c r="H225" s="271"/>
      <c r="I225" s="271"/>
      <c r="J225" s="271"/>
      <c r="K225" s="271"/>
      <c r="L225" s="271"/>
      <c r="M225" s="271"/>
      <c r="N225" s="271"/>
      <c r="O225" s="271"/>
      <c r="P225" s="271"/>
      <c r="Q225" s="271"/>
      <c r="R225" s="271"/>
      <c r="S225" s="271"/>
      <c r="T225" s="271"/>
      <c r="U225" s="271"/>
      <c r="V225" s="271"/>
      <c r="W225" s="271"/>
      <c r="X225" s="271"/>
      <c r="Y225" s="271"/>
      <c r="Z225" s="271"/>
    </row>
    <row r="226" spans="1:26" ht="15.75" customHeight="1" x14ac:dyDescent="0.25">
      <c r="A226" s="271"/>
      <c r="B226" s="271"/>
      <c r="C226" s="271"/>
      <c r="D226" s="271"/>
      <c r="E226" s="271"/>
      <c r="F226" s="271"/>
      <c r="G226" s="271"/>
      <c r="H226" s="271"/>
      <c r="I226" s="271"/>
      <c r="J226" s="271"/>
      <c r="K226" s="271"/>
      <c r="L226" s="271"/>
      <c r="M226" s="271"/>
      <c r="N226" s="271"/>
      <c r="O226" s="271"/>
      <c r="P226" s="271"/>
      <c r="Q226" s="271"/>
      <c r="R226" s="271"/>
      <c r="S226" s="271"/>
      <c r="T226" s="271"/>
      <c r="U226" s="271"/>
      <c r="V226" s="271"/>
      <c r="W226" s="271"/>
      <c r="X226" s="271"/>
      <c r="Y226" s="271"/>
      <c r="Z226" s="271"/>
    </row>
    <row r="227" spans="1:26" ht="15.75" customHeight="1" x14ac:dyDescent="0.25">
      <c r="A227" s="271"/>
      <c r="B227" s="271"/>
      <c r="C227" s="271"/>
      <c r="D227" s="271"/>
      <c r="E227" s="271"/>
      <c r="F227" s="271"/>
      <c r="G227" s="271"/>
      <c r="H227" s="271"/>
      <c r="I227" s="271"/>
      <c r="J227" s="271"/>
      <c r="K227" s="271"/>
      <c r="L227" s="271"/>
      <c r="M227" s="271"/>
      <c r="N227" s="271"/>
      <c r="O227" s="271"/>
      <c r="P227" s="271"/>
      <c r="Q227" s="271"/>
      <c r="R227" s="271"/>
      <c r="S227" s="271"/>
      <c r="T227" s="271"/>
      <c r="U227" s="271"/>
      <c r="V227" s="271"/>
      <c r="W227" s="271"/>
      <c r="X227" s="271"/>
      <c r="Y227" s="271"/>
      <c r="Z227" s="271"/>
    </row>
    <row r="228" spans="1:26" ht="15.75" customHeight="1" x14ac:dyDescent="0.25">
      <c r="A228" s="271"/>
      <c r="B228" s="271"/>
      <c r="C228" s="271"/>
      <c r="D228" s="271"/>
      <c r="E228" s="271"/>
      <c r="F228" s="271"/>
      <c r="G228" s="271"/>
      <c r="H228" s="271"/>
      <c r="I228" s="271"/>
      <c r="J228" s="271"/>
      <c r="K228" s="271"/>
      <c r="L228" s="271"/>
      <c r="M228" s="271"/>
      <c r="N228" s="271"/>
      <c r="O228" s="271"/>
      <c r="P228" s="271"/>
      <c r="Q228" s="271"/>
      <c r="R228" s="271"/>
      <c r="S228" s="271"/>
      <c r="T228" s="271"/>
      <c r="U228" s="271"/>
      <c r="V228" s="271"/>
      <c r="W228" s="271"/>
      <c r="X228" s="271"/>
      <c r="Y228" s="271"/>
      <c r="Z228" s="271"/>
    </row>
    <row r="229" spans="1:26" ht="15.75" customHeight="1" x14ac:dyDescent="0.25">
      <c r="A229" s="271"/>
      <c r="B229" s="271"/>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c r="Z229" s="271"/>
    </row>
    <row r="230" spans="1:26" ht="15.75" customHeight="1" x14ac:dyDescent="0.25">
      <c r="A230" s="271"/>
      <c r="B230" s="271"/>
      <c r="C230" s="271"/>
      <c r="D230" s="271"/>
      <c r="E230" s="271"/>
      <c r="F230" s="271"/>
      <c r="G230" s="271"/>
      <c r="H230" s="271"/>
      <c r="I230" s="271"/>
      <c r="J230" s="271"/>
      <c r="K230" s="271"/>
      <c r="L230" s="271"/>
      <c r="M230" s="271"/>
      <c r="N230" s="271"/>
      <c r="O230" s="271"/>
      <c r="P230" s="271"/>
      <c r="Q230" s="271"/>
      <c r="R230" s="271"/>
      <c r="S230" s="271"/>
      <c r="T230" s="271"/>
      <c r="U230" s="271"/>
      <c r="V230" s="271"/>
      <c r="W230" s="271"/>
      <c r="X230" s="271"/>
      <c r="Y230" s="271"/>
      <c r="Z230" s="271"/>
    </row>
    <row r="231" spans="1:26" ht="15.75" customHeight="1" x14ac:dyDescent="0.25">
      <c r="A231" s="271"/>
      <c r="B231" s="271"/>
      <c r="C231" s="271"/>
      <c r="D231" s="271"/>
      <c r="E231" s="271"/>
      <c r="F231" s="271"/>
      <c r="G231" s="271"/>
      <c r="H231" s="271"/>
      <c r="I231" s="271"/>
      <c r="J231" s="271"/>
      <c r="K231" s="271"/>
      <c r="L231" s="271"/>
      <c r="M231" s="271"/>
      <c r="N231" s="271"/>
      <c r="O231" s="271"/>
      <c r="P231" s="271"/>
      <c r="Q231" s="271"/>
      <c r="R231" s="271"/>
      <c r="S231" s="271"/>
      <c r="T231" s="271"/>
      <c r="U231" s="271"/>
      <c r="V231" s="271"/>
      <c r="W231" s="271"/>
      <c r="X231" s="271"/>
      <c r="Y231" s="271"/>
      <c r="Z231" s="271"/>
    </row>
    <row r="232" spans="1:26" ht="15.75" customHeight="1" x14ac:dyDescent="0.25">
      <c r="A232" s="271"/>
      <c r="B232" s="271"/>
      <c r="C232" s="271"/>
      <c r="D232" s="271"/>
      <c r="E232" s="271"/>
      <c r="F232" s="271"/>
      <c r="G232" s="271"/>
      <c r="H232" s="271"/>
      <c r="I232" s="271"/>
      <c r="J232" s="271"/>
      <c r="K232" s="271"/>
      <c r="L232" s="271"/>
      <c r="M232" s="271"/>
      <c r="N232" s="271"/>
      <c r="O232" s="271"/>
      <c r="P232" s="271"/>
      <c r="Q232" s="271"/>
      <c r="R232" s="271"/>
      <c r="S232" s="271"/>
      <c r="T232" s="271"/>
      <c r="U232" s="271"/>
      <c r="V232" s="271"/>
      <c r="W232" s="271"/>
      <c r="X232" s="271"/>
      <c r="Y232" s="271"/>
      <c r="Z232" s="271"/>
    </row>
    <row r="233" spans="1:26" ht="15.75" customHeight="1" x14ac:dyDescent="0.25">
      <c r="A233" s="271"/>
      <c r="B233" s="271"/>
      <c r="C233" s="271"/>
      <c r="D233" s="271"/>
      <c r="E233" s="271"/>
      <c r="F233" s="271"/>
      <c r="G233" s="271"/>
      <c r="H233" s="271"/>
      <c r="I233" s="271"/>
      <c r="J233" s="271"/>
      <c r="K233" s="271"/>
      <c r="L233" s="271"/>
      <c r="M233" s="271"/>
      <c r="N233" s="271"/>
      <c r="O233" s="271"/>
      <c r="P233" s="271"/>
      <c r="Q233" s="271"/>
      <c r="R233" s="271"/>
      <c r="S233" s="271"/>
      <c r="T233" s="271"/>
      <c r="U233" s="271"/>
      <c r="V233" s="271"/>
      <c r="W233" s="271"/>
      <c r="X233" s="271"/>
      <c r="Y233" s="271"/>
      <c r="Z233" s="271"/>
    </row>
    <row r="234" spans="1:26" ht="15.75" customHeight="1" x14ac:dyDescent="0.25">
      <c r="A234" s="271"/>
      <c r="B234" s="271"/>
      <c r="C234" s="271"/>
      <c r="D234" s="271"/>
      <c r="E234" s="271"/>
      <c r="F234" s="271"/>
      <c r="G234" s="271"/>
      <c r="H234" s="271"/>
      <c r="I234" s="271"/>
      <c r="J234" s="271"/>
      <c r="K234" s="271"/>
      <c r="L234" s="271"/>
      <c r="M234" s="271"/>
      <c r="N234" s="271"/>
      <c r="O234" s="271"/>
      <c r="P234" s="271"/>
      <c r="Q234" s="271"/>
      <c r="R234" s="271"/>
      <c r="S234" s="271"/>
      <c r="T234" s="271"/>
      <c r="U234" s="271"/>
      <c r="V234" s="271"/>
      <c r="W234" s="271"/>
      <c r="X234" s="271"/>
      <c r="Y234" s="271"/>
      <c r="Z234" s="271"/>
    </row>
    <row r="235" spans="1:26" ht="15.75" customHeight="1" x14ac:dyDescent="0.25">
      <c r="A235" s="271"/>
      <c r="B235" s="271"/>
      <c r="C235" s="271"/>
      <c r="D235" s="271"/>
      <c r="E235" s="271"/>
      <c r="F235" s="271"/>
      <c r="G235" s="271"/>
      <c r="H235" s="271"/>
      <c r="I235" s="271"/>
      <c r="J235" s="271"/>
      <c r="K235" s="271"/>
      <c r="L235" s="271"/>
      <c r="M235" s="271"/>
      <c r="N235" s="271"/>
      <c r="O235" s="271"/>
      <c r="P235" s="271"/>
      <c r="Q235" s="271"/>
      <c r="R235" s="271"/>
      <c r="S235" s="271"/>
      <c r="T235" s="271"/>
      <c r="U235" s="271"/>
      <c r="V235" s="271"/>
      <c r="W235" s="271"/>
      <c r="X235" s="271"/>
      <c r="Y235" s="271"/>
      <c r="Z235" s="271"/>
    </row>
    <row r="236" spans="1:26" ht="15.75" customHeight="1" x14ac:dyDescent="0.25">
      <c r="A236" s="271"/>
      <c r="B236" s="271"/>
      <c r="C236" s="271"/>
      <c r="D236" s="271"/>
      <c r="E236" s="271"/>
      <c r="F236" s="271"/>
      <c r="G236" s="271"/>
      <c r="H236" s="271"/>
      <c r="I236" s="271"/>
      <c r="J236" s="271"/>
      <c r="K236" s="271"/>
      <c r="L236" s="271"/>
      <c r="M236" s="271"/>
      <c r="N236" s="271"/>
      <c r="O236" s="271"/>
      <c r="P236" s="271"/>
      <c r="Q236" s="271"/>
      <c r="R236" s="271"/>
      <c r="S236" s="271"/>
      <c r="T236" s="271"/>
      <c r="U236" s="271"/>
      <c r="V236" s="271"/>
      <c r="W236" s="271"/>
      <c r="X236" s="271"/>
      <c r="Y236" s="271"/>
      <c r="Z236" s="271"/>
    </row>
    <row r="237" spans="1:26" ht="15.75" customHeight="1" x14ac:dyDescent="0.25">
      <c r="A237" s="271"/>
      <c r="B237" s="271"/>
      <c r="C237" s="271"/>
      <c r="D237" s="271"/>
      <c r="E237" s="271"/>
      <c r="F237" s="271"/>
      <c r="G237" s="271"/>
      <c r="H237" s="271"/>
      <c r="I237" s="271"/>
      <c r="J237" s="271"/>
      <c r="K237" s="271"/>
      <c r="L237" s="271"/>
      <c r="M237" s="271"/>
      <c r="N237" s="271"/>
      <c r="O237" s="271"/>
      <c r="P237" s="271"/>
      <c r="Q237" s="271"/>
      <c r="R237" s="271"/>
      <c r="S237" s="271"/>
      <c r="T237" s="271"/>
      <c r="U237" s="271"/>
      <c r="V237" s="271"/>
      <c r="W237" s="271"/>
      <c r="X237" s="271"/>
      <c r="Y237" s="271"/>
      <c r="Z237" s="271"/>
    </row>
    <row r="238" spans="1:26" ht="15.75" customHeight="1" x14ac:dyDescent="0.25">
      <c r="A238" s="271"/>
      <c r="B238" s="271"/>
      <c r="C238" s="271"/>
      <c r="D238" s="271"/>
      <c r="E238" s="271"/>
      <c r="F238" s="271"/>
      <c r="G238" s="271"/>
      <c r="H238" s="271"/>
      <c r="I238" s="271"/>
      <c r="J238" s="271"/>
      <c r="K238" s="271"/>
      <c r="L238" s="271"/>
      <c r="M238" s="271"/>
      <c r="N238" s="271"/>
      <c r="O238" s="271"/>
      <c r="P238" s="271"/>
      <c r="Q238" s="271"/>
      <c r="R238" s="271"/>
      <c r="S238" s="271"/>
      <c r="T238" s="271"/>
      <c r="U238" s="271"/>
      <c r="V238" s="271"/>
      <c r="W238" s="271"/>
      <c r="X238" s="271"/>
      <c r="Y238" s="271"/>
      <c r="Z238" s="271"/>
    </row>
    <row r="239" spans="1:26" ht="15.75" customHeight="1" x14ac:dyDescent="0.25">
      <c r="A239" s="271"/>
      <c r="B239" s="271"/>
      <c r="C239" s="271"/>
      <c r="D239" s="271"/>
      <c r="E239" s="271"/>
      <c r="F239" s="271"/>
      <c r="G239" s="271"/>
      <c r="H239" s="271"/>
      <c r="I239" s="271"/>
      <c r="J239" s="271"/>
      <c r="K239" s="271"/>
      <c r="L239" s="271"/>
      <c r="M239" s="271"/>
      <c r="N239" s="271"/>
      <c r="O239" s="271"/>
      <c r="P239" s="271"/>
      <c r="Q239" s="271"/>
      <c r="R239" s="271"/>
      <c r="S239" s="271"/>
      <c r="T239" s="271"/>
      <c r="U239" s="271"/>
      <c r="V239" s="271"/>
      <c r="W239" s="271"/>
      <c r="X239" s="271"/>
      <c r="Y239" s="271"/>
      <c r="Z239" s="271"/>
    </row>
    <row r="240" spans="1:26" ht="15.75" customHeight="1" x14ac:dyDescent="0.25">
      <c r="A240" s="271"/>
      <c r="B240" s="271"/>
      <c r="C240" s="271"/>
      <c r="D240" s="271"/>
      <c r="E240" s="271"/>
      <c r="F240" s="271"/>
      <c r="G240" s="271"/>
      <c r="H240" s="271"/>
      <c r="I240" s="271"/>
      <c r="J240" s="271"/>
      <c r="K240" s="271"/>
      <c r="L240" s="271"/>
      <c r="M240" s="271"/>
      <c r="N240" s="271"/>
      <c r="O240" s="271"/>
      <c r="P240" s="271"/>
      <c r="Q240" s="271"/>
      <c r="R240" s="271"/>
      <c r="S240" s="271"/>
      <c r="T240" s="271"/>
      <c r="U240" s="271"/>
      <c r="V240" s="271"/>
      <c r="W240" s="271"/>
      <c r="X240" s="271"/>
      <c r="Y240" s="271"/>
      <c r="Z240" s="271"/>
    </row>
    <row r="241" spans="1:26" ht="15.75" customHeight="1" x14ac:dyDescent="0.25">
      <c r="A241" s="271"/>
      <c r="B241" s="271"/>
      <c r="C241" s="271"/>
      <c r="D241" s="271"/>
      <c r="E241" s="271"/>
      <c r="F241" s="271"/>
      <c r="G241" s="271"/>
      <c r="H241" s="271"/>
      <c r="I241" s="271"/>
      <c r="J241" s="271"/>
      <c r="K241" s="271"/>
      <c r="L241" s="271"/>
      <c r="M241" s="271"/>
      <c r="N241" s="271"/>
      <c r="O241" s="271"/>
      <c r="P241" s="271"/>
      <c r="Q241" s="271"/>
      <c r="R241" s="271"/>
      <c r="S241" s="271"/>
      <c r="T241" s="271"/>
      <c r="U241" s="271"/>
      <c r="V241" s="271"/>
      <c r="W241" s="271"/>
      <c r="X241" s="271"/>
      <c r="Y241" s="271"/>
      <c r="Z241" s="271"/>
    </row>
    <row r="242" spans="1:26" ht="15.75" customHeight="1" x14ac:dyDescent="0.25">
      <c r="A242" s="271"/>
      <c r="B242" s="271"/>
      <c r="C242" s="271"/>
      <c r="D242" s="271"/>
      <c r="E242" s="271"/>
      <c r="F242" s="271"/>
      <c r="G242" s="271"/>
      <c r="H242" s="271"/>
      <c r="I242" s="271"/>
      <c r="J242" s="271"/>
      <c r="K242" s="271"/>
      <c r="L242" s="271"/>
      <c r="M242" s="271"/>
      <c r="N242" s="271"/>
      <c r="O242" s="271"/>
      <c r="P242" s="271"/>
      <c r="Q242" s="271"/>
      <c r="R242" s="271"/>
      <c r="S242" s="271"/>
      <c r="T242" s="271"/>
      <c r="U242" s="271"/>
      <c r="V242" s="271"/>
      <c r="W242" s="271"/>
      <c r="X242" s="271"/>
      <c r="Y242" s="271"/>
      <c r="Z242" s="271"/>
    </row>
    <row r="243" spans="1:26" ht="15.75" customHeight="1" x14ac:dyDescent="0.25">
      <c r="A243" s="271"/>
      <c r="B243" s="271"/>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c r="Z243" s="271"/>
    </row>
    <row r="244" spans="1:26" ht="15.75" customHeight="1" x14ac:dyDescent="0.25">
      <c r="A244" s="271"/>
      <c r="B244" s="271"/>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c r="Z244" s="271"/>
    </row>
    <row r="245" spans="1:26" ht="15.75" customHeight="1" x14ac:dyDescent="0.25">
      <c r="A245" s="271"/>
      <c r="B245" s="271"/>
      <c r="C245" s="271"/>
      <c r="D245" s="271"/>
      <c r="E245" s="271"/>
      <c r="F245" s="271"/>
      <c r="G245" s="271"/>
      <c r="H245" s="271"/>
      <c r="I245" s="271"/>
      <c r="J245" s="271"/>
      <c r="K245" s="271"/>
      <c r="L245" s="271"/>
      <c r="M245" s="271"/>
      <c r="N245" s="271"/>
      <c r="O245" s="271"/>
      <c r="P245" s="271"/>
      <c r="Q245" s="271"/>
      <c r="R245" s="271"/>
      <c r="S245" s="271"/>
      <c r="T245" s="271"/>
      <c r="U245" s="271"/>
      <c r="V245" s="271"/>
      <c r="W245" s="271"/>
      <c r="X245" s="271"/>
      <c r="Y245" s="271"/>
      <c r="Z245" s="271"/>
    </row>
    <row r="246" spans="1:26" ht="15.75" customHeight="1" x14ac:dyDescent="0.25">
      <c r="A246" s="271"/>
      <c r="B246" s="271"/>
      <c r="C246" s="271"/>
      <c r="D246" s="271"/>
      <c r="E246" s="271"/>
      <c r="F246" s="271"/>
      <c r="G246" s="271"/>
      <c r="H246" s="271"/>
      <c r="I246" s="271"/>
      <c r="J246" s="271"/>
      <c r="K246" s="271"/>
      <c r="L246" s="271"/>
      <c r="M246" s="271"/>
      <c r="N246" s="271"/>
      <c r="O246" s="271"/>
      <c r="P246" s="271"/>
      <c r="Q246" s="271"/>
      <c r="R246" s="271"/>
      <c r="S246" s="271"/>
      <c r="T246" s="271"/>
      <c r="U246" s="271"/>
      <c r="V246" s="271"/>
      <c r="W246" s="271"/>
      <c r="X246" s="271"/>
      <c r="Y246" s="271"/>
      <c r="Z246" s="271"/>
    </row>
    <row r="247" spans="1:26" ht="15.75" customHeight="1" x14ac:dyDescent="0.25">
      <c r="A247" s="271"/>
      <c r="B247" s="271"/>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c r="Z247" s="271"/>
    </row>
    <row r="248" spans="1:26" ht="15.75" customHeight="1" x14ac:dyDescent="0.25">
      <c r="A248" s="271"/>
      <c r="B248" s="271"/>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c r="Z248" s="271"/>
    </row>
    <row r="249" spans="1:26" ht="15.75" customHeight="1" x14ac:dyDescent="0.25">
      <c r="A249" s="271"/>
      <c r="B249" s="271"/>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c r="Z249" s="271"/>
    </row>
    <row r="250" spans="1:26" ht="15.75" customHeight="1" x14ac:dyDescent="0.25">
      <c r="A250" s="271"/>
      <c r="B250" s="271"/>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row>
    <row r="251" spans="1:26" ht="15.75" customHeight="1" x14ac:dyDescent="0.25">
      <c r="A251" s="271"/>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row>
    <row r="252" spans="1:26" ht="15.75" customHeight="1" x14ac:dyDescent="0.25">
      <c r="A252" s="271"/>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row>
    <row r="253" spans="1:26" ht="15.75" customHeight="1" x14ac:dyDescent="0.25">
      <c r="A253" s="271"/>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row>
    <row r="254" spans="1:26" ht="15.75" customHeight="1" x14ac:dyDescent="0.25">
      <c r="A254" s="271"/>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row>
    <row r="255" spans="1:26" ht="15.75" customHeight="1" x14ac:dyDescent="0.25">
      <c r="A255" s="271"/>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row>
    <row r="256" spans="1:26" ht="15.75" customHeight="1" x14ac:dyDescent="0.25">
      <c r="A256" s="271"/>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row>
    <row r="257" spans="1:26" ht="15.75" customHeight="1" x14ac:dyDescent="0.25">
      <c r="A257" s="271"/>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row>
    <row r="258" spans="1:26" ht="15.75" customHeight="1" x14ac:dyDescent="0.25">
      <c r="A258" s="271"/>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row>
    <row r="259" spans="1:26" ht="15.75" customHeight="1" x14ac:dyDescent="0.25">
      <c r="A259" s="271"/>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row>
    <row r="260" spans="1:26" ht="15.75" customHeight="1" x14ac:dyDescent="0.25">
      <c r="A260" s="271"/>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row>
    <row r="261" spans="1:26" ht="15.75" customHeight="1" x14ac:dyDescent="0.25">
      <c r="A261" s="271"/>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row>
    <row r="262" spans="1:26" ht="15.75" customHeight="1" x14ac:dyDescent="0.25">
      <c r="A262" s="271"/>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row>
    <row r="263" spans="1:26" ht="15.75" customHeight="1" x14ac:dyDescent="0.25">
      <c r="A263" s="271"/>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row>
    <row r="264" spans="1:26" ht="15.75" customHeight="1" x14ac:dyDescent="0.25">
      <c r="A264" s="271"/>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row>
    <row r="265" spans="1:26" ht="15.75" customHeight="1" x14ac:dyDescent="0.25">
      <c r="A265" s="271"/>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row>
    <row r="266" spans="1:26" ht="15.75" customHeight="1" x14ac:dyDescent="0.25">
      <c r="A266" s="271"/>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row>
    <row r="267" spans="1:26" ht="15.75" customHeight="1" x14ac:dyDescent="0.25">
      <c r="A267" s="271"/>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row>
    <row r="268" spans="1:26" ht="15.75" customHeight="1" x14ac:dyDescent="0.25">
      <c r="A268" s="271"/>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row>
    <row r="269" spans="1:26" ht="15.75" customHeight="1" x14ac:dyDescent="0.25">
      <c r="A269" s="271"/>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row>
    <row r="270" spans="1:26" ht="15.75" customHeight="1" x14ac:dyDescent="0.25">
      <c r="A270" s="271"/>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row>
    <row r="271" spans="1:26" ht="15.75" customHeight="1" x14ac:dyDescent="0.25">
      <c r="A271" s="271"/>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row>
    <row r="272" spans="1:26" ht="15.75" customHeight="1" x14ac:dyDescent="0.25">
      <c r="A272" s="271"/>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row>
    <row r="273" spans="1:26" ht="15.75" customHeight="1" x14ac:dyDescent="0.25">
      <c r="A273" s="271"/>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row>
    <row r="274" spans="1:26" ht="15.75" customHeight="1" x14ac:dyDescent="0.25">
      <c r="A274" s="271"/>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row>
    <row r="275" spans="1:26" ht="15.75" customHeight="1" x14ac:dyDescent="0.25">
      <c r="A275" s="271"/>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row>
    <row r="276" spans="1:26" ht="15.75" customHeight="1" x14ac:dyDescent="0.25">
      <c r="A276" s="271"/>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row>
    <row r="277" spans="1:26" ht="15.75" customHeight="1" x14ac:dyDescent="0.25">
      <c r="A277" s="271"/>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row>
    <row r="278" spans="1:26" ht="15.75" customHeight="1" x14ac:dyDescent="0.25">
      <c r="A278" s="271"/>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row>
    <row r="279" spans="1:26" ht="15.75" customHeight="1" x14ac:dyDescent="0.25">
      <c r="A279" s="271"/>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row>
    <row r="280" spans="1:26" ht="15.75" customHeight="1" x14ac:dyDescent="0.25">
      <c r="A280" s="271"/>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row>
    <row r="281" spans="1:26" ht="15.75" customHeight="1" x14ac:dyDescent="0.25">
      <c r="A281" s="271"/>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row>
    <row r="282" spans="1:26" ht="15.75" customHeight="1" x14ac:dyDescent="0.25">
      <c r="A282" s="271"/>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row>
    <row r="283" spans="1:26" ht="15.75" customHeight="1" x14ac:dyDescent="0.25">
      <c r="A283" s="271"/>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row>
    <row r="284" spans="1:26" ht="15.75" customHeight="1" x14ac:dyDescent="0.25">
      <c r="A284" s="271"/>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row>
    <row r="285" spans="1:26" ht="15.75" customHeight="1" x14ac:dyDescent="0.25">
      <c r="A285" s="271"/>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row>
    <row r="286" spans="1:26" ht="15.75" customHeight="1" x14ac:dyDescent="0.25">
      <c r="A286" s="271"/>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row>
    <row r="287" spans="1:26" ht="15.75" customHeight="1" x14ac:dyDescent="0.25">
      <c r="A287" s="271"/>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row>
    <row r="288" spans="1:26" ht="15.75" customHeight="1" x14ac:dyDescent="0.25">
      <c r="A288" s="271"/>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row>
    <row r="289" spans="1:26" ht="15.75" customHeight="1" x14ac:dyDescent="0.25">
      <c r="A289" s="271"/>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row>
    <row r="290" spans="1:26" ht="15.75" customHeight="1" x14ac:dyDescent="0.25">
      <c r="A290" s="271"/>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row>
    <row r="291" spans="1:26" ht="15.75" customHeight="1" x14ac:dyDescent="0.25">
      <c r="A291" s="271"/>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row>
    <row r="292" spans="1:26" ht="15.75" customHeight="1" x14ac:dyDescent="0.25">
      <c r="A292" s="271"/>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row>
    <row r="293" spans="1:26" ht="15.75" customHeight="1" x14ac:dyDescent="0.25">
      <c r="A293" s="271"/>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row>
    <row r="294" spans="1:26" ht="15.75" customHeight="1" x14ac:dyDescent="0.25">
      <c r="A294" s="271"/>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row>
    <row r="295" spans="1:26" ht="15.75" customHeight="1" x14ac:dyDescent="0.25">
      <c r="A295" s="271"/>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row>
    <row r="296" spans="1:26" ht="15.75" customHeight="1" x14ac:dyDescent="0.25">
      <c r="A296" s="271"/>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row>
    <row r="297" spans="1:26" ht="15.75" customHeight="1" x14ac:dyDescent="0.25">
      <c r="A297" s="271"/>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row>
    <row r="298" spans="1:26" ht="15.75" customHeight="1" x14ac:dyDescent="0.25">
      <c r="A298" s="271"/>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row>
    <row r="299" spans="1:26" ht="15.75" customHeight="1" x14ac:dyDescent="0.25">
      <c r="A299" s="271"/>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row>
    <row r="300" spans="1:26" ht="15.75" customHeight="1" x14ac:dyDescent="0.25">
      <c r="A300" s="271"/>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row>
    <row r="301" spans="1:26" ht="15.75" customHeight="1" x14ac:dyDescent="0.25">
      <c r="A301" s="271"/>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row>
    <row r="302" spans="1:26" ht="15.75" customHeight="1" x14ac:dyDescent="0.25">
      <c r="A302" s="271"/>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row>
    <row r="303" spans="1:26" ht="15.75" customHeight="1" x14ac:dyDescent="0.25">
      <c r="A303" s="271"/>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row>
    <row r="304" spans="1:26" ht="15.75" customHeight="1" x14ac:dyDescent="0.25">
      <c r="A304" s="271"/>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row>
    <row r="305" spans="1:26" ht="15.75" customHeight="1" x14ac:dyDescent="0.25">
      <c r="A305" s="271"/>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row>
    <row r="306" spans="1:26" ht="15.75" customHeight="1" x14ac:dyDescent="0.25">
      <c r="A306" s="271"/>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row>
    <row r="307" spans="1:26" ht="15.75" customHeight="1" x14ac:dyDescent="0.25">
      <c r="A307" s="271"/>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row>
    <row r="308" spans="1:26" ht="15.75" customHeight="1" x14ac:dyDescent="0.25">
      <c r="A308" s="271"/>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row>
    <row r="309" spans="1:26" ht="15.75" customHeight="1" x14ac:dyDescent="0.25">
      <c r="A309" s="271"/>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row>
    <row r="310" spans="1:26" ht="15.75" customHeight="1" x14ac:dyDescent="0.25">
      <c r="A310" s="271"/>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row>
    <row r="311" spans="1:26" ht="15.75" customHeight="1" x14ac:dyDescent="0.25">
      <c r="A311" s="271"/>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row>
    <row r="312" spans="1:26" ht="15.75" customHeight="1" x14ac:dyDescent="0.25">
      <c r="A312" s="271"/>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row>
    <row r="313" spans="1:26" ht="15.75" customHeight="1" x14ac:dyDescent="0.25">
      <c r="A313" s="271"/>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row>
    <row r="314" spans="1:26" ht="15.75" customHeight="1" x14ac:dyDescent="0.25">
      <c r="A314" s="271"/>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row>
    <row r="315" spans="1:26" ht="15.75" customHeight="1" x14ac:dyDescent="0.25">
      <c r="A315" s="271"/>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row>
    <row r="316" spans="1:26" ht="15.75" customHeight="1" x14ac:dyDescent="0.25">
      <c r="A316" s="271"/>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row>
    <row r="317" spans="1:26" ht="15.75" customHeight="1" x14ac:dyDescent="0.25">
      <c r="A317" s="271"/>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row>
    <row r="318" spans="1:26" ht="15.75" customHeight="1" x14ac:dyDescent="0.25">
      <c r="A318" s="271"/>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row>
    <row r="319" spans="1:26" ht="15.75" customHeight="1" x14ac:dyDescent="0.25">
      <c r="A319" s="271"/>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row>
    <row r="320" spans="1:26" ht="15.75" customHeight="1" x14ac:dyDescent="0.25">
      <c r="A320" s="271"/>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row>
    <row r="321" spans="1:26" ht="15.75" customHeight="1" x14ac:dyDescent="0.25">
      <c r="A321" s="271"/>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row>
    <row r="322" spans="1:26" ht="15.75" customHeight="1" x14ac:dyDescent="0.25">
      <c r="A322" s="271"/>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row>
    <row r="323" spans="1:26" ht="15.75" customHeight="1" x14ac:dyDescent="0.25">
      <c r="A323" s="271"/>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row>
    <row r="324" spans="1:26" ht="15.75" customHeight="1" x14ac:dyDescent="0.25">
      <c r="A324" s="271"/>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row>
    <row r="325" spans="1:26" ht="15.75" customHeight="1" x14ac:dyDescent="0.25">
      <c r="A325" s="271"/>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row>
    <row r="326" spans="1:26" ht="15.75" customHeight="1" x14ac:dyDescent="0.25">
      <c r="A326" s="271"/>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row>
    <row r="327" spans="1:26" ht="15.75" customHeight="1" x14ac:dyDescent="0.25">
      <c r="A327" s="271"/>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row>
    <row r="328" spans="1:26" ht="15.75" customHeight="1" x14ac:dyDescent="0.25">
      <c r="A328" s="271"/>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row>
    <row r="329" spans="1:26" ht="15.75" customHeight="1" x14ac:dyDescent="0.25">
      <c r="A329" s="271"/>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row>
    <row r="330" spans="1:26" ht="15.75" customHeight="1" x14ac:dyDescent="0.25">
      <c r="A330" s="271"/>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row>
    <row r="331" spans="1:26" ht="15.75" customHeight="1" x14ac:dyDescent="0.25">
      <c r="A331" s="271"/>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row>
    <row r="332" spans="1:26" ht="15.75" customHeight="1" x14ac:dyDescent="0.25">
      <c r="A332" s="271"/>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row>
    <row r="333" spans="1:26" ht="15.75" customHeight="1" x14ac:dyDescent="0.25">
      <c r="A333" s="271"/>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row>
    <row r="334" spans="1:26" ht="15.75" customHeight="1" x14ac:dyDescent="0.25">
      <c r="A334" s="271"/>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row>
    <row r="335" spans="1:26" ht="15.75" customHeight="1" x14ac:dyDescent="0.25">
      <c r="A335" s="271"/>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row>
    <row r="336" spans="1:26" ht="15.75" customHeight="1" x14ac:dyDescent="0.25">
      <c r="A336" s="271"/>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row>
    <row r="337" spans="1:26" ht="15.75" customHeight="1" x14ac:dyDescent="0.25">
      <c r="A337" s="271"/>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row>
    <row r="338" spans="1:26" ht="15.75" customHeight="1" x14ac:dyDescent="0.25">
      <c r="A338" s="271"/>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row>
    <row r="339" spans="1:26" ht="15.75" customHeight="1" x14ac:dyDescent="0.25">
      <c r="A339" s="271"/>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row>
    <row r="340" spans="1:26" ht="15.75" customHeight="1" x14ac:dyDescent="0.25">
      <c r="A340" s="271"/>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row>
    <row r="341" spans="1:26" ht="15.75" customHeight="1" x14ac:dyDescent="0.25">
      <c r="A341" s="271"/>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row>
    <row r="342" spans="1:26" ht="15.75" customHeight="1" x14ac:dyDescent="0.25">
      <c r="A342" s="271"/>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row>
    <row r="343" spans="1:26" ht="15.75" customHeight="1" x14ac:dyDescent="0.25">
      <c r="A343" s="271"/>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row>
    <row r="344" spans="1:26" ht="15.75" customHeight="1" x14ac:dyDescent="0.25">
      <c r="A344" s="271"/>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row>
    <row r="345" spans="1:26" ht="15.75" customHeight="1" x14ac:dyDescent="0.25">
      <c r="A345" s="271"/>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row>
    <row r="346" spans="1:26" ht="15.75" customHeight="1" x14ac:dyDescent="0.25">
      <c r="A346" s="271"/>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row>
    <row r="347" spans="1:26" ht="15.75" customHeight="1" x14ac:dyDescent="0.25">
      <c r="A347" s="271"/>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row>
    <row r="348" spans="1:26" ht="15.75" customHeight="1" x14ac:dyDescent="0.25">
      <c r="A348" s="271"/>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row>
    <row r="349" spans="1:26" ht="15.75" customHeight="1" x14ac:dyDescent="0.25">
      <c r="A349" s="271"/>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row>
    <row r="350" spans="1:26" ht="15.75" customHeight="1" x14ac:dyDescent="0.25">
      <c r="A350" s="271"/>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row>
    <row r="351" spans="1:26" ht="15.75" customHeight="1" x14ac:dyDescent="0.25">
      <c r="A351" s="271"/>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row>
    <row r="352" spans="1:26" ht="15.75" customHeight="1" x14ac:dyDescent="0.25">
      <c r="A352" s="271"/>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row>
    <row r="353" spans="1:26" ht="15.75" customHeight="1" x14ac:dyDescent="0.25">
      <c r="A353" s="271"/>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row>
    <row r="354" spans="1:26" ht="15.75" customHeight="1" x14ac:dyDescent="0.25">
      <c r="A354" s="271"/>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row>
    <row r="355" spans="1:26" ht="15.75" customHeight="1" x14ac:dyDescent="0.25">
      <c r="A355" s="271"/>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row>
    <row r="356" spans="1:26" ht="15.75" customHeight="1" x14ac:dyDescent="0.25">
      <c r="A356" s="271"/>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row>
    <row r="357" spans="1:26" ht="15.75" customHeight="1" x14ac:dyDescent="0.25">
      <c r="A357" s="271"/>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row>
    <row r="358" spans="1:26" ht="15.75" customHeight="1" x14ac:dyDescent="0.25">
      <c r="A358" s="271"/>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row>
    <row r="359" spans="1:26" ht="15.75" customHeight="1" x14ac:dyDescent="0.25">
      <c r="A359" s="271"/>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row>
    <row r="360" spans="1:26" ht="15.75" customHeight="1" x14ac:dyDescent="0.25">
      <c r="A360" s="271"/>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row>
    <row r="361" spans="1:26" ht="15.75" customHeight="1" x14ac:dyDescent="0.25">
      <c r="A361" s="271"/>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row>
    <row r="362" spans="1:26" ht="15.75" customHeight="1" x14ac:dyDescent="0.25">
      <c r="A362" s="271"/>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row>
    <row r="363" spans="1:26" ht="15.75" customHeight="1" x14ac:dyDescent="0.25">
      <c r="A363" s="271"/>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row>
    <row r="364" spans="1:26" ht="15.75" customHeight="1" x14ac:dyDescent="0.25">
      <c r="A364" s="271"/>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row>
    <row r="365" spans="1:26" ht="15.75" customHeight="1" x14ac:dyDescent="0.25">
      <c r="A365" s="271"/>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row>
    <row r="366" spans="1:26" ht="15.75" customHeight="1" x14ac:dyDescent="0.25">
      <c r="A366" s="271"/>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row>
    <row r="367" spans="1:26" ht="15.75" customHeight="1" x14ac:dyDescent="0.25">
      <c r="A367" s="271"/>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row>
    <row r="368" spans="1:26" ht="15.75" customHeight="1" x14ac:dyDescent="0.25">
      <c r="A368" s="271"/>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row>
    <row r="369" spans="1:26" ht="15.75" customHeight="1" x14ac:dyDescent="0.25">
      <c r="A369" s="271"/>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row>
    <row r="370" spans="1:26" ht="15.75" customHeight="1" x14ac:dyDescent="0.25">
      <c r="A370" s="271"/>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row>
    <row r="371" spans="1:26" ht="15.75" customHeight="1" x14ac:dyDescent="0.25">
      <c r="A371" s="271"/>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row>
    <row r="372" spans="1:26" ht="15.75" customHeight="1" x14ac:dyDescent="0.25">
      <c r="A372" s="271"/>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row>
    <row r="373" spans="1:26" ht="15.75" customHeight="1" x14ac:dyDescent="0.25">
      <c r="A373" s="271"/>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row>
    <row r="374" spans="1:26" ht="15.75" customHeight="1" x14ac:dyDescent="0.25">
      <c r="A374" s="271"/>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row>
    <row r="375" spans="1:26" ht="15.75" customHeight="1" x14ac:dyDescent="0.25">
      <c r="A375" s="271"/>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row>
    <row r="376" spans="1:26" ht="15.75" customHeight="1" x14ac:dyDescent="0.25">
      <c r="A376" s="271"/>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row>
    <row r="377" spans="1:26" ht="15.75" customHeight="1" x14ac:dyDescent="0.25">
      <c r="A377" s="271"/>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row>
    <row r="378" spans="1:26" ht="15.75" customHeight="1" x14ac:dyDescent="0.25">
      <c r="A378" s="271"/>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row>
    <row r="379" spans="1:26" ht="15.75" customHeight="1" x14ac:dyDescent="0.25">
      <c r="A379" s="271"/>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row>
    <row r="380" spans="1:26" ht="15.75" customHeight="1" x14ac:dyDescent="0.25">
      <c r="A380" s="271"/>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row>
    <row r="381" spans="1:26" ht="15.75" customHeight="1" x14ac:dyDescent="0.25">
      <c r="A381" s="271"/>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row>
    <row r="382" spans="1:26" ht="15.75" customHeight="1" x14ac:dyDescent="0.25">
      <c r="A382" s="271"/>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row>
    <row r="383" spans="1:26" ht="15.75" customHeight="1" x14ac:dyDescent="0.25">
      <c r="A383" s="271"/>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row>
    <row r="384" spans="1:26" ht="15.75" customHeight="1" x14ac:dyDescent="0.25">
      <c r="A384" s="271"/>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row>
    <row r="385" spans="1:26" ht="15.75" customHeight="1" x14ac:dyDescent="0.25">
      <c r="A385" s="271"/>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row>
    <row r="386" spans="1:26" ht="15.75" customHeight="1" x14ac:dyDescent="0.25">
      <c r="A386" s="271"/>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row>
    <row r="387" spans="1:26" ht="15.75" customHeight="1" x14ac:dyDescent="0.25">
      <c r="A387" s="271"/>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row>
    <row r="388" spans="1:26" ht="15.75" customHeight="1" x14ac:dyDescent="0.25">
      <c r="A388" s="271"/>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row>
    <row r="389" spans="1:26" ht="15.75" customHeight="1" x14ac:dyDescent="0.25">
      <c r="A389" s="271"/>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row>
    <row r="390" spans="1:26" ht="15.75" customHeight="1" x14ac:dyDescent="0.25">
      <c r="A390" s="271"/>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row>
    <row r="391" spans="1:26" ht="15.75" customHeight="1" x14ac:dyDescent="0.25">
      <c r="A391" s="271"/>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row>
    <row r="392" spans="1:26" ht="15.75" customHeight="1" x14ac:dyDescent="0.25">
      <c r="A392" s="271"/>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row>
    <row r="393" spans="1:26" ht="15.75" customHeight="1" x14ac:dyDescent="0.25">
      <c r="A393" s="271"/>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row>
    <row r="394" spans="1:26" ht="15.75" customHeight="1" x14ac:dyDescent="0.25">
      <c r="A394" s="271"/>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row>
    <row r="395" spans="1:26" ht="15.75" customHeight="1" x14ac:dyDescent="0.25">
      <c r="A395" s="271"/>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row>
    <row r="396" spans="1:26" ht="15.75" customHeight="1" x14ac:dyDescent="0.25">
      <c r="A396" s="271"/>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row>
    <row r="397" spans="1:26" ht="15.75" customHeight="1" x14ac:dyDescent="0.25">
      <c r="A397" s="271"/>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row>
    <row r="398" spans="1:26" ht="15.75" customHeight="1" x14ac:dyDescent="0.25">
      <c r="A398" s="271"/>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row>
    <row r="399" spans="1:26" ht="15.75" customHeight="1" x14ac:dyDescent="0.25">
      <c r="A399" s="271"/>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row>
    <row r="400" spans="1:26" ht="15.75" customHeight="1" x14ac:dyDescent="0.25">
      <c r="A400" s="271"/>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row>
    <row r="401" spans="1:26" ht="15.75" customHeight="1" x14ac:dyDescent="0.25">
      <c r="A401" s="271"/>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row>
    <row r="402" spans="1:26" ht="15.75" customHeight="1" x14ac:dyDescent="0.25">
      <c r="A402" s="271"/>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row>
    <row r="403" spans="1:26" ht="15.75" customHeight="1" x14ac:dyDescent="0.25">
      <c r="A403" s="271"/>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row>
    <row r="404" spans="1:26" ht="15.75" customHeight="1" x14ac:dyDescent="0.25">
      <c r="A404" s="271"/>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row>
    <row r="405" spans="1:26" ht="15.75" customHeight="1" x14ac:dyDescent="0.25">
      <c r="A405" s="271"/>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row>
    <row r="406" spans="1:26" ht="15.75" customHeight="1" x14ac:dyDescent="0.25">
      <c r="A406" s="271"/>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row>
    <row r="407" spans="1:26" ht="15.75" customHeight="1" x14ac:dyDescent="0.25">
      <c r="A407" s="271"/>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row>
    <row r="408" spans="1:26" ht="15.75" customHeight="1" x14ac:dyDescent="0.25">
      <c r="A408" s="271"/>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row>
    <row r="409" spans="1:26" ht="15.75" customHeight="1" x14ac:dyDescent="0.25">
      <c r="A409" s="271"/>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row>
    <row r="410" spans="1:26" ht="15.75" customHeight="1" x14ac:dyDescent="0.25">
      <c r="A410" s="271"/>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row>
    <row r="411" spans="1:26" ht="15.75" customHeight="1" x14ac:dyDescent="0.25">
      <c r="A411" s="271"/>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row>
    <row r="412" spans="1:26" ht="15.75" customHeight="1" x14ac:dyDescent="0.25">
      <c r="A412" s="271"/>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row>
    <row r="413" spans="1:26" ht="15.75" customHeight="1" x14ac:dyDescent="0.25">
      <c r="A413" s="271"/>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row>
    <row r="414" spans="1:26" ht="15.75" customHeight="1" x14ac:dyDescent="0.25">
      <c r="A414" s="271"/>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row>
    <row r="415" spans="1:26" ht="15.75" customHeight="1" x14ac:dyDescent="0.25">
      <c r="A415" s="271"/>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row>
    <row r="416" spans="1:26" ht="15.75" customHeight="1" x14ac:dyDescent="0.25">
      <c r="A416" s="271"/>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row>
    <row r="417" spans="1:26" ht="15.75" customHeight="1" x14ac:dyDescent="0.25">
      <c r="A417" s="271"/>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row>
    <row r="418" spans="1:26" ht="15.75" customHeight="1" x14ac:dyDescent="0.25">
      <c r="A418" s="271"/>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row>
    <row r="419" spans="1:26" ht="15.75" customHeight="1" x14ac:dyDescent="0.25">
      <c r="A419" s="271"/>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row>
    <row r="420" spans="1:26" ht="15.75" customHeight="1" x14ac:dyDescent="0.25">
      <c r="A420" s="271"/>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row>
    <row r="421" spans="1:26" ht="15.75" customHeight="1" x14ac:dyDescent="0.25">
      <c r="A421" s="271"/>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row>
    <row r="422" spans="1:26" ht="15.75" customHeight="1" x14ac:dyDescent="0.25">
      <c r="A422" s="271"/>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row>
    <row r="423" spans="1:26" ht="15.75" customHeight="1" x14ac:dyDescent="0.25">
      <c r="A423" s="271"/>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row>
    <row r="424" spans="1:26" ht="15.75" customHeight="1" x14ac:dyDescent="0.25">
      <c r="A424" s="271"/>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row>
    <row r="425" spans="1:26" ht="15.75" customHeight="1" x14ac:dyDescent="0.25">
      <c r="A425" s="271"/>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row>
    <row r="426" spans="1:26" ht="15.75" customHeight="1" x14ac:dyDescent="0.25">
      <c r="A426" s="271"/>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row>
    <row r="427" spans="1:26" ht="15.75" customHeight="1" x14ac:dyDescent="0.25">
      <c r="A427" s="271"/>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row>
    <row r="428" spans="1:26" ht="15.75" customHeight="1" x14ac:dyDescent="0.25">
      <c r="A428" s="271"/>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row>
    <row r="429" spans="1:26" ht="15.75" customHeight="1" x14ac:dyDescent="0.25">
      <c r="A429" s="271"/>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row>
    <row r="430" spans="1:26" ht="15.75" customHeight="1" x14ac:dyDescent="0.25">
      <c r="A430" s="271"/>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row>
    <row r="431" spans="1:26" ht="15.75" customHeight="1" x14ac:dyDescent="0.25">
      <c r="A431" s="271"/>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row>
    <row r="432" spans="1:26" ht="15.75" customHeight="1" x14ac:dyDescent="0.25">
      <c r="A432" s="271"/>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row>
    <row r="433" spans="1:26" ht="15.75" customHeight="1" x14ac:dyDescent="0.25">
      <c r="A433" s="271"/>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row>
    <row r="434" spans="1:26" ht="15.75" customHeight="1" x14ac:dyDescent="0.25">
      <c r="A434" s="271"/>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row>
    <row r="435" spans="1:26" ht="15.75" customHeight="1" x14ac:dyDescent="0.25">
      <c r="A435" s="271"/>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row>
    <row r="436" spans="1:26" ht="15.75" customHeight="1" x14ac:dyDescent="0.25">
      <c r="A436" s="271"/>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row>
    <row r="437" spans="1:26" ht="15.75" customHeight="1" x14ac:dyDescent="0.25">
      <c r="A437" s="271"/>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row>
    <row r="438" spans="1:26" ht="15.75" customHeight="1" x14ac:dyDescent="0.25">
      <c r="A438" s="271"/>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row>
    <row r="439" spans="1:26" ht="15.75" customHeight="1" x14ac:dyDescent="0.25">
      <c r="A439" s="271"/>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row>
    <row r="440" spans="1:26" ht="15.75" customHeight="1" x14ac:dyDescent="0.25">
      <c r="A440" s="271"/>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row>
    <row r="441" spans="1:26" ht="15.75" customHeight="1" x14ac:dyDescent="0.25">
      <c r="A441" s="271"/>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row>
    <row r="442" spans="1:26" ht="15.75" customHeight="1" x14ac:dyDescent="0.25">
      <c r="A442" s="271"/>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row>
    <row r="443" spans="1:26" ht="15.75" customHeight="1" x14ac:dyDescent="0.25">
      <c r="A443" s="271"/>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row>
    <row r="444" spans="1:26" ht="15.75" customHeight="1" x14ac:dyDescent="0.25">
      <c r="A444" s="271"/>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row>
    <row r="445" spans="1:26" ht="15.75" customHeight="1" x14ac:dyDescent="0.25">
      <c r="A445" s="271"/>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row>
    <row r="446" spans="1:26" ht="15.75" customHeight="1" x14ac:dyDescent="0.25">
      <c r="A446" s="271"/>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row>
    <row r="447" spans="1:26" ht="15.75" customHeight="1" x14ac:dyDescent="0.25">
      <c r="A447" s="271"/>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row>
    <row r="448" spans="1:26" ht="15.75" customHeight="1" x14ac:dyDescent="0.25">
      <c r="A448" s="271"/>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row>
    <row r="449" spans="1:26" ht="15.75" customHeight="1" x14ac:dyDescent="0.25">
      <c r="A449" s="271"/>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row>
    <row r="450" spans="1:26" ht="15.75" customHeight="1" x14ac:dyDescent="0.25">
      <c r="A450" s="271"/>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row>
    <row r="451" spans="1:26" ht="15.75" customHeight="1" x14ac:dyDescent="0.25">
      <c r="A451" s="271"/>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row>
    <row r="452" spans="1:26" ht="15.75" customHeight="1" x14ac:dyDescent="0.25">
      <c r="A452" s="271"/>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row>
    <row r="453" spans="1:26" ht="15.75" customHeight="1" x14ac:dyDescent="0.25">
      <c r="A453" s="271"/>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row>
    <row r="454" spans="1:26" ht="15.75" customHeight="1" x14ac:dyDescent="0.25">
      <c r="A454" s="271"/>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row>
    <row r="455" spans="1:26" ht="15.75" customHeight="1" x14ac:dyDescent="0.25">
      <c r="A455" s="271"/>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row>
    <row r="456" spans="1:26" ht="15.75" customHeight="1" x14ac:dyDescent="0.25">
      <c r="A456" s="271"/>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row>
    <row r="457" spans="1:26" ht="15.75" customHeight="1" x14ac:dyDescent="0.25">
      <c r="A457" s="271"/>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row>
    <row r="458" spans="1:26" ht="15.75" customHeight="1" x14ac:dyDescent="0.25">
      <c r="A458" s="271"/>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row>
    <row r="459" spans="1:26" ht="15.75" customHeight="1" x14ac:dyDescent="0.25">
      <c r="A459" s="271"/>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row>
    <row r="460" spans="1:26" ht="15.75" customHeight="1" x14ac:dyDescent="0.25">
      <c r="A460" s="271"/>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row>
    <row r="461" spans="1:26" ht="15.75" customHeight="1" x14ac:dyDescent="0.25">
      <c r="A461" s="271"/>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row>
    <row r="462" spans="1:26" ht="15.75" customHeight="1" x14ac:dyDescent="0.25">
      <c r="A462" s="271"/>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row>
    <row r="463" spans="1:26" ht="15.75" customHeight="1" x14ac:dyDescent="0.25">
      <c r="A463" s="271"/>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row>
    <row r="464" spans="1:26" ht="15.75" customHeight="1" x14ac:dyDescent="0.25">
      <c r="A464" s="271"/>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row>
    <row r="465" spans="1:26" ht="15.75" customHeight="1" x14ac:dyDescent="0.25">
      <c r="A465" s="271"/>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row>
    <row r="466" spans="1:26" ht="15.75" customHeight="1" x14ac:dyDescent="0.25">
      <c r="A466" s="271"/>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row>
    <row r="467" spans="1:26" ht="15.75" customHeight="1" x14ac:dyDescent="0.25">
      <c r="A467" s="271"/>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row>
    <row r="468" spans="1:26" ht="15.75" customHeight="1" x14ac:dyDescent="0.25">
      <c r="A468" s="271"/>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row>
    <row r="469" spans="1:26" ht="15.75" customHeight="1" x14ac:dyDescent="0.25">
      <c r="A469" s="271"/>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row>
    <row r="470" spans="1:26" ht="15.75" customHeight="1" x14ac:dyDescent="0.25">
      <c r="A470" s="271"/>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row>
    <row r="471" spans="1:26" ht="15.75" customHeight="1" x14ac:dyDescent="0.25">
      <c r="A471" s="271"/>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row>
    <row r="472" spans="1:26" ht="15.75" customHeight="1" x14ac:dyDescent="0.25">
      <c r="A472" s="271"/>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row>
    <row r="473" spans="1:26" ht="15.75" customHeight="1" x14ac:dyDescent="0.25">
      <c r="A473" s="271"/>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row>
    <row r="474" spans="1:26" ht="15.75" customHeight="1" x14ac:dyDescent="0.25">
      <c r="A474" s="271"/>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row>
    <row r="475" spans="1:26" ht="15.75" customHeight="1" x14ac:dyDescent="0.25">
      <c r="A475" s="271"/>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row>
    <row r="476" spans="1:26" ht="15.75" customHeight="1" x14ac:dyDescent="0.25">
      <c r="A476" s="271"/>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row>
    <row r="477" spans="1:26" ht="15.75" customHeight="1" x14ac:dyDescent="0.25">
      <c r="A477" s="271"/>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row>
    <row r="478" spans="1:26" ht="15.75" customHeight="1" x14ac:dyDescent="0.25">
      <c r="A478" s="271"/>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row>
    <row r="479" spans="1:26" ht="15.75" customHeight="1" x14ac:dyDescent="0.25">
      <c r="A479" s="271"/>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row>
    <row r="480" spans="1:26" ht="15.75" customHeight="1" x14ac:dyDescent="0.25">
      <c r="A480" s="271"/>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row>
    <row r="481" spans="1:26" ht="15.75" customHeight="1" x14ac:dyDescent="0.25">
      <c r="A481" s="271"/>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row>
    <row r="482" spans="1:26" ht="15.75" customHeight="1" x14ac:dyDescent="0.25">
      <c r="A482" s="271"/>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row>
    <row r="483" spans="1:26" ht="15.75" customHeight="1" x14ac:dyDescent="0.25">
      <c r="A483" s="271"/>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row>
    <row r="484" spans="1:26" ht="15.75" customHeight="1" x14ac:dyDescent="0.25">
      <c r="A484" s="271"/>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row>
    <row r="485" spans="1:26" ht="15.75" customHeight="1" x14ac:dyDescent="0.25">
      <c r="A485" s="271"/>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row>
    <row r="486" spans="1:26" ht="15.75" customHeight="1" x14ac:dyDescent="0.25">
      <c r="A486" s="271"/>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row>
    <row r="487" spans="1:26" ht="15.75" customHeight="1" x14ac:dyDescent="0.25">
      <c r="A487" s="271"/>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row>
    <row r="488" spans="1:26" ht="15.75" customHeight="1" x14ac:dyDescent="0.25">
      <c r="A488" s="271"/>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row>
    <row r="489" spans="1:26" ht="15.75" customHeight="1" x14ac:dyDescent="0.25">
      <c r="A489" s="271"/>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row>
    <row r="490" spans="1:26" ht="15.75" customHeight="1" x14ac:dyDescent="0.25">
      <c r="A490" s="271"/>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row>
    <row r="491" spans="1:26" ht="15.75" customHeight="1" x14ac:dyDescent="0.25">
      <c r="A491" s="271"/>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row>
    <row r="492" spans="1:26" ht="15.75" customHeight="1" x14ac:dyDescent="0.25">
      <c r="A492" s="271"/>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row>
    <row r="493" spans="1:26" ht="15.75" customHeight="1" x14ac:dyDescent="0.25">
      <c r="A493" s="271"/>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row>
    <row r="494" spans="1:26" ht="15.75" customHeight="1" x14ac:dyDescent="0.25">
      <c r="A494" s="271"/>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row>
    <row r="495" spans="1:26" ht="15.75" customHeight="1" x14ac:dyDescent="0.25">
      <c r="A495" s="271"/>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row>
    <row r="496" spans="1:26" ht="15.75" customHeight="1" x14ac:dyDescent="0.25">
      <c r="A496" s="271"/>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row>
    <row r="497" spans="1:26" ht="15.75" customHeight="1" x14ac:dyDescent="0.25">
      <c r="A497" s="271"/>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row>
    <row r="498" spans="1:26" ht="15.75" customHeight="1" x14ac:dyDescent="0.25">
      <c r="A498" s="271"/>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row>
    <row r="499" spans="1:26" ht="15.75" customHeight="1" x14ac:dyDescent="0.25">
      <c r="A499" s="271"/>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row>
    <row r="500" spans="1:26" ht="15.75" customHeight="1" x14ac:dyDescent="0.25">
      <c r="A500" s="271"/>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row>
    <row r="501" spans="1:26" ht="15.75" customHeight="1" x14ac:dyDescent="0.25">
      <c r="A501" s="271"/>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row>
    <row r="502" spans="1:26" ht="15.75" customHeight="1" x14ac:dyDescent="0.25">
      <c r="A502" s="271"/>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row>
    <row r="503" spans="1:26" ht="15.75" customHeight="1" x14ac:dyDescent="0.25">
      <c r="A503" s="271"/>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row>
    <row r="504" spans="1:26" ht="15.75" customHeight="1" x14ac:dyDescent="0.25">
      <c r="A504" s="271"/>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row>
    <row r="505" spans="1:26" ht="15.75" customHeight="1" x14ac:dyDescent="0.25">
      <c r="A505" s="271"/>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row>
    <row r="506" spans="1:26" ht="15.75" customHeight="1" x14ac:dyDescent="0.25">
      <c r="A506" s="271"/>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row>
    <row r="507" spans="1:26" ht="15.75" customHeight="1" x14ac:dyDescent="0.25">
      <c r="A507" s="271"/>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row>
    <row r="508" spans="1:26" ht="15.75" customHeight="1" x14ac:dyDescent="0.25">
      <c r="A508" s="271"/>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row>
    <row r="509" spans="1:26" ht="15.75" customHeight="1" x14ac:dyDescent="0.25">
      <c r="A509" s="271"/>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row>
    <row r="510" spans="1:26" ht="15.75" customHeight="1" x14ac:dyDescent="0.25">
      <c r="A510" s="271"/>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row>
    <row r="511" spans="1:26" ht="15.75" customHeight="1" x14ac:dyDescent="0.25">
      <c r="A511" s="271"/>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row>
    <row r="512" spans="1:26" ht="15.75" customHeight="1" x14ac:dyDescent="0.25">
      <c r="A512" s="271"/>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row>
    <row r="513" spans="1:26" ht="15.75" customHeight="1" x14ac:dyDescent="0.25">
      <c r="A513" s="271"/>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row>
    <row r="514" spans="1:26" ht="15.75" customHeight="1" x14ac:dyDescent="0.25">
      <c r="A514" s="271"/>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row>
    <row r="515" spans="1:26" ht="15.75" customHeight="1" x14ac:dyDescent="0.25">
      <c r="A515" s="271"/>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row>
    <row r="516" spans="1:26" ht="15.75" customHeight="1" x14ac:dyDescent="0.25">
      <c r="A516" s="271"/>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row>
    <row r="517" spans="1:26" ht="15.75" customHeight="1" x14ac:dyDescent="0.25">
      <c r="A517" s="271"/>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row>
    <row r="518" spans="1:26" ht="15.75" customHeight="1" x14ac:dyDescent="0.25">
      <c r="A518" s="271"/>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row>
    <row r="519" spans="1:26" ht="15.75" customHeight="1" x14ac:dyDescent="0.25">
      <c r="A519" s="271"/>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row>
    <row r="520" spans="1:26" ht="15.75" customHeight="1" x14ac:dyDescent="0.25">
      <c r="A520" s="271"/>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row>
    <row r="521" spans="1:26" ht="15.75" customHeight="1" x14ac:dyDescent="0.25">
      <c r="A521" s="271"/>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row>
    <row r="522" spans="1:26" ht="15.75" customHeight="1" x14ac:dyDescent="0.25">
      <c r="A522" s="271"/>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row>
    <row r="523" spans="1:26" ht="15.75" customHeight="1" x14ac:dyDescent="0.25">
      <c r="A523" s="271"/>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row>
    <row r="524" spans="1:26" ht="15.75" customHeight="1" x14ac:dyDescent="0.25">
      <c r="A524" s="271"/>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row>
    <row r="525" spans="1:26" ht="15.75" customHeight="1" x14ac:dyDescent="0.25">
      <c r="A525" s="271"/>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row>
    <row r="526" spans="1:26" ht="15.75" customHeight="1" x14ac:dyDescent="0.25">
      <c r="A526" s="271"/>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row>
    <row r="527" spans="1:26" ht="15.75" customHeight="1" x14ac:dyDescent="0.25">
      <c r="A527" s="271"/>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row>
    <row r="528" spans="1:26" ht="15.75" customHeight="1" x14ac:dyDescent="0.25">
      <c r="A528" s="271"/>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row>
    <row r="529" spans="1:26" ht="15.75" customHeight="1" x14ac:dyDescent="0.25">
      <c r="A529" s="271"/>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row>
    <row r="530" spans="1:26" ht="15.75" customHeight="1" x14ac:dyDescent="0.25">
      <c r="A530" s="271"/>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row>
    <row r="531" spans="1:26" ht="15.75" customHeight="1" x14ac:dyDescent="0.25">
      <c r="A531" s="271"/>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row>
    <row r="532" spans="1:26" ht="15.75" customHeight="1" x14ac:dyDescent="0.25">
      <c r="A532" s="271"/>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row>
    <row r="533" spans="1:26" ht="15.75" customHeight="1" x14ac:dyDescent="0.25">
      <c r="A533" s="271"/>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row>
    <row r="534" spans="1:26" ht="15.75" customHeight="1" x14ac:dyDescent="0.25">
      <c r="A534" s="271"/>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row>
    <row r="535" spans="1:26" ht="15.75" customHeight="1" x14ac:dyDescent="0.25">
      <c r="A535" s="271"/>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row>
    <row r="536" spans="1:26" ht="15.75" customHeight="1" x14ac:dyDescent="0.25">
      <c r="A536" s="271"/>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row>
    <row r="537" spans="1:26" ht="15.75" customHeight="1" x14ac:dyDescent="0.25">
      <c r="A537" s="271"/>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row>
    <row r="538" spans="1:26" ht="15.75" customHeight="1" x14ac:dyDescent="0.25">
      <c r="A538" s="271"/>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row>
    <row r="539" spans="1:26" ht="15.75" customHeight="1" x14ac:dyDescent="0.25">
      <c r="A539" s="271"/>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row>
    <row r="540" spans="1:26" ht="15.75" customHeight="1" x14ac:dyDescent="0.25">
      <c r="A540" s="271"/>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row>
    <row r="541" spans="1:26" ht="15.75" customHeight="1" x14ac:dyDescent="0.25">
      <c r="A541" s="271"/>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row>
    <row r="542" spans="1:26" ht="15.75" customHeight="1" x14ac:dyDescent="0.25">
      <c r="A542" s="271"/>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row>
    <row r="543" spans="1:26" ht="15.75" customHeight="1" x14ac:dyDescent="0.25">
      <c r="A543" s="271"/>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row>
    <row r="544" spans="1:26" ht="15.75" customHeight="1" x14ac:dyDescent="0.25">
      <c r="A544" s="271"/>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row>
    <row r="545" spans="1:26" ht="15.75" customHeight="1" x14ac:dyDescent="0.25">
      <c r="A545" s="271"/>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row>
    <row r="546" spans="1:26" ht="15.75" customHeight="1" x14ac:dyDescent="0.25">
      <c r="A546" s="271"/>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row>
    <row r="547" spans="1:26" ht="15.75" customHeight="1" x14ac:dyDescent="0.25">
      <c r="A547" s="271"/>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row>
    <row r="548" spans="1:26" ht="15.75" customHeight="1" x14ac:dyDescent="0.25">
      <c r="A548" s="271"/>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row>
    <row r="549" spans="1:26" ht="15.75" customHeight="1" x14ac:dyDescent="0.25">
      <c r="A549" s="271"/>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row>
    <row r="550" spans="1:26" ht="15.75" customHeight="1" x14ac:dyDescent="0.25">
      <c r="A550" s="271"/>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row>
    <row r="551" spans="1:26" ht="15.75" customHeight="1" x14ac:dyDescent="0.25">
      <c r="A551" s="271"/>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row>
    <row r="552" spans="1:26" ht="15.75" customHeight="1" x14ac:dyDescent="0.25">
      <c r="A552" s="271"/>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row>
    <row r="553" spans="1:26" ht="15.75" customHeight="1" x14ac:dyDescent="0.25">
      <c r="A553" s="271"/>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row>
    <row r="554" spans="1:26" ht="15.75" customHeight="1" x14ac:dyDescent="0.25">
      <c r="A554" s="271"/>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row>
    <row r="555" spans="1:26" ht="15.75" customHeight="1" x14ac:dyDescent="0.25">
      <c r="A555" s="271"/>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row>
    <row r="556" spans="1:26" ht="15.75" customHeight="1" x14ac:dyDescent="0.25">
      <c r="A556" s="271"/>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row>
    <row r="557" spans="1:26" ht="15.75" customHeight="1" x14ac:dyDescent="0.25">
      <c r="A557" s="271"/>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row>
    <row r="558" spans="1:26" ht="15.75" customHeight="1" x14ac:dyDescent="0.25">
      <c r="A558" s="271"/>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row>
    <row r="559" spans="1:26" ht="15.75" customHeight="1" x14ac:dyDescent="0.25">
      <c r="A559" s="271"/>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row>
    <row r="560" spans="1:26" ht="15.75" customHeight="1" x14ac:dyDescent="0.25">
      <c r="A560" s="271"/>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row>
    <row r="561" spans="1:26" ht="15.75" customHeight="1" x14ac:dyDescent="0.25">
      <c r="A561" s="271"/>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row>
    <row r="562" spans="1:26" ht="15.75" customHeight="1" x14ac:dyDescent="0.25">
      <c r="A562" s="271"/>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row>
    <row r="563" spans="1:26" ht="15.75" customHeight="1" x14ac:dyDescent="0.25">
      <c r="A563" s="271"/>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row>
    <row r="564" spans="1:26" ht="15.75" customHeight="1" x14ac:dyDescent="0.25">
      <c r="A564" s="271"/>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row>
    <row r="565" spans="1:26" ht="15.75" customHeight="1" x14ac:dyDescent="0.25">
      <c r="A565" s="271"/>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row>
    <row r="566" spans="1:26" ht="15.75" customHeight="1" x14ac:dyDescent="0.25">
      <c r="A566" s="271"/>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row>
    <row r="567" spans="1:26" ht="15.75" customHeight="1" x14ac:dyDescent="0.25">
      <c r="A567" s="271"/>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row>
    <row r="568" spans="1:26" ht="15.75" customHeight="1" x14ac:dyDescent="0.25">
      <c r="A568" s="271"/>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row>
    <row r="569" spans="1:26" ht="15.75" customHeight="1" x14ac:dyDescent="0.25">
      <c r="A569" s="271"/>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row>
    <row r="570" spans="1:26" ht="15.75" customHeight="1" x14ac:dyDescent="0.25">
      <c r="A570" s="271"/>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row>
    <row r="571" spans="1:26" ht="15.75" customHeight="1" x14ac:dyDescent="0.25">
      <c r="A571" s="271"/>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row>
    <row r="572" spans="1:26" ht="15.75" customHeight="1" x14ac:dyDescent="0.25">
      <c r="A572" s="271"/>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row>
    <row r="573" spans="1:26" ht="15.75" customHeight="1" x14ac:dyDescent="0.25">
      <c r="A573" s="271"/>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row>
    <row r="574" spans="1:26" ht="15.75" customHeight="1" x14ac:dyDescent="0.25">
      <c r="A574" s="271"/>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row>
    <row r="575" spans="1:26" ht="15.75" customHeight="1" x14ac:dyDescent="0.25">
      <c r="A575" s="271"/>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row>
    <row r="576" spans="1:26" ht="15.75" customHeight="1" x14ac:dyDescent="0.25">
      <c r="A576" s="271"/>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row>
    <row r="577" spans="1:26" ht="15.75" customHeight="1" x14ac:dyDescent="0.25">
      <c r="A577" s="271"/>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row>
    <row r="578" spans="1:26" ht="15.75" customHeight="1" x14ac:dyDescent="0.25">
      <c r="A578" s="271"/>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row>
    <row r="579" spans="1:26" ht="15.75" customHeight="1" x14ac:dyDescent="0.25">
      <c r="A579" s="271"/>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row>
    <row r="580" spans="1:26" ht="15.75" customHeight="1" x14ac:dyDescent="0.25">
      <c r="A580" s="271"/>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row>
    <row r="581" spans="1:26" ht="15.75" customHeight="1" x14ac:dyDescent="0.25">
      <c r="A581" s="271"/>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row>
    <row r="582" spans="1:26" ht="15.75" customHeight="1" x14ac:dyDescent="0.25">
      <c r="A582" s="271"/>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row>
    <row r="583" spans="1:26" ht="15.75" customHeight="1" x14ac:dyDescent="0.25">
      <c r="A583" s="271"/>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row>
    <row r="584" spans="1:26" ht="15.75" customHeight="1" x14ac:dyDescent="0.25">
      <c r="A584" s="271"/>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row>
    <row r="585" spans="1:26" ht="15.75" customHeight="1" x14ac:dyDescent="0.25">
      <c r="A585" s="271"/>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row>
    <row r="586" spans="1:26" ht="15.75" customHeight="1" x14ac:dyDescent="0.25">
      <c r="A586" s="271"/>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row>
    <row r="587" spans="1:26" ht="15.75" customHeight="1" x14ac:dyDescent="0.25">
      <c r="A587" s="271"/>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row>
    <row r="588" spans="1:26" ht="15.75" customHeight="1" x14ac:dyDescent="0.25">
      <c r="A588" s="271"/>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row>
    <row r="589" spans="1:26" ht="15.75" customHeight="1" x14ac:dyDescent="0.25">
      <c r="A589" s="271"/>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row>
    <row r="590" spans="1:26" ht="15.75" customHeight="1" x14ac:dyDescent="0.25">
      <c r="A590" s="271"/>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row>
    <row r="591" spans="1:26" ht="15.75" customHeight="1" x14ac:dyDescent="0.25">
      <c r="A591" s="271"/>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row>
    <row r="592" spans="1:26" ht="15.75" customHeight="1" x14ac:dyDescent="0.25">
      <c r="A592" s="271"/>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row>
    <row r="593" spans="1:26" ht="15.75" customHeight="1" x14ac:dyDescent="0.25">
      <c r="A593" s="271"/>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row>
    <row r="594" spans="1:26" ht="15.75" customHeight="1" x14ac:dyDescent="0.25">
      <c r="A594" s="271"/>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row>
    <row r="595" spans="1:26" ht="15.75" customHeight="1" x14ac:dyDescent="0.25">
      <c r="A595" s="271"/>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row>
    <row r="596" spans="1:26" ht="15.75" customHeight="1" x14ac:dyDescent="0.25">
      <c r="A596" s="271"/>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row>
    <row r="597" spans="1:26" ht="15.75" customHeight="1" x14ac:dyDescent="0.25">
      <c r="A597" s="271"/>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row>
    <row r="598" spans="1:26" ht="15.75" customHeight="1" x14ac:dyDescent="0.25">
      <c r="A598" s="271"/>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row>
    <row r="599" spans="1:26" ht="15.75" customHeight="1" x14ac:dyDescent="0.25">
      <c r="A599" s="271"/>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row>
    <row r="600" spans="1:26" ht="15.75" customHeight="1" x14ac:dyDescent="0.25">
      <c r="A600" s="271"/>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row>
    <row r="601" spans="1:26" ht="15.75" customHeight="1" x14ac:dyDescent="0.25">
      <c r="A601" s="271"/>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row>
    <row r="602" spans="1:26" ht="15.75" customHeight="1" x14ac:dyDescent="0.25">
      <c r="A602" s="271"/>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row>
    <row r="603" spans="1:26" ht="15.75" customHeight="1" x14ac:dyDescent="0.25">
      <c r="A603" s="271"/>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row>
    <row r="604" spans="1:26" ht="15.75" customHeight="1" x14ac:dyDescent="0.25">
      <c r="A604" s="271"/>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row>
    <row r="605" spans="1:26" ht="15.75" customHeight="1" x14ac:dyDescent="0.25">
      <c r="A605" s="271"/>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row>
    <row r="606" spans="1:26" ht="15.75" customHeight="1" x14ac:dyDescent="0.25">
      <c r="A606" s="271"/>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row>
    <row r="607" spans="1:26" ht="15.75" customHeight="1" x14ac:dyDescent="0.25">
      <c r="A607" s="271"/>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row>
    <row r="608" spans="1:26" ht="15.75" customHeight="1" x14ac:dyDescent="0.25">
      <c r="A608" s="271"/>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row>
    <row r="609" spans="1:26" ht="15.75" customHeight="1" x14ac:dyDescent="0.25">
      <c r="A609" s="271"/>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row>
    <row r="610" spans="1:26" ht="15.75" customHeight="1" x14ac:dyDescent="0.25">
      <c r="A610" s="271"/>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row>
    <row r="611" spans="1:26" ht="15.75" customHeight="1" x14ac:dyDescent="0.25">
      <c r="A611" s="271"/>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row>
    <row r="612" spans="1:26" ht="15.75" customHeight="1" x14ac:dyDescent="0.25">
      <c r="A612" s="271"/>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row>
    <row r="613" spans="1:26" ht="15.75" customHeight="1" x14ac:dyDescent="0.25">
      <c r="A613" s="271"/>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row>
    <row r="614" spans="1:26" ht="15.75" customHeight="1" x14ac:dyDescent="0.25">
      <c r="A614" s="271"/>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row>
    <row r="615" spans="1:26" ht="15.75" customHeight="1" x14ac:dyDescent="0.25">
      <c r="A615" s="271"/>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row>
    <row r="616" spans="1:26" ht="15.75" customHeight="1" x14ac:dyDescent="0.25">
      <c r="A616" s="271"/>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row>
    <row r="617" spans="1:26" ht="15.75" customHeight="1" x14ac:dyDescent="0.25">
      <c r="A617" s="271"/>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row>
    <row r="618" spans="1:26" ht="15.75" customHeight="1" x14ac:dyDescent="0.25">
      <c r="A618" s="271"/>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row>
    <row r="619" spans="1:26" ht="15.75" customHeight="1" x14ac:dyDescent="0.25">
      <c r="A619" s="271"/>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row>
    <row r="620" spans="1:26" ht="15.75" customHeight="1" x14ac:dyDescent="0.25">
      <c r="A620" s="271"/>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row>
    <row r="621" spans="1:26" ht="15.75" customHeight="1" x14ac:dyDescent="0.25">
      <c r="A621" s="271"/>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row>
    <row r="622" spans="1:26" ht="15.75" customHeight="1" x14ac:dyDescent="0.25">
      <c r="A622" s="271"/>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row>
    <row r="623" spans="1:26" ht="15.75" customHeight="1" x14ac:dyDescent="0.25">
      <c r="A623" s="271"/>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row>
    <row r="624" spans="1:26" ht="15.75" customHeight="1" x14ac:dyDescent="0.25">
      <c r="A624" s="271"/>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row>
    <row r="625" spans="1:26" ht="15.75" customHeight="1" x14ac:dyDescent="0.25">
      <c r="A625" s="271"/>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row>
    <row r="626" spans="1:26" ht="15.75" customHeight="1" x14ac:dyDescent="0.25">
      <c r="A626" s="271"/>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row>
    <row r="627" spans="1:26" ht="15.75" customHeight="1" x14ac:dyDescent="0.25">
      <c r="A627" s="271"/>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row>
    <row r="628" spans="1:26" ht="15.75" customHeight="1" x14ac:dyDescent="0.25">
      <c r="A628" s="271"/>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row>
    <row r="629" spans="1:26" ht="15.75" customHeight="1" x14ac:dyDescent="0.25">
      <c r="A629" s="271"/>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row>
    <row r="630" spans="1:26" ht="15.75" customHeight="1" x14ac:dyDescent="0.25">
      <c r="A630" s="271"/>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row>
    <row r="631" spans="1:26" ht="15.75" customHeight="1" x14ac:dyDescent="0.25">
      <c r="A631" s="271"/>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row>
    <row r="632" spans="1:26" ht="15.75" customHeight="1" x14ac:dyDescent="0.25">
      <c r="A632" s="271"/>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row>
    <row r="633" spans="1:26" ht="15.75" customHeight="1" x14ac:dyDescent="0.25">
      <c r="A633" s="271"/>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row>
    <row r="634" spans="1:26" ht="15.75" customHeight="1" x14ac:dyDescent="0.25">
      <c r="A634" s="271"/>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row>
    <row r="635" spans="1:26" ht="15.75" customHeight="1" x14ac:dyDescent="0.25">
      <c r="A635" s="271"/>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row>
    <row r="636" spans="1:26" ht="15.75" customHeight="1" x14ac:dyDescent="0.25">
      <c r="A636" s="271"/>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row>
    <row r="637" spans="1:26" ht="15.75" customHeight="1" x14ac:dyDescent="0.25">
      <c r="A637" s="271"/>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row>
    <row r="638" spans="1:26" ht="15.75" customHeight="1" x14ac:dyDescent="0.25">
      <c r="A638" s="271"/>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row>
    <row r="639" spans="1:26" ht="15.75" customHeight="1" x14ac:dyDescent="0.25">
      <c r="A639" s="271"/>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row>
    <row r="640" spans="1:26" ht="15.75" customHeight="1" x14ac:dyDescent="0.25">
      <c r="A640" s="271"/>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row>
    <row r="641" spans="1:26" ht="15.75" customHeight="1" x14ac:dyDescent="0.25">
      <c r="A641" s="271"/>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row>
    <row r="642" spans="1:26" ht="15.75" customHeight="1" x14ac:dyDescent="0.25">
      <c r="A642" s="271"/>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row>
    <row r="643" spans="1:26" ht="15.75" customHeight="1" x14ac:dyDescent="0.25">
      <c r="A643" s="271"/>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row>
    <row r="644" spans="1:26" ht="15.75" customHeight="1" x14ac:dyDescent="0.25">
      <c r="A644" s="271"/>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row>
    <row r="645" spans="1:26" ht="15.75" customHeight="1" x14ac:dyDescent="0.25">
      <c r="A645" s="271"/>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row>
    <row r="646" spans="1:26" ht="15.75" customHeight="1" x14ac:dyDescent="0.25">
      <c r="A646" s="271"/>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row>
    <row r="647" spans="1:26" ht="15.75" customHeight="1" x14ac:dyDescent="0.25">
      <c r="A647" s="271"/>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row>
    <row r="648" spans="1:26" ht="15.75" customHeight="1" x14ac:dyDescent="0.25">
      <c r="A648" s="271"/>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row>
    <row r="649" spans="1:26" ht="15.75" customHeight="1" x14ac:dyDescent="0.25">
      <c r="A649" s="271"/>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row>
    <row r="650" spans="1:26" ht="15.75" customHeight="1" x14ac:dyDescent="0.25">
      <c r="A650" s="271"/>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row>
    <row r="651" spans="1:26" ht="15.75" customHeight="1" x14ac:dyDescent="0.25">
      <c r="A651" s="271"/>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row>
    <row r="652" spans="1:26" ht="15.75" customHeight="1" x14ac:dyDescent="0.25">
      <c r="A652" s="271"/>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row>
    <row r="653" spans="1:26" ht="15.75" customHeight="1" x14ac:dyDescent="0.25">
      <c r="A653" s="271"/>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row>
    <row r="654" spans="1:26" ht="15.75" customHeight="1" x14ac:dyDescent="0.25">
      <c r="A654" s="271"/>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row>
    <row r="655" spans="1:26" ht="15.75" customHeight="1" x14ac:dyDescent="0.25">
      <c r="A655" s="271"/>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row>
    <row r="656" spans="1:26" ht="15.75" customHeight="1" x14ac:dyDescent="0.25">
      <c r="A656" s="271"/>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row>
    <row r="657" spans="1:26" ht="15.75" customHeight="1" x14ac:dyDescent="0.25">
      <c r="A657" s="271"/>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row>
    <row r="658" spans="1:26" ht="15.75" customHeight="1" x14ac:dyDescent="0.25">
      <c r="A658" s="271"/>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row>
    <row r="659" spans="1:26" ht="15.75" customHeight="1" x14ac:dyDescent="0.25">
      <c r="A659" s="271"/>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row>
    <row r="660" spans="1:26" ht="15.75" customHeight="1" x14ac:dyDescent="0.25">
      <c r="A660" s="271"/>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row>
    <row r="661" spans="1:26" ht="15.75" customHeight="1" x14ac:dyDescent="0.25">
      <c r="A661" s="271"/>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row>
    <row r="662" spans="1:26" ht="15.75" customHeight="1" x14ac:dyDescent="0.25">
      <c r="A662" s="271"/>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row>
    <row r="663" spans="1:26" ht="15.75" customHeight="1" x14ac:dyDescent="0.25">
      <c r="A663" s="271"/>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row>
    <row r="664" spans="1:26" ht="15.75" customHeight="1" x14ac:dyDescent="0.25">
      <c r="A664" s="271"/>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row>
    <row r="665" spans="1:26" ht="15.75" customHeight="1" x14ac:dyDescent="0.25">
      <c r="A665" s="271"/>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row>
    <row r="666" spans="1:26" ht="15.75" customHeight="1" x14ac:dyDescent="0.25">
      <c r="A666" s="271"/>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row>
    <row r="667" spans="1:26" ht="15.75" customHeight="1" x14ac:dyDescent="0.25">
      <c r="A667" s="271"/>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row>
    <row r="668" spans="1:26" ht="15.75" customHeight="1" x14ac:dyDescent="0.25">
      <c r="A668" s="271"/>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row>
    <row r="669" spans="1:26" ht="15.75" customHeight="1" x14ac:dyDescent="0.25">
      <c r="A669" s="271"/>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row>
    <row r="670" spans="1:26" ht="15.75" customHeight="1" x14ac:dyDescent="0.25">
      <c r="A670" s="271"/>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row>
    <row r="671" spans="1:26" ht="15.75" customHeight="1" x14ac:dyDescent="0.25">
      <c r="A671" s="271"/>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row>
    <row r="672" spans="1:26" ht="15.75" customHeight="1" x14ac:dyDescent="0.25">
      <c r="A672" s="271"/>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row>
    <row r="673" spans="1:26" ht="15.75" customHeight="1" x14ac:dyDescent="0.25">
      <c r="A673" s="271"/>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row>
    <row r="674" spans="1:26" ht="15.75" customHeight="1" x14ac:dyDescent="0.25">
      <c r="A674" s="271"/>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row>
    <row r="675" spans="1:26" ht="15.75" customHeight="1" x14ac:dyDescent="0.25">
      <c r="A675" s="271"/>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row>
    <row r="676" spans="1:26" ht="15.75" customHeight="1" x14ac:dyDescent="0.25">
      <c r="A676" s="271"/>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row>
    <row r="677" spans="1:26" ht="15.75" customHeight="1" x14ac:dyDescent="0.25">
      <c r="A677" s="271"/>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row>
    <row r="678" spans="1:26" ht="15.75" customHeight="1" x14ac:dyDescent="0.25">
      <c r="A678" s="271"/>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row>
    <row r="679" spans="1:26" ht="15.75" customHeight="1" x14ac:dyDescent="0.25">
      <c r="A679" s="271"/>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row>
    <row r="680" spans="1:26" ht="15.75" customHeight="1" x14ac:dyDescent="0.25">
      <c r="A680" s="271"/>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row>
    <row r="681" spans="1:26" ht="15.75" customHeight="1" x14ac:dyDescent="0.25">
      <c r="A681" s="271"/>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row>
    <row r="682" spans="1:26" ht="15.75" customHeight="1" x14ac:dyDescent="0.25">
      <c r="A682" s="271"/>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row>
    <row r="683" spans="1:26" ht="15.75" customHeight="1" x14ac:dyDescent="0.25">
      <c r="A683" s="271"/>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row>
    <row r="684" spans="1:26" ht="15.75" customHeight="1" x14ac:dyDescent="0.25">
      <c r="A684" s="271"/>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row>
    <row r="685" spans="1:26" ht="15.75" customHeight="1" x14ac:dyDescent="0.25">
      <c r="A685" s="271"/>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row>
    <row r="686" spans="1:26" ht="15.75" customHeight="1" x14ac:dyDescent="0.25">
      <c r="A686" s="271"/>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row>
    <row r="687" spans="1:26" ht="15.75" customHeight="1" x14ac:dyDescent="0.25">
      <c r="A687" s="271"/>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row>
    <row r="688" spans="1:26" ht="15.75" customHeight="1" x14ac:dyDescent="0.25">
      <c r="A688" s="271"/>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row>
    <row r="689" spans="1:26" ht="15.75" customHeight="1" x14ac:dyDescent="0.25">
      <c r="A689" s="271"/>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row>
    <row r="690" spans="1:26" ht="15.75" customHeight="1" x14ac:dyDescent="0.25">
      <c r="A690" s="271"/>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row>
    <row r="691" spans="1:26" ht="15.75" customHeight="1" x14ac:dyDescent="0.25">
      <c r="A691" s="271"/>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row>
    <row r="692" spans="1:26" ht="15.75" customHeight="1" x14ac:dyDescent="0.25">
      <c r="A692" s="271"/>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row>
    <row r="693" spans="1:26" ht="15.75" customHeight="1" x14ac:dyDescent="0.25">
      <c r="A693" s="271"/>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row>
    <row r="694" spans="1:26" ht="15.75" customHeight="1" x14ac:dyDescent="0.25">
      <c r="A694" s="271"/>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row>
    <row r="695" spans="1:26" ht="15.75" customHeight="1" x14ac:dyDescent="0.25">
      <c r="A695" s="271"/>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row>
    <row r="696" spans="1:26" ht="15.75" customHeight="1" x14ac:dyDescent="0.25">
      <c r="A696" s="271"/>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row>
    <row r="697" spans="1:26" ht="15.75" customHeight="1" x14ac:dyDescent="0.25">
      <c r="A697" s="271"/>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row>
    <row r="698" spans="1:26" ht="15.75" customHeight="1" x14ac:dyDescent="0.25">
      <c r="A698" s="271"/>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row>
    <row r="699" spans="1:26" ht="15.75" customHeight="1" x14ac:dyDescent="0.25">
      <c r="A699" s="271"/>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row>
    <row r="700" spans="1:26" ht="15.75" customHeight="1" x14ac:dyDescent="0.25">
      <c r="A700" s="271"/>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row>
    <row r="701" spans="1:26" ht="15.75" customHeight="1" x14ac:dyDescent="0.25">
      <c r="A701" s="271"/>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row>
    <row r="702" spans="1:26" ht="15.75" customHeight="1" x14ac:dyDescent="0.25">
      <c r="A702" s="271"/>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row>
    <row r="703" spans="1:26" ht="15.75" customHeight="1" x14ac:dyDescent="0.25">
      <c r="A703" s="271"/>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row>
    <row r="704" spans="1:26" ht="15.75" customHeight="1" x14ac:dyDescent="0.25">
      <c r="A704" s="271"/>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row>
    <row r="705" spans="1:26" ht="15.75" customHeight="1" x14ac:dyDescent="0.25">
      <c r="A705" s="271"/>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row>
    <row r="706" spans="1:26" ht="15.75" customHeight="1" x14ac:dyDescent="0.25">
      <c r="A706" s="271"/>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row>
    <row r="707" spans="1:26" ht="15.75" customHeight="1" x14ac:dyDescent="0.25">
      <c r="A707" s="271"/>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row>
    <row r="708" spans="1:26" ht="15.75" customHeight="1" x14ac:dyDescent="0.25">
      <c r="A708" s="271"/>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row>
    <row r="709" spans="1:26" ht="15.75" customHeight="1" x14ac:dyDescent="0.25">
      <c r="A709" s="271"/>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row>
    <row r="710" spans="1:26" ht="15.75" customHeight="1" x14ac:dyDescent="0.25">
      <c r="A710" s="271"/>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row>
    <row r="711" spans="1:26" ht="15.75" customHeight="1" x14ac:dyDescent="0.25">
      <c r="A711" s="271"/>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row>
    <row r="712" spans="1:26" ht="15.75" customHeight="1" x14ac:dyDescent="0.25">
      <c r="A712" s="271"/>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row>
    <row r="713" spans="1:26" ht="15.75" customHeight="1" x14ac:dyDescent="0.25">
      <c r="A713" s="271"/>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row>
    <row r="714" spans="1:26" ht="15.75" customHeight="1" x14ac:dyDescent="0.25">
      <c r="A714" s="271"/>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row>
    <row r="715" spans="1:26" ht="15.75" customHeight="1" x14ac:dyDescent="0.25">
      <c r="A715" s="271"/>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row>
    <row r="716" spans="1:26" ht="15.75" customHeight="1" x14ac:dyDescent="0.25">
      <c r="A716" s="271"/>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row>
    <row r="717" spans="1:26" ht="15.75" customHeight="1" x14ac:dyDescent="0.25">
      <c r="A717" s="271"/>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row>
    <row r="718" spans="1:26" ht="15.75" customHeight="1" x14ac:dyDescent="0.25">
      <c r="A718" s="271"/>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row>
    <row r="719" spans="1:26" ht="15.75" customHeight="1" x14ac:dyDescent="0.25">
      <c r="A719" s="271"/>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row>
    <row r="720" spans="1:26" ht="15.75" customHeight="1" x14ac:dyDescent="0.25">
      <c r="A720" s="271"/>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row>
    <row r="721" spans="1:26" ht="15.75" customHeight="1" x14ac:dyDescent="0.25">
      <c r="A721" s="271"/>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row>
    <row r="722" spans="1:26" ht="15.75" customHeight="1" x14ac:dyDescent="0.25">
      <c r="A722" s="271"/>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row>
    <row r="723" spans="1:26" ht="15.75" customHeight="1" x14ac:dyDescent="0.25">
      <c r="A723" s="271"/>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row>
    <row r="724" spans="1:26" ht="15.75" customHeight="1" x14ac:dyDescent="0.25">
      <c r="A724" s="271"/>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row>
    <row r="725" spans="1:26" ht="15.75" customHeight="1" x14ac:dyDescent="0.25">
      <c r="A725" s="271"/>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row>
    <row r="726" spans="1:26" ht="15.75" customHeight="1" x14ac:dyDescent="0.25">
      <c r="A726" s="271"/>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row>
    <row r="727" spans="1:26" ht="15.75" customHeight="1" x14ac:dyDescent="0.25">
      <c r="A727" s="271"/>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row>
    <row r="728" spans="1:26" ht="15.75" customHeight="1" x14ac:dyDescent="0.25">
      <c r="A728" s="271"/>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row>
    <row r="729" spans="1:26" ht="15.75" customHeight="1" x14ac:dyDescent="0.25">
      <c r="A729" s="271"/>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row>
    <row r="730" spans="1:26" ht="15.75" customHeight="1" x14ac:dyDescent="0.25">
      <c r="A730" s="271"/>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row>
    <row r="731" spans="1:26" ht="15.75" customHeight="1" x14ac:dyDescent="0.25">
      <c r="A731" s="271"/>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row>
    <row r="732" spans="1:26" ht="15.75" customHeight="1" x14ac:dyDescent="0.25">
      <c r="A732" s="271"/>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row>
    <row r="733" spans="1:26" ht="15.75" customHeight="1" x14ac:dyDescent="0.25">
      <c r="A733" s="271"/>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row>
    <row r="734" spans="1:26" ht="15.75" customHeight="1" x14ac:dyDescent="0.25">
      <c r="A734" s="271"/>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row>
    <row r="735" spans="1:26" ht="15.75" customHeight="1" x14ac:dyDescent="0.25">
      <c r="A735" s="271"/>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row>
    <row r="736" spans="1:26" ht="15.75" customHeight="1" x14ac:dyDescent="0.25">
      <c r="A736" s="271"/>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row>
    <row r="737" spans="1:26" ht="15.75" customHeight="1" x14ac:dyDescent="0.25">
      <c r="A737" s="271"/>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row>
    <row r="738" spans="1:26" ht="15.75" customHeight="1" x14ac:dyDescent="0.25">
      <c r="A738" s="271"/>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row>
    <row r="739" spans="1:26" ht="15.75" customHeight="1" x14ac:dyDescent="0.25">
      <c r="A739" s="271"/>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row>
    <row r="740" spans="1:26" ht="15.75" customHeight="1" x14ac:dyDescent="0.25">
      <c r="A740" s="271"/>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row>
    <row r="741" spans="1:26" ht="15.75" customHeight="1" x14ac:dyDescent="0.25">
      <c r="A741" s="271"/>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row>
    <row r="742" spans="1:26" ht="15.75" customHeight="1" x14ac:dyDescent="0.25">
      <c r="A742" s="271"/>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row>
    <row r="743" spans="1:26" ht="15.75" customHeight="1" x14ac:dyDescent="0.25">
      <c r="A743" s="271"/>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row>
    <row r="744" spans="1:26" ht="15.75" customHeight="1" x14ac:dyDescent="0.25">
      <c r="A744" s="271"/>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row>
    <row r="745" spans="1:26" ht="15.75" customHeight="1" x14ac:dyDescent="0.25">
      <c r="A745" s="271"/>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row>
    <row r="746" spans="1:26" ht="15.75" customHeight="1" x14ac:dyDescent="0.25">
      <c r="A746" s="271"/>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row>
    <row r="747" spans="1:26" ht="15.75" customHeight="1" x14ac:dyDescent="0.25">
      <c r="A747" s="271"/>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row>
    <row r="748" spans="1:26" ht="15.75" customHeight="1" x14ac:dyDescent="0.25">
      <c r="A748" s="271"/>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row>
    <row r="749" spans="1:26" ht="15.75" customHeight="1" x14ac:dyDescent="0.25">
      <c r="A749" s="271"/>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row>
    <row r="750" spans="1:26" ht="15.75" customHeight="1" x14ac:dyDescent="0.25">
      <c r="A750" s="271"/>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row>
    <row r="751" spans="1:26" ht="15.75" customHeight="1" x14ac:dyDescent="0.25">
      <c r="A751" s="271"/>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row>
    <row r="752" spans="1:26" ht="15.75" customHeight="1" x14ac:dyDescent="0.25">
      <c r="A752" s="271"/>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row>
    <row r="753" spans="1:26" ht="15.75" customHeight="1" x14ac:dyDescent="0.25">
      <c r="A753" s="271"/>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row>
    <row r="754" spans="1:26" ht="15.75" customHeight="1" x14ac:dyDescent="0.25">
      <c r="A754" s="271"/>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row>
    <row r="755" spans="1:26" ht="15.75" customHeight="1" x14ac:dyDescent="0.25">
      <c r="A755" s="271"/>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row>
    <row r="756" spans="1:26" ht="15.75" customHeight="1" x14ac:dyDescent="0.25">
      <c r="A756" s="271"/>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row>
    <row r="757" spans="1:26" ht="15.75" customHeight="1" x14ac:dyDescent="0.25">
      <c r="A757" s="271"/>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row>
    <row r="758" spans="1:26" ht="15.75" customHeight="1" x14ac:dyDescent="0.25">
      <c r="A758" s="271"/>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row>
    <row r="759" spans="1:26" ht="15.75" customHeight="1" x14ac:dyDescent="0.25">
      <c r="A759" s="271"/>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row>
    <row r="760" spans="1:26" ht="15.75" customHeight="1" x14ac:dyDescent="0.25">
      <c r="A760" s="271"/>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row>
    <row r="761" spans="1:26" ht="15.75" customHeight="1" x14ac:dyDescent="0.25">
      <c r="A761" s="271"/>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row>
    <row r="762" spans="1:26" ht="15.75" customHeight="1" x14ac:dyDescent="0.25">
      <c r="A762" s="271"/>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row>
    <row r="763" spans="1:26" ht="15.75" customHeight="1" x14ac:dyDescent="0.25">
      <c r="A763" s="271"/>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row>
    <row r="764" spans="1:26" ht="15.75" customHeight="1" x14ac:dyDescent="0.25">
      <c r="A764" s="271"/>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row>
    <row r="765" spans="1:26" ht="15.75" customHeight="1" x14ac:dyDescent="0.25">
      <c r="A765" s="271"/>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row>
    <row r="766" spans="1:26" ht="15.75" customHeight="1" x14ac:dyDescent="0.25">
      <c r="A766" s="271"/>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row>
    <row r="767" spans="1:26" ht="15.75" customHeight="1" x14ac:dyDescent="0.25">
      <c r="A767" s="271"/>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row>
    <row r="768" spans="1:26" ht="15.75" customHeight="1" x14ac:dyDescent="0.25">
      <c r="A768" s="271"/>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row>
    <row r="769" spans="1:26" ht="15.75" customHeight="1" x14ac:dyDescent="0.25">
      <c r="A769" s="271"/>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row>
    <row r="770" spans="1:26" ht="15.75" customHeight="1" x14ac:dyDescent="0.25">
      <c r="A770" s="271"/>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row>
    <row r="771" spans="1:26" ht="15.75" customHeight="1" x14ac:dyDescent="0.25">
      <c r="A771" s="271"/>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row>
    <row r="772" spans="1:26" ht="15.75" customHeight="1" x14ac:dyDescent="0.25">
      <c r="A772" s="271"/>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row>
    <row r="773" spans="1:26" ht="15.75" customHeight="1" x14ac:dyDescent="0.25">
      <c r="A773" s="271"/>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row>
    <row r="774" spans="1:26" ht="15.75" customHeight="1" x14ac:dyDescent="0.25">
      <c r="A774" s="271"/>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row>
    <row r="775" spans="1:26" ht="15.75" customHeight="1" x14ac:dyDescent="0.25">
      <c r="A775" s="271"/>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row>
    <row r="776" spans="1:26" ht="15.75" customHeight="1" x14ac:dyDescent="0.25">
      <c r="A776" s="271"/>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row>
    <row r="777" spans="1:26" ht="15.75" customHeight="1" x14ac:dyDescent="0.25">
      <c r="A777" s="271"/>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row>
    <row r="778" spans="1:26" ht="15.75" customHeight="1" x14ac:dyDescent="0.25">
      <c r="A778" s="271"/>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row>
    <row r="779" spans="1:26" ht="15.75" customHeight="1" x14ac:dyDescent="0.25">
      <c r="A779" s="271"/>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row>
    <row r="780" spans="1:26" ht="15.75" customHeight="1" x14ac:dyDescent="0.25">
      <c r="A780" s="271"/>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row>
    <row r="781" spans="1:26" ht="15.75" customHeight="1" x14ac:dyDescent="0.25">
      <c r="A781" s="271"/>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row>
    <row r="782" spans="1:26" ht="15.75" customHeight="1" x14ac:dyDescent="0.25">
      <c r="A782" s="271"/>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row>
    <row r="783" spans="1:26" ht="15.75" customHeight="1" x14ac:dyDescent="0.25">
      <c r="A783" s="271"/>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row>
    <row r="784" spans="1:26" ht="15.75" customHeight="1" x14ac:dyDescent="0.25">
      <c r="A784" s="271"/>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row>
    <row r="785" spans="1:26" ht="15.75" customHeight="1" x14ac:dyDescent="0.25">
      <c r="A785" s="271"/>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row>
    <row r="786" spans="1:26" ht="15.75" customHeight="1" x14ac:dyDescent="0.25">
      <c r="A786" s="271"/>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row>
    <row r="787" spans="1:26" ht="15.75" customHeight="1" x14ac:dyDescent="0.25">
      <c r="A787" s="271"/>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row>
    <row r="788" spans="1:26" ht="15.75" customHeight="1" x14ac:dyDescent="0.25">
      <c r="A788" s="271"/>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row>
    <row r="789" spans="1:26" ht="15.75" customHeight="1" x14ac:dyDescent="0.25">
      <c r="A789" s="271"/>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row>
    <row r="790" spans="1:26" ht="15.75" customHeight="1" x14ac:dyDescent="0.25">
      <c r="A790" s="271"/>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row>
    <row r="791" spans="1:26" ht="15.75" customHeight="1" x14ac:dyDescent="0.25">
      <c r="A791" s="271"/>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row>
    <row r="792" spans="1:26" ht="15.75" customHeight="1" x14ac:dyDescent="0.25">
      <c r="A792" s="271"/>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row>
    <row r="793" spans="1:26" ht="15.75" customHeight="1" x14ac:dyDescent="0.25">
      <c r="A793" s="271"/>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row>
    <row r="794" spans="1:26" ht="15.75" customHeight="1" x14ac:dyDescent="0.25">
      <c r="A794" s="271"/>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row>
    <row r="795" spans="1:26" ht="15.75" customHeight="1" x14ac:dyDescent="0.25">
      <c r="A795" s="271"/>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row>
    <row r="796" spans="1:26" ht="15.75" customHeight="1" x14ac:dyDescent="0.25">
      <c r="A796" s="271"/>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row>
    <row r="797" spans="1:26" ht="15.75" customHeight="1" x14ac:dyDescent="0.25">
      <c r="A797" s="271"/>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row>
    <row r="798" spans="1:26" ht="15.75" customHeight="1" x14ac:dyDescent="0.25">
      <c r="A798" s="271"/>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row>
    <row r="799" spans="1:26" ht="15.75" customHeight="1" x14ac:dyDescent="0.25">
      <c r="A799" s="271"/>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row>
    <row r="800" spans="1:26" ht="15.75" customHeight="1" x14ac:dyDescent="0.25">
      <c r="A800" s="271"/>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row>
    <row r="801" spans="1:26" ht="15.75" customHeight="1" x14ac:dyDescent="0.25">
      <c r="A801" s="271"/>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row>
    <row r="802" spans="1:26" ht="15.75" customHeight="1" x14ac:dyDescent="0.25">
      <c r="A802" s="271"/>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row>
    <row r="803" spans="1:26" ht="15.75" customHeight="1" x14ac:dyDescent="0.25">
      <c r="A803" s="271"/>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row>
    <row r="804" spans="1:26" ht="15.75" customHeight="1" x14ac:dyDescent="0.25">
      <c r="A804" s="271"/>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row>
    <row r="805" spans="1:26" ht="15.75" customHeight="1" x14ac:dyDescent="0.25">
      <c r="A805" s="271"/>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row>
    <row r="806" spans="1:26" ht="15.75" customHeight="1" x14ac:dyDescent="0.25">
      <c r="A806" s="271"/>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row>
    <row r="807" spans="1:26" ht="15.75" customHeight="1" x14ac:dyDescent="0.25">
      <c r="A807" s="271"/>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row>
    <row r="808" spans="1:26" ht="15.75" customHeight="1" x14ac:dyDescent="0.25">
      <c r="A808" s="271"/>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row>
    <row r="809" spans="1:26" ht="15.75" customHeight="1" x14ac:dyDescent="0.25">
      <c r="A809" s="271"/>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row>
    <row r="810" spans="1:26" ht="15.75" customHeight="1" x14ac:dyDescent="0.25">
      <c r="A810" s="271"/>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row>
    <row r="811" spans="1:26" ht="15.75" customHeight="1" x14ac:dyDescent="0.25">
      <c r="A811" s="271"/>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row>
    <row r="812" spans="1:26" ht="15.75" customHeight="1" x14ac:dyDescent="0.25">
      <c r="A812" s="271"/>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row>
    <row r="813" spans="1:26" ht="15.75" customHeight="1" x14ac:dyDescent="0.25">
      <c r="A813" s="271"/>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row>
    <row r="814" spans="1:26" ht="15.75" customHeight="1" x14ac:dyDescent="0.25">
      <c r="A814" s="271"/>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row>
    <row r="815" spans="1:26" ht="15.75" customHeight="1" x14ac:dyDescent="0.25">
      <c r="A815" s="271"/>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row>
    <row r="816" spans="1:26" ht="15.75" customHeight="1" x14ac:dyDescent="0.25">
      <c r="A816" s="271"/>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row>
    <row r="817" spans="1:26" ht="15.75" customHeight="1" x14ac:dyDescent="0.25">
      <c r="A817" s="271"/>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row>
    <row r="818" spans="1:26" ht="15.75" customHeight="1" x14ac:dyDescent="0.25">
      <c r="A818" s="271"/>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row>
    <row r="819" spans="1:26" ht="15.75" customHeight="1" x14ac:dyDescent="0.25">
      <c r="A819" s="271"/>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row>
    <row r="820" spans="1:26" ht="15.75" customHeight="1" x14ac:dyDescent="0.25">
      <c r="A820" s="271"/>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row>
    <row r="821" spans="1:26" ht="15.75" customHeight="1" x14ac:dyDescent="0.25">
      <c r="A821" s="271"/>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row>
    <row r="822" spans="1:26" ht="15.75" customHeight="1" x14ac:dyDescent="0.25">
      <c r="A822" s="271"/>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row>
    <row r="823" spans="1:26" ht="15.75" customHeight="1" x14ac:dyDescent="0.25">
      <c r="A823" s="271"/>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row>
    <row r="824" spans="1:26" ht="15.75" customHeight="1" x14ac:dyDescent="0.25">
      <c r="A824" s="271"/>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row>
    <row r="825" spans="1:26" ht="15.75" customHeight="1" x14ac:dyDescent="0.25">
      <c r="A825" s="271"/>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row>
    <row r="826" spans="1:26" ht="15.75" customHeight="1" x14ac:dyDescent="0.25">
      <c r="A826" s="271"/>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row>
    <row r="827" spans="1:26" ht="15.75" customHeight="1" x14ac:dyDescent="0.25">
      <c r="A827" s="271"/>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row>
    <row r="828" spans="1:26" ht="15.75" customHeight="1" x14ac:dyDescent="0.25">
      <c r="A828" s="271"/>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row>
    <row r="829" spans="1:26" ht="15.75" customHeight="1" x14ac:dyDescent="0.25">
      <c r="A829" s="271"/>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row>
    <row r="830" spans="1:26" ht="15.75" customHeight="1" x14ac:dyDescent="0.25">
      <c r="A830" s="271"/>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row>
    <row r="831" spans="1:26" ht="15.75" customHeight="1" x14ac:dyDescent="0.25">
      <c r="A831" s="271"/>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row>
    <row r="832" spans="1:26" ht="15.75" customHeight="1" x14ac:dyDescent="0.25">
      <c r="A832" s="271"/>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row>
    <row r="833" spans="1:26" ht="15.75" customHeight="1" x14ac:dyDescent="0.25">
      <c r="A833" s="271"/>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row>
    <row r="834" spans="1:26" ht="15.75" customHeight="1" x14ac:dyDescent="0.25">
      <c r="A834" s="271"/>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row>
    <row r="835" spans="1:26" ht="15.75" customHeight="1" x14ac:dyDescent="0.25">
      <c r="A835" s="271"/>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row>
    <row r="836" spans="1:26" ht="15.75" customHeight="1" x14ac:dyDescent="0.25">
      <c r="A836" s="271"/>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row>
    <row r="837" spans="1:26" ht="15.75" customHeight="1" x14ac:dyDescent="0.25">
      <c r="A837" s="271"/>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row>
    <row r="838" spans="1:26" ht="15.75" customHeight="1" x14ac:dyDescent="0.25">
      <c r="A838" s="271"/>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row>
    <row r="839" spans="1:26" ht="15.75" customHeight="1" x14ac:dyDescent="0.25">
      <c r="A839" s="271"/>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row>
    <row r="840" spans="1:26" ht="15.75" customHeight="1" x14ac:dyDescent="0.25">
      <c r="A840" s="271"/>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row>
    <row r="841" spans="1:26" ht="15.75" customHeight="1" x14ac:dyDescent="0.25">
      <c r="A841" s="271"/>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row>
    <row r="842" spans="1:26" ht="15.75" customHeight="1" x14ac:dyDescent="0.25">
      <c r="A842" s="271"/>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row>
    <row r="843" spans="1:26" ht="15.75" customHeight="1" x14ac:dyDescent="0.25">
      <c r="A843" s="271"/>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row>
    <row r="844" spans="1:26" ht="15.75" customHeight="1" x14ac:dyDescent="0.25">
      <c r="A844" s="271"/>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row>
    <row r="845" spans="1:26" ht="15.75" customHeight="1" x14ac:dyDescent="0.25">
      <c r="A845" s="271"/>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row>
    <row r="846" spans="1:26" ht="15.75" customHeight="1" x14ac:dyDescent="0.25">
      <c r="A846" s="271"/>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row>
    <row r="847" spans="1:26" ht="15.75" customHeight="1" x14ac:dyDescent="0.25">
      <c r="A847" s="271"/>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row>
    <row r="848" spans="1:26" ht="15.75" customHeight="1" x14ac:dyDescent="0.25">
      <c r="A848" s="271"/>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row>
    <row r="849" spans="1:26" ht="15.75" customHeight="1" x14ac:dyDescent="0.25">
      <c r="A849" s="271"/>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row>
    <row r="850" spans="1:26" ht="15.75" customHeight="1" x14ac:dyDescent="0.25">
      <c r="A850" s="271"/>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row>
    <row r="851" spans="1:26" ht="15.75" customHeight="1" x14ac:dyDescent="0.25">
      <c r="A851" s="271"/>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row>
    <row r="852" spans="1:26" ht="15.75" customHeight="1" x14ac:dyDescent="0.25">
      <c r="A852" s="271"/>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row>
    <row r="853" spans="1:26" ht="15.75" customHeight="1" x14ac:dyDescent="0.25">
      <c r="A853" s="271"/>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row>
    <row r="854" spans="1:26" ht="15.75" customHeight="1" x14ac:dyDescent="0.25">
      <c r="A854" s="271"/>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row>
    <row r="855" spans="1:26" ht="15.75" customHeight="1" x14ac:dyDescent="0.25">
      <c r="A855" s="271"/>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row>
    <row r="856" spans="1:26" ht="15.75" customHeight="1" x14ac:dyDescent="0.25">
      <c r="A856" s="271"/>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row>
    <row r="857" spans="1:26" ht="15.75" customHeight="1" x14ac:dyDescent="0.25">
      <c r="A857" s="271"/>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row>
    <row r="858" spans="1:26" ht="15.75" customHeight="1" x14ac:dyDescent="0.25">
      <c r="A858" s="271"/>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row>
    <row r="859" spans="1:26" ht="15.75" customHeight="1" x14ac:dyDescent="0.25">
      <c r="A859" s="271"/>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row>
    <row r="860" spans="1:26" ht="15.75" customHeight="1" x14ac:dyDescent="0.25">
      <c r="A860" s="271"/>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row>
    <row r="861" spans="1:26" ht="15.75" customHeight="1" x14ac:dyDescent="0.25">
      <c r="A861" s="271"/>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row>
    <row r="862" spans="1:26" ht="15.75" customHeight="1" x14ac:dyDescent="0.25">
      <c r="A862" s="271"/>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row>
    <row r="863" spans="1:26" ht="15.75" customHeight="1" x14ac:dyDescent="0.25">
      <c r="A863" s="271"/>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row>
    <row r="864" spans="1:26" ht="15.75" customHeight="1" x14ac:dyDescent="0.25">
      <c r="A864" s="271"/>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row>
    <row r="865" spans="1:26" ht="15.75" customHeight="1" x14ac:dyDescent="0.25">
      <c r="A865" s="271"/>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row>
    <row r="866" spans="1:26" ht="15.75" customHeight="1" x14ac:dyDescent="0.25">
      <c r="A866" s="271"/>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row>
    <row r="867" spans="1:26" ht="15.75" customHeight="1" x14ac:dyDescent="0.25">
      <c r="A867" s="271"/>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row>
    <row r="868" spans="1:26" ht="15.75" customHeight="1" x14ac:dyDescent="0.25">
      <c r="A868" s="271"/>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row>
    <row r="869" spans="1:26" ht="15.75" customHeight="1" x14ac:dyDescent="0.25">
      <c r="A869" s="271"/>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row>
    <row r="870" spans="1:26" ht="15.75" customHeight="1" x14ac:dyDescent="0.25">
      <c r="A870" s="271"/>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row>
    <row r="871" spans="1:26" ht="15.75" customHeight="1" x14ac:dyDescent="0.25">
      <c r="A871" s="271"/>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row>
    <row r="872" spans="1:26" ht="15.75" customHeight="1" x14ac:dyDescent="0.25">
      <c r="A872" s="271"/>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row>
    <row r="873" spans="1:26" ht="15.75" customHeight="1" x14ac:dyDescent="0.25">
      <c r="A873" s="271"/>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row>
    <row r="874" spans="1:26" ht="15.75" customHeight="1" x14ac:dyDescent="0.25">
      <c r="A874" s="271"/>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row>
    <row r="875" spans="1:26" ht="15.75" customHeight="1" x14ac:dyDescent="0.25">
      <c r="A875" s="271"/>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row>
    <row r="876" spans="1:26" ht="15.75" customHeight="1" x14ac:dyDescent="0.25">
      <c r="A876" s="271"/>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row>
    <row r="877" spans="1:26" ht="15.75" customHeight="1" x14ac:dyDescent="0.25">
      <c r="A877" s="271"/>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row>
    <row r="878" spans="1:26" ht="15.75" customHeight="1" x14ac:dyDescent="0.25">
      <c r="A878" s="271"/>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row>
    <row r="879" spans="1:26" ht="15.75" customHeight="1" x14ac:dyDescent="0.25">
      <c r="A879" s="271"/>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row>
    <row r="880" spans="1:26" ht="15.75" customHeight="1" x14ac:dyDescent="0.25">
      <c r="A880" s="271"/>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row>
    <row r="881" spans="1:26" ht="15.75" customHeight="1" x14ac:dyDescent="0.25">
      <c r="A881" s="271"/>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row>
    <row r="882" spans="1:26" ht="15.75" customHeight="1" x14ac:dyDescent="0.25">
      <c r="A882" s="271"/>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row>
    <row r="883" spans="1:26" ht="15.75" customHeight="1" x14ac:dyDescent="0.25">
      <c r="A883" s="271"/>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row>
    <row r="884" spans="1:26" ht="15.75" customHeight="1" x14ac:dyDescent="0.25">
      <c r="A884" s="271"/>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row>
    <row r="885" spans="1:26" ht="15.75" customHeight="1" x14ac:dyDescent="0.25">
      <c r="A885" s="271"/>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row>
    <row r="886" spans="1:26" ht="15.75" customHeight="1" x14ac:dyDescent="0.25">
      <c r="A886" s="271"/>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row>
    <row r="887" spans="1:26" ht="15.75" customHeight="1" x14ac:dyDescent="0.25">
      <c r="A887" s="271"/>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row>
    <row r="888" spans="1:26" ht="15.75" customHeight="1" x14ac:dyDescent="0.25">
      <c r="A888" s="271"/>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row>
    <row r="889" spans="1:26" ht="15.75" customHeight="1" x14ac:dyDescent="0.25">
      <c r="A889" s="271"/>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row>
    <row r="890" spans="1:26" ht="15.75" customHeight="1" x14ac:dyDescent="0.25">
      <c r="A890" s="271"/>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row>
    <row r="891" spans="1:26" ht="15.75" customHeight="1" x14ac:dyDescent="0.25">
      <c r="A891" s="271"/>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row>
    <row r="892" spans="1:26" ht="15.75" customHeight="1" x14ac:dyDescent="0.25">
      <c r="A892" s="271"/>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row>
    <row r="893" spans="1:26" ht="15.75" customHeight="1" x14ac:dyDescent="0.25">
      <c r="A893" s="271"/>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row>
    <row r="894" spans="1:26" ht="15.75" customHeight="1" x14ac:dyDescent="0.25">
      <c r="A894" s="271"/>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row>
    <row r="895" spans="1:26" ht="15.75" customHeight="1" x14ac:dyDescent="0.25">
      <c r="A895" s="271"/>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row>
    <row r="896" spans="1:26" ht="15.75" customHeight="1" x14ac:dyDescent="0.25">
      <c r="A896" s="271"/>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row>
    <row r="897" spans="1:26" ht="15.75" customHeight="1" x14ac:dyDescent="0.25">
      <c r="A897" s="271"/>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row>
    <row r="898" spans="1:26" ht="15.75" customHeight="1" x14ac:dyDescent="0.25">
      <c r="A898" s="271"/>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row>
    <row r="899" spans="1:26" ht="15.75" customHeight="1" x14ac:dyDescent="0.25">
      <c r="A899" s="271"/>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row>
    <row r="900" spans="1:26" ht="15.75" customHeight="1" x14ac:dyDescent="0.25">
      <c r="A900" s="271"/>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row>
    <row r="901" spans="1:26" ht="15.75" customHeight="1" x14ac:dyDescent="0.25">
      <c r="A901" s="271"/>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row>
    <row r="902" spans="1:26" ht="15.75" customHeight="1" x14ac:dyDescent="0.25">
      <c r="A902" s="271"/>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row>
    <row r="903" spans="1:26" ht="15.75" customHeight="1" x14ac:dyDescent="0.25">
      <c r="A903" s="271"/>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row>
    <row r="904" spans="1:26" ht="15.75" customHeight="1" x14ac:dyDescent="0.25">
      <c r="A904" s="271"/>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row>
    <row r="905" spans="1:26" ht="15.75" customHeight="1" x14ac:dyDescent="0.25">
      <c r="A905" s="271"/>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row>
    <row r="906" spans="1:26" ht="15.75" customHeight="1" x14ac:dyDescent="0.25">
      <c r="A906" s="271"/>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row>
    <row r="907" spans="1:26" ht="15.75" customHeight="1" x14ac:dyDescent="0.25">
      <c r="A907" s="271"/>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row>
    <row r="908" spans="1:26" ht="15.75" customHeight="1" x14ac:dyDescent="0.25">
      <c r="A908" s="271"/>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row>
    <row r="909" spans="1:26" ht="15.75" customHeight="1" x14ac:dyDescent="0.25">
      <c r="A909" s="271"/>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row>
    <row r="910" spans="1:26" ht="15.75" customHeight="1" x14ac:dyDescent="0.25">
      <c r="A910" s="271"/>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row>
    <row r="911" spans="1:26" ht="15.75" customHeight="1" x14ac:dyDescent="0.25">
      <c r="A911" s="271"/>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row>
    <row r="912" spans="1:26" ht="15.75" customHeight="1" x14ac:dyDescent="0.25">
      <c r="A912" s="271"/>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row>
    <row r="913" spans="1:26" ht="15.75" customHeight="1" x14ac:dyDescent="0.25">
      <c r="A913" s="271"/>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row>
    <row r="914" spans="1:26" ht="15.75" customHeight="1" x14ac:dyDescent="0.25">
      <c r="A914" s="271"/>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row>
    <row r="915" spans="1:26" ht="15.75" customHeight="1" x14ac:dyDescent="0.25">
      <c r="A915" s="271"/>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row>
    <row r="916" spans="1:26" ht="15.75" customHeight="1" x14ac:dyDescent="0.25">
      <c r="A916" s="271"/>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row>
    <row r="917" spans="1:26" ht="15.75" customHeight="1" x14ac:dyDescent="0.25">
      <c r="A917" s="271"/>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row>
    <row r="918" spans="1:26" ht="15.75" customHeight="1" x14ac:dyDescent="0.25">
      <c r="A918" s="271"/>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row>
    <row r="919" spans="1:26" ht="15.75" customHeight="1" x14ac:dyDescent="0.25">
      <c r="A919" s="271"/>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row>
    <row r="920" spans="1:26" ht="15.75" customHeight="1" x14ac:dyDescent="0.25">
      <c r="A920" s="271"/>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row>
    <row r="921" spans="1:26" ht="15.75" customHeight="1" x14ac:dyDescent="0.25">
      <c r="A921" s="271"/>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row>
    <row r="922" spans="1:26" ht="15.75" customHeight="1" x14ac:dyDescent="0.25">
      <c r="A922" s="271"/>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row>
    <row r="923" spans="1:26" ht="15.75" customHeight="1" x14ac:dyDescent="0.25">
      <c r="A923" s="271"/>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row>
    <row r="924" spans="1:26" ht="15.75" customHeight="1" x14ac:dyDescent="0.25">
      <c r="A924" s="271"/>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row>
    <row r="925" spans="1:26" ht="15.75" customHeight="1" x14ac:dyDescent="0.25">
      <c r="A925" s="271"/>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row>
    <row r="926" spans="1:26" ht="15.75" customHeight="1" x14ac:dyDescent="0.25">
      <c r="A926" s="271"/>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row>
    <row r="927" spans="1:26" ht="15.75" customHeight="1" x14ac:dyDescent="0.25">
      <c r="A927" s="271"/>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row>
    <row r="928" spans="1:26" ht="15.75" customHeight="1" x14ac:dyDescent="0.25">
      <c r="A928" s="271"/>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row>
    <row r="929" spans="1:26" ht="15.75" customHeight="1" x14ac:dyDescent="0.25">
      <c r="A929" s="271"/>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row>
    <row r="930" spans="1:26" ht="15.75" customHeight="1" x14ac:dyDescent="0.25">
      <c r="A930" s="271"/>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row>
    <row r="931" spans="1:26" ht="15.75" customHeight="1" x14ac:dyDescent="0.25">
      <c r="A931" s="271"/>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row>
  </sheetData>
  <pageMargins left="1" right="1" top="1" bottom="1" header="0" footer="0"/>
  <pageSetup orientation="portrait"/>
  <headerFooter>
    <oddFooter>&amp;C000000&amp;P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showGridLines="0" workbookViewId="0">
      <selection sqref="A1:A1048576"/>
    </sheetView>
  </sheetViews>
  <sheetFormatPr baseColWidth="10" defaultColWidth="12.5703125" defaultRowHeight="15" customHeight="1" x14ac:dyDescent="0.2"/>
  <cols>
    <col min="1" max="1" width="20" style="535" customWidth="1"/>
    <col min="2" max="2" width="19.42578125" customWidth="1"/>
    <col min="3" max="6" width="15" customWidth="1"/>
    <col min="7" max="7" width="15.42578125" customWidth="1"/>
    <col min="8" max="8" width="15" customWidth="1"/>
    <col min="9" max="9" width="15.28515625" customWidth="1"/>
    <col min="10" max="10" width="18.42578125" customWidth="1"/>
    <col min="11" max="11" width="16.7109375" customWidth="1"/>
    <col min="12" max="12" width="15.28515625" customWidth="1"/>
    <col min="13" max="13" width="12" customWidth="1"/>
    <col min="14" max="14" width="14.7109375" customWidth="1"/>
    <col min="15" max="15" width="11.85546875" customWidth="1"/>
    <col min="16" max="16" width="13" customWidth="1"/>
    <col min="17" max="19" width="15" customWidth="1"/>
    <col min="20" max="20" width="12.85546875" customWidth="1"/>
    <col min="21" max="21" width="14.42578125" customWidth="1"/>
    <col min="22" max="26" width="19.140625" customWidth="1"/>
    <col min="27" max="27" width="11.42578125" customWidth="1"/>
    <col min="28" max="37" width="9.140625" customWidth="1"/>
  </cols>
  <sheetData>
    <row r="1" spans="1:37" ht="15.75" customHeight="1" x14ac:dyDescent="0.25">
      <c r="A1" s="521" t="s">
        <v>152</v>
      </c>
      <c r="B1" s="272" t="s">
        <v>153</v>
      </c>
      <c r="C1" s="272" t="s">
        <v>154</v>
      </c>
      <c r="D1" s="272" t="s">
        <v>155</v>
      </c>
      <c r="E1" s="272" t="s">
        <v>156</v>
      </c>
      <c r="F1" s="272" t="s">
        <v>132</v>
      </c>
      <c r="G1" s="272" t="s">
        <v>157</v>
      </c>
      <c r="H1" s="272" t="s">
        <v>158</v>
      </c>
      <c r="I1" s="272" t="s">
        <v>159</v>
      </c>
      <c r="J1" s="272" t="s">
        <v>160</v>
      </c>
      <c r="K1" s="273" t="s">
        <v>161</v>
      </c>
      <c r="L1" s="273" t="s">
        <v>162</v>
      </c>
      <c r="M1" s="274"/>
      <c r="N1" s="553" t="s">
        <v>163</v>
      </c>
      <c r="O1" s="554"/>
      <c r="P1" s="554"/>
      <c r="Q1" s="554"/>
      <c r="R1" s="554"/>
      <c r="S1" s="554"/>
      <c r="T1" s="554"/>
      <c r="U1" s="554"/>
      <c r="V1" s="554"/>
      <c r="W1" s="554"/>
      <c r="X1" s="554"/>
      <c r="Y1" s="554"/>
      <c r="Z1" s="554"/>
      <c r="AA1" s="555"/>
      <c r="AB1" s="275"/>
      <c r="AC1" s="276"/>
      <c r="AD1" s="276"/>
      <c r="AE1" s="276"/>
      <c r="AF1" s="276"/>
      <c r="AG1" s="276"/>
      <c r="AH1" s="276"/>
      <c r="AI1" s="276"/>
      <c r="AJ1" s="276"/>
      <c r="AK1" s="276"/>
    </row>
    <row r="2" spans="1:37" ht="15.75" customHeight="1" x14ac:dyDescent="0.25">
      <c r="A2" s="522"/>
      <c r="B2" s="278"/>
      <c r="C2" s="278"/>
      <c r="D2" s="278"/>
      <c r="E2" s="278"/>
      <c r="F2" s="278"/>
      <c r="G2" s="279"/>
      <c r="H2" s="278"/>
      <c r="I2" s="280"/>
      <c r="J2" s="281"/>
      <c r="K2" s="282"/>
      <c r="L2" s="283"/>
      <c r="M2" s="284">
        <v>0.7</v>
      </c>
      <c r="N2" s="285" t="s">
        <v>164</v>
      </c>
      <c r="O2" s="286" t="s">
        <v>165</v>
      </c>
      <c r="P2" s="286" t="s">
        <v>166</v>
      </c>
      <c r="Q2" s="286" t="s">
        <v>167</v>
      </c>
      <c r="R2" s="286" t="s">
        <v>168</v>
      </c>
      <c r="S2" s="287" t="s">
        <v>169</v>
      </c>
      <c r="T2" s="285" t="s">
        <v>170</v>
      </c>
      <c r="U2" s="287" t="s">
        <v>171</v>
      </c>
      <c r="V2" s="288" t="s">
        <v>172</v>
      </c>
      <c r="W2" s="288" t="s">
        <v>173</v>
      </c>
      <c r="X2" s="288" t="s">
        <v>44</v>
      </c>
      <c r="Y2" s="288" t="s">
        <v>174</v>
      </c>
      <c r="Z2" s="288" t="s">
        <v>175</v>
      </c>
      <c r="AA2" s="288" t="s">
        <v>44</v>
      </c>
      <c r="AB2" s="275"/>
      <c r="AC2" s="276"/>
      <c r="AD2" s="276"/>
      <c r="AE2" s="276"/>
      <c r="AF2" s="276"/>
      <c r="AG2" s="276"/>
      <c r="AH2" s="276"/>
      <c r="AI2" s="276"/>
      <c r="AJ2" s="276"/>
      <c r="AK2" s="276"/>
    </row>
    <row r="3" spans="1:37" ht="15.75" customHeight="1" x14ac:dyDescent="0.25">
      <c r="A3" s="523">
        <v>45037</v>
      </c>
      <c r="B3" s="290">
        <v>1050050</v>
      </c>
      <c r="C3" s="290"/>
      <c r="D3" s="290"/>
      <c r="E3" s="290"/>
      <c r="F3" s="290"/>
      <c r="G3" s="291"/>
      <c r="H3" s="290"/>
      <c r="I3" s="290"/>
      <c r="J3" s="292"/>
      <c r="K3" s="292"/>
      <c r="L3" s="293"/>
      <c r="M3" s="294"/>
      <c r="N3" s="295"/>
      <c r="O3" s="295"/>
      <c r="P3" s="295"/>
      <c r="Q3" s="295"/>
      <c r="R3" s="295"/>
      <c r="S3" s="295"/>
      <c r="T3" s="295"/>
      <c r="U3" s="295"/>
      <c r="V3" s="295"/>
      <c r="W3" s="295"/>
      <c r="X3" s="296">
        <f t="shared" ref="X3:X4" si="0">SUM(N3:W3)</f>
        <v>0</v>
      </c>
      <c r="Y3" s="295"/>
      <c r="Z3" s="295"/>
      <c r="AA3" s="297">
        <f t="shared" ref="AA3:AA12" si="1">Y3+Z3</f>
        <v>0</v>
      </c>
      <c r="AB3" s="201"/>
      <c r="AC3" s="276"/>
      <c r="AD3" s="276"/>
      <c r="AE3" s="276"/>
      <c r="AF3" s="276"/>
      <c r="AG3" s="276"/>
      <c r="AH3" s="276"/>
      <c r="AI3" s="276"/>
      <c r="AJ3" s="276"/>
      <c r="AK3" s="276"/>
    </row>
    <row r="4" spans="1:37" ht="15.75" customHeight="1" x14ac:dyDescent="0.25">
      <c r="A4" s="524">
        <v>45038</v>
      </c>
      <c r="B4" s="298">
        <v>831000</v>
      </c>
      <c r="C4" s="298"/>
      <c r="D4" s="298"/>
      <c r="E4" s="298"/>
      <c r="F4" s="298"/>
      <c r="G4" s="299">
        <f t="shared" ref="G4:G10" si="2">(B4+C4+D4+E4+F4)-X4</f>
        <v>686500</v>
      </c>
      <c r="H4" s="300">
        <f>'Détail Dépenses'!Y4</f>
        <v>151210</v>
      </c>
      <c r="I4" s="298">
        <f t="shared" ref="I4:I12" si="3">G4-H4</f>
        <v>535290</v>
      </c>
      <c r="J4" s="301">
        <v>585000</v>
      </c>
      <c r="K4" s="301">
        <f t="shared" ref="K4:K12" si="4">I4-J4</f>
        <v>-49710</v>
      </c>
      <c r="L4" s="302">
        <f>J4</f>
        <v>585000</v>
      </c>
      <c r="M4" s="303"/>
      <c r="N4" s="304">
        <v>9000</v>
      </c>
      <c r="O4" s="305">
        <f>76500</f>
        <v>76500</v>
      </c>
      <c r="P4" s="305">
        <v>15000</v>
      </c>
      <c r="Q4" s="305"/>
      <c r="R4" s="305">
        <v>37000</v>
      </c>
      <c r="S4" s="305"/>
      <c r="T4" s="305">
        <v>7000</v>
      </c>
      <c r="U4" s="306"/>
      <c r="V4" s="307"/>
      <c r="W4" s="307"/>
      <c r="X4" s="307">
        <f t="shared" si="0"/>
        <v>144500</v>
      </c>
      <c r="Y4" s="307"/>
      <c r="Z4" s="307"/>
      <c r="AA4" s="308">
        <f t="shared" si="1"/>
        <v>0</v>
      </c>
      <c r="AB4" s="201"/>
      <c r="AC4" s="276"/>
      <c r="AD4" s="276"/>
      <c r="AE4" s="276"/>
      <c r="AF4" s="276"/>
      <c r="AG4" s="276"/>
      <c r="AH4" s="276"/>
      <c r="AI4" s="276"/>
      <c r="AJ4" s="276"/>
      <c r="AK4" s="276"/>
    </row>
    <row r="5" spans="1:37" ht="15.75" customHeight="1" x14ac:dyDescent="0.25">
      <c r="A5" s="525">
        <v>45039</v>
      </c>
      <c r="B5" s="309">
        <v>588700</v>
      </c>
      <c r="C5" s="309"/>
      <c r="D5" s="309"/>
      <c r="E5" s="309"/>
      <c r="F5" s="309"/>
      <c r="G5" s="310">
        <f t="shared" si="2"/>
        <v>492200</v>
      </c>
      <c r="H5" s="311">
        <f>'Détail Dépenses'!Y5</f>
        <v>89405</v>
      </c>
      <c r="I5" s="309">
        <f t="shared" si="3"/>
        <v>402795</v>
      </c>
      <c r="J5" s="312">
        <v>402000</v>
      </c>
      <c r="K5" s="312">
        <f t="shared" si="4"/>
        <v>795</v>
      </c>
      <c r="L5" s="302">
        <f t="shared" ref="L5:L12" si="5">L4+J5</f>
        <v>987000</v>
      </c>
      <c r="M5" s="313"/>
      <c r="N5" s="314"/>
      <c r="O5" s="315">
        <f>12000+22000</f>
        <v>34000</v>
      </c>
      <c r="P5" s="316"/>
      <c r="Q5" s="317">
        <v>9000</v>
      </c>
      <c r="R5" s="315">
        <f>29000+20000</f>
        <v>49000</v>
      </c>
      <c r="S5" s="315"/>
      <c r="T5" s="315">
        <v>4500</v>
      </c>
      <c r="U5" s="316"/>
      <c r="V5" s="318"/>
      <c r="W5" s="318"/>
      <c r="X5" s="318">
        <f>SUM(O5:W5)</f>
        <v>96500</v>
      </c>
      <c r="Y5" s="318"/>
      <c r="Z5" s="318"/>
      <c r="AA5" s="319">
        <f t="shared" si="1"/>
        <v>0</v>
      </c>
      <c r="AB5" s="201"/>
      <c r="AC5" s="276"/>
      <c r="AD5" s="276"/>
      <c r="AE5" s="276"/>
      <c r="AF5" s="276"/>
      <c r="AG5" s="276"/>
      <c r="AH5" s="276"/>
      <c r="AI5" s="276"/>
      <c r="AJ5" s="276"/>
      <c r="AK5" s="276"/>
    </row>
    <row r="6" spans="1:37" ht="15.75" customHeight="1" x14ac:dyDescent="0.25">
      <c r="A6" s="525">
        <v>45040</v>
      </c>
      <c r="B6" s="309">
        <v>150500</v>
      </c>
      <c r="C6" s="309"/>
      <c r="D6" s="309"/>
      <c r="E6" s="309"/>
      <c r="F6" s="309"/>
      <c r="G6" s="310">
        <f t="shared" si="2"/>
        <v>139500</v>
      </c>
      <c r="H6" s="311">
        <f>'Détail Dépenses'!Y6</f>
        <v>165500</v>
      </c>
      <c r="I6" s="309">
        <f t="shared" si="3"/>
        <v>-26000</v>
      </c>
      <c r="J6" s="312"/>
      <c r="K6" s="312">
        <f t="shared" si="4"/>
        <v>-26000</v>
      </c>
      <c r="L6" s="302">
        <f t="shared" si="5"/>
        <v>987000</v>
      </c>
      <c r="M6" s="313"/>
      <c r="N6" s="317">
        <f>11000-6500</f>
        <v>4500</v>
      </c>
      <c r="O6" s="315"/>
      <c r="P6" s="315"/>
      <c r="Q6" s="315">
        <v>6500</v>
      </c>
      <c r="R6" s="315"/>
      <c r="S6" s="315"/>
      <c r="T6" s="315"/>
      <c r="U6" s="316"/>
      <c r="V6" s="318"/>
      <c r="W6" s="318"/>
      <c r="X6" s="318">
        <f t="shared" ref="X6:X8" si="6">SUM(N6:W6)</f>
        <v>11000</v>
      </c>
      <c r="Y6" s="318"/>
      <c r="Z6" s="318">
        <v>500</v>
      </c>
      <c r="AA6" s="319">
        <f t="shared" si="1"/>
        <v>500</v>
      </c>
      <c r="AB6" s="201"/>
      <c r="AC6" s="276"/>
      <c r="AD6" s="276"/>
      <c r="AE6" s="276"/>
      <c r="AF6" s="276"/>
      <c r="AG6" s="276"/>
      <c r="AH6" s="276"/>
      <c r="AI6" s="276"/>
      <c r="AJ6" s="276"/>
      <c r="AK6" s="276"/>
    </row>
    <row r="7" spans="1:37" ht="15.75" customHeight="1" x14ac:dyDescent="0.25">
      <c r="A7" s="525">
        <v>45041</v>
      </c>
      <c r="B7" s="309">
        <v>189000</v>
      </c>
      <c r="C7" s="309"/>
      <c r="D7" s="309"/>
      <c r="E7" s="309"/>
      <c r="F7" s="309"/>
      <c r="G7" s="310">
        <f t="shared" si="2"/>
        <v>157000</v>
      </c>
      <c r="H7" s="311">
        <f>'Détail Dépenses'!Y7</f>
        <v>174000</v>
      </c>
      <c r="I7" s="309">
        <f t="shared" si="3"/>
        <v>-17000</v>
      </c>
      <c r="J7" s="312"/>
      <c r="K7" s="312">
        <f t="shared" si="4"/>
        <v>-17000</v>
      </c>
      <c r="L7" s="302">
        <f t="shared" si="5"/>
        <v>987000</v>
      </c>
      <c r="M7" s="313"/>
      <c r="N7" s="317">
        <v>13500</v>
      </c>
      <c r="O7" s="315">
        <v>18500</v>
      </c>
      <c r="P7" s="315"/>
      <c r="Q7" s="315"/>
      <c r="R7" s="315"/>
      <c r="S7" s="315"/>
      <c r="T7" s="315"/>
      <c r="U7" s="316"/>
      <c r="V7" s="318"/>
      <c r="W7" s="318"/>
      <c r="X7" s="318">
        <f t="shared" si="6"/>
        <v>32000</v>
      </c>
      <c r="Y7" s="318">
        <v>2000</v>
      </c>
      <c r="Z7" s="318">
        <v>500</v>
      </c>
      <c r="AA7" s="319">
        <f t="shared" si="1"/>
        <v>2500</v>
      </c>
      <c r="AB7" s="201"/>
      <c r="AC7" s="276"/>
      <c r="AD7" s="276"/>
      <c r="AE7" s="276"/>
      <c r="AF7" s="276"/>
      <c r="AG7" s="276"/>
      <c r="AH7" s="276"/>
      <c r="AI7" s="276"/>
      <c r="AJ7" s="276"/>
      <c r="AK7" s="276"/>
    </row>
    <row r="8" spans="1:37" ht="15.75" customHeight="1" x14ac:dyDescent="0.25">
      <c r="A8" s="525">
        <v>45042</v>
      </c>
      <c r="B8" s="309">
        <v>682500</v>
      </c>
      <c r="C8" s="309"/>
      <c r="D8" s="309"/>
      <c r="E8" s="309"/>
      <c r="F8" s="309"/>
      <c r="G8" s="310">
        <f t="shared" si="2"/>
        <v>590500</v>
      </c>
      <c r="H8" s="311">
        <f>'Détail Dépenses'!Y8</f>
        <v>176325</v>
      </c>
      <c r="I8" s="309">
        <f t="shared" si="3"/>
        <v>414175</v>
      </c>
      <c r="J8" s="312">
        <v>356000</v>
      </c>
      <c r="K8" s="312">
        <f t="shared" si="4"/>
        <v>58175</v>
      </c>
      <c r="L8" s="302">
        <f t="shared" si="5"/>
        <v>1343000</v>
      </c>
      <c r="M8" s="313"/>
      <c r="N8" s="317">
        <v>18000</v>
      </c>
      <c r="O8" s="315">
        <v>71500</v>
      </c>
      <c r="P8" s="315"/>
      <c r="Q8" s="315"/>
      <c r="R8" s="315"/>
      <c r="S8" s="315"/>
      <c r="T8" s="315">
        <v>2500</v>
      </c>
      <c r="U8" s="316"/>
      <c r="V8" s="318"/>
      <c r="W8" s="318"/>
      <c r="X8" s="318">
        <f t="shared" si="6"/>
        <v>92000</v>
      </c>
      <c r="Y8" s="318">
        <f>2000+500</f>
        <v>2500</v>
      </c>
      <c r="Z8" s="318">
        <v>500</v>
      </c>
      <c r="AA8" s="319">
        <f t="shared" si="1"/>
        <v>3000</v>
      </c>
      <c r="AB8" s="201"/>
      <c r="AC8" s="276"/>
      <c r="AD8" s="276"/>
      <c r="AE8" s="276"/>
      <c r="AF8" s="276"/>
      <c r="AG8" s="276"/>
      <c r="AH8" s="276"/>
      <c r="AI8" s="276"/>
      <c r="AJ8" s="276"/>
      <c r="AK8" s="276"/>
    </row>
    <row r="9" spans="1:37" ht="15.75" customHeight="1" x14ac:dyDescent="0.25">
      <c r="A9" s="525">
        <v>45043</v>
      </c>
      <c r="B9" s="309">
        <v>172500</v>
      </c>
      <c r="C9" s="309"/>
      <c r="D9" s="309"/>
      <c r="E9" s="309"/>
      <c r="F9" s="309"/>
      <c r="G9" s="310">
        <f t="shared" si="2"/>
        <v>164500</v>
      </c>
      <c r="H9" s="311">
        <f>'Détail Dépenses'!Y9</f>
        <v>113700</v>
      </c>
      <c r="I9" s="309">
        <f t="shared" si="3"/>
        <v>50800</v>
      </c>
      <c r="J9" s="312">
        <v>50800</v>
      </c>
      <c r="K9" s="312">
        <f t="shared" si="4"/>
        <v>0</v>
      </c>
      <c r="L9" s="302">
        <f t="shared" si="5"/>
        <v>1393800</v>
      </c>
      <c r="M9" s="313"/>
      <c r="N9" s="314"/>
      <c r="O9" s="315"/>
      <c r="P9" s="316"/>
      <c r="Q9" s="317">
        <v>8000</v>
      </c>
      <c r="R9" s="315"/>
      <c r="S9" s="315"/>
      <c r="T9" s="315"/>
      <c r="U9" s="316"/>
      <c r="V9" s="318"/>
      <c r="W9" s="318"/>
      <c r="X9" s="318">
        <f>SUM(O9:W9)</f>
        <v>8000</v>
      </c>
      <c r="Y9" s="318">
        <v>2000</v>
      </c>
      <c r="Z9" s="318">
        <v>1000</v>
      </c>
      <c r="AA9" s="319">
        <f t="shared" si="1"/>
        <v>3000</v>
      </c>
      <c r="AB9" s="201"/>
      <c r="AC9" s="276"/>
      <c r="AD9" s="276"/>
      <c r="AE9" s="276"/>
      <c r="AF9" s="276"/>
      <c r="AG9" s="276"/>
      <c r="AH9" s="276"/>
      <c r="AI9" s="276"/>
      <c r="AJ9" s="276"/>
      <c r="AK9" s="276"/>
    </row>
    <row r="10" spans="1:37" ht="15.75" customHeight="1" x14ac:dyDescent="0.25">
      <c r="A10" s="526">
        <v>45044</v>
      </c>
      <c r="B10" s="320">
        <v>408500</v>
      </c>
      <c r="C10" s="320"/>
      <c r="D10" s="320"/>
      <c r="E10" s="320"/>
      <c r="F10" s="320"/>
      <c r="G10" s="321">
        <f t="shared" si="2"/>
        <v>289500</v>
      </c>
      <c r="H10" s="322">
        <f>'Détail Dépenses'!Y10</f>
        <v>347750</v>
      </c>
      <c r="I10" s="320">
        <f t="shared" si="3"/>
        <v>-58250</v>
      </c>
      <c r="J10" s="323"/>
      <c r="K10" s="323">
        <f t="shared" si="4"/>
        <v>-58250</v>
      </c>
      <c r="L10" s="324">
        <f t="shared" si="5"/>
        <v>1393800</v>
      </c>
      <c r="M10" s="325"/>
      <c r="N10" s="326">
        <v>15500</v>
      </c>
      <c r="O10" s="327">
        <v>100500</v>
      </c>
      <c r="P10" s="327"/>
      <c r="Q10" s="327"/>
      <c r="R10" s="327"/>
      <c r="S10" s="327"/>
      <c r="T10" s="327">
        <v>3000</v>
      </c>
      <c r="U10" s="328"/>
      <c r="V10" s="329"/>
      <c r="W10" s="329"/>
      <c r="X10" s="329">
        <f t="shared" ref="X10:X13" si="7">SUM(N10:W10)</f>
        <v>119000</v>
      </c>
      <c r="Y10" s="329">
        <v>2000</v>
      </c>
      <c r="Z10" s="329"/>
      <c r="AA10" s="319">
        <f t="shared" si="1"/>
        <v>2000</v>
      </c>
      <c r="AB10" s="201"/>
      <c r="AC10" s="276"/>
      <c r="AD10" s="276"/>
      <c r="AE10" s="276"/>
      <c r="AF10" s="276"/>
      <c r="AG10" s="276"/>
      <c r="AH10" s="276"/>
      <c r="AI10" s="276"/>
      <c r="AJ10" s="276"/>
      <c r="AK10" s="276"/>
    </row>
    <row r="11" spans="1:37" ht="15.75" customHeight="1" x14ac:dyDescent="0.25">
      <c r="A11" s="527">
        <v>45045</v>
      </c>
      <c r="B11" s="243">
        <v>564600</v>
      </c>
      <c r="C11" s="243"/>
      <c r="D11" s="243"/>
      <c r="E11" s="243"/>
      <c r="F11" s="243"/>
      <c r="G11" s="330">
        <f t="shared" ref="G11:G12" si="8">(B11+E11)</f>
        <v>564600</v>
      </c>
      <c r="H11" s="331">
        <f>'Détail Dépenses'!Y11</f>
        <v>119000</v>
      </c>
      <c r="I11" s="243">
        <f t="shared" si="3"/>
        <v>445600</v>
      </c>
      <c r="J11" s="332">
        <v>447600</v>
      </c>
      <c r="K11" s="332">
        <f t="shared" si="4"/>
        <v>-2000</v>
      </c>
      <c r="L11" s="332">
        <f t="shared" si="5"/>
        <v>1841400</v>
      </c>
      <c r="M11" s="333"/>
      <c r="N11" s="334">
        <v>6000</v>
      </c>
      <c r="O11" s="335">
        <v>15500</v>
      </c>
      <c r="P11" s="335"/>
      <c r="Q11" s="335"/>
      <c r="R11" s="335"/>
      <c r="S11" s="335"/>
      <c r="T11" s="335">
        <v>4500</v>
      </c>
      <c r="U11" s="336">
        <v>2500</v>
      </c>
      <c r="V11" s="337"/>
      <c r="W11" s="337"/>
      <c r="X11" s="337">
        <f t="shared" si="7"/>
        <v>28500</v>
      </c>
      <c r="Y11" s="337">
        <v>500</v>
      </c>
      <c r="Z11" s="337"/>
      <c r="AA11" s="319">
        <f t="shared" si="1"/>
        <v>500</v>
      </c>
      <c r="AB11" s="201"/>
      <c r="AC11" s="276"/>
      <c r="AD11" s="276"/>
      <c r="AE11" s="276"/>
      <c r="AF11" s="276"/>
      <c r="AG11" s="276"/>
      <c r="AH11" s="276"/>
      <c r="AI11" s="276"/>
      <c r="AJ11" s="276"/>
      <c r="AK11" s="276"/>
    </row>
    <row r="12" spans="1:37" ht="15.75" customHeight="1" x14ac:dyDescent="0.25">
      <c r="A12" s="528">
        <v>45046</v>
      </c>
      <c r="B12" s="320">
        <v>443000</v>
      </c>
      <c r="C12" s="320"/>
      <c r="D12" s="320"/>
      <c r="E12" s="320"/>
      <c r="F12" s="320"/>
      <c r="G12" s="321">
        <f t="shared" si="8"/>
        <v>443000</v>
      </c>
      <c r="H12" s="322">
        <f>'Détail Dépenses'!Y12</f>
        <v>2007660</v>
      </c>
      <c r="I12" s="320">
        <f t="shared" si="3"/>
        <v>-1564660</v>
      </c>
      <c r="J12" s="323">
        <v>295000</v>
      </c>
      <c r="K12" s="323">
        <f t="shared" si="4"/>
        <v>-1859660</v>
      </c>
      <c r="L12" s="323">
        <f t="shared" si="5"/>
        <v>2136400</v>
      </c>
      <c r="M12" s="338"/>
      <c r="N12" s="326">
        <v>20000</v>
      </c>
      <c r="O12" s="327"/>
      <c r="P12" s="327"/>
      <c r="Q12" s="327"/>
      <c r="R12" s="327"/>
      <c r="S12" s="327"/>
      <c r="T12" s="327"/>
      <c r="U12" s="328"/>
      <c r="V12" s="329"/>
      <c r="W12" s="329"/>
      <c r="X12" s="329">
        <f t="shared" si="7"/>
        <v>20000</v>
      </c>
      <c r="Y12" s="329">
        <v>1000</v>
      </c>
      <c r="Z12" s="329">
        <v>1500</v>
      </c>
      <c r="AA12" s="319">
        <f t="shared" si="1"/>
        <v>2500</v>
      </c>
      <c r="AB12" s="201"/>
      <c r="AC12" s="276"/>
      <c r="AD12" s="276"/>
      <c r="AE12" s="276"/>
      <c r="AF12" s="276"/>
      <c r="AG12" s="276"/>
      <c r="AH12" s="276"/>
      <c r="AI12" s="276"/>
      <c r="AJ12" s="276"/>
      <c r="AK12" s="276"/>
    </row>
    <row r="13" spans="1:37" ht="16.5" customHeight="1" x14ac:dyDescent="0.25">
      <c r="A13" s="529" t="s">
        <v>44</v>
      </c>
      <c r="B13" s="339">
        <f t="shared" ref="B13:K13" si="9">SUM(B3:B12)</f>
        <v>5080350</v>
      </c>
      <c r="C13" s="339">
        <f t="shared" si="9"/>
        <v>0</v>
      </c>
      <c r="D13" s="339">
        <f t="shared" si="9"/>
        <v>0</v>
      </c>
      <c r="E13" s="339">
        <f t="shared" si="9"/>
        <v>0</v>
      </c>
      <c r="F13" s="339">
        <f t="shared" si="9"/>
        <v>0</v>
      </c>
      <c r="G13" s="339">
        <f t="shared" si="9"/>
        <v>3527300</v>
      </c>
      <c r="H13" s="339">
        <f t="shared" si="9"/>
        <v>3344550</v>
      </c>
      <c r="I13" s="339">
        <f t="shared" si="9"/>
        <v>182750</v>
      </c>
      <c r="J13" s="339">
        <f t="shared" si="9"/>
        <v>2136400</v>
      </c>
      <c r="K13" s="339">
        <f t="shared" si="9"/>
        <v>-1953650</v>
      </c>
      <c r="L13" s="339">
        <f>L12</f>
        <v>2136400</v>
      </c>
      <c r="M13" s="340"/>
      <c r="N13" s="341">
        <f t="shared" ref="N13:U13" si="10">SUM(N3:N12)</f>
        <v>86500</v>
      </c>
      <c r="O13" s="341">
        <f t="shared" si="10"/>
        <v>316500</v>
      </c>
      <c r="P13" s="341">
        <f t="shared" si="10"/>
        <v>15000</v>
      </c>
      <c r="Q13" s="341">
        <f t="shared" si="10"/>
        <v>23500</v>
      </c>
      <c r="R13" s="341">
        <f t="shared" si="10"/>
        <v>86000</v>
      </c>
      <c r="S13" s="341">
        <f t="shared" si="10"/>
        <v>0</v>
      </c>
      <c r="T13" s="341">
        <f t="shared" si="10"/>
        <v>21500</v>
      </c>
      <c r="U13" s="341">
        <f t="shared" si="10"/>
        <v>2500</v>
      </c>
      <c r="V13" s="342"/>
      <c r="W13" s="342"/>
      <c r="X13" s="341">
        <f t="shared" si="7"/>
        <v>551500</v>
      </c>
      <c r="Y13" s="341">
        <f t="shared" ref="Y13:Z13" si="11">SUM(Y4:Y12)</f>
        <v>10000</v>
      </c>
      <c r="Z13" s="341">
        <f t="shared" si="11"/>
        <v>4000</v>
      </c>
      <c r="AA13" s="342">
        <f>X13+Y13+Z13</f>
        <v>565500</v>
      </c>
      <c r="AB13" s="201"/>
      <c r="AC13" s="276"/>
      <c r="AD13" s="276"/>
      <c r="AE13" s="276"/>
      <c r="AF13" s="276"/>
      <c r="AG13" s="276"/>
      <c r="AH13" s="276"/>
      <c r="AI13" s="276"/>
      <c r="AJ13" s="276"/>
      <c r="AK13" s="276"/>
    </row>
    <row r="14" spans="1:37" ht="15.75" customHeight="1" x14ac:dyDescent="0.25">
      <c r="A14" s="530" t="s">
        <v>40</v>
      </c>
      <c r="B14" s="343"/>
      <c r="C14" s="340"/>
      <c r="D14" s="340"/>
      <c r="E14" s="340"/>
      <c r="F14" s="340"/>
      <c r="G14" s="344"/>
      <c r="H14" s="345">
        <f t="shared" ref="H14:L14" si="12">H13/$G$13</f>
        <v>0.94818983358376097</v>
      </c>
      <c r="I14" s="345">
        <f t="shared" si="12"/>
        <v>5.1810166416239048E-2</v>
      </c>
      <c r="J14" s="345">
        <f t="shared" si="12"/>
        <v>0.60567572931137126</v>
      </c>
      <c r="K14" s="345">
        <f t="shared" si="12"/>
        <v>-0.55386556289513222</v>
      </c>
      <c r="L14" s="345">
        <f t="shared" si="12"/>
        <v>0.60567572931137126</v>
      </c>
      <c r="M14" s="340"/>
      <c r="N14" s="345">
        <f t="shared" ref="N14:X14" si="13">N13/$AA$13</f>
        <v>0.15296198054818744</v>
      </c>
      <c r="O14" s="345">
        <f t="shared" si="13"/>
        <v>0.55968169761273212</v>
      </c>
      <c r="P14" s="345">
        <f t="shared" si="13"/>
        <v>2.6525198938992044E-2</v>
      </c>
      <c r="Q14" s="345">
        <f t="shared" si="13"/>
        <v>4.1556145004420869E-2</v>
      </c>
      <c r="R14" s="345">
        <f t="shared" si="13"/>
        <v>0.15207780725022105</v>
      </c>
      <c r="S14" s="345">
        <f t="shared" si="13"/>
        <v>0</v>
      </c>
      <c r="T14" s="345">
        <f t="shared" si="13"/>
        <v>3.8019451812555262E-2</v>
      </c>
      <c r="U14" s="345">
        <f t="shared" si="13"/>
        <v>4.4208664898320073E-3</v>
      </c>
      <c r="V14" s="345">
        <f t="shared" si="13"/>
        <v>0</v>
      </c>
      <c r="W14" s="345">
        <f t="shared" si="13"/>
        <v>0</v>
      </c>
      <c r="X14" s="345">
        <f t="shared" si="13"/>
        <v>0.97524314765694076</v>
      </c>
      <c r="Y14" s="340"/>
      <c r="Z14" s="340"/>
      <c r="AA14" s="340"/>
      <c r="AB14" s="201"/>
      <c r="AC14" s="276"/>
      <c r="AD14" s="276"/>
      <c r="AE14" s="276"/>
      <c r="AF14" s="276"/>
      <c r="AG14" s="276"/>
      <c r="AH14" s="276"/>
      <c r="AI14" s="276"/>
      <c r="AJ14" s="276"/>
      <c r="AK14" s="276"/>
    </row>
    <row r="15" spans="1:37" ht="15.75" customHeight="1" x14ac:dyDescent="0.25">
      <c r="A15" s="531" t="s">
        <v>157</v>
      </c>
      <c r="B15" s="346">
        <f>G13</f>
        <v>3527300</v>
      </c>
      <c r="C15" s="347"/>
      <c r="D15" s="293"/>
      <c r="E15" s="293"/>
      <c r="F15" s="293"/>
      <c r="G15" s="348"/>
      <c r="H15" s="293"/>
      <c r="I15" s="293"/>
      <c r="J15" s="293"/>
      <c r="K15" s="293"/>
      <c r="L15" s="349"/>
      <c r="M15" s="350" t="s">
        <v>176</v>
      </c>
      <c r="N15" s="351">
        <f t="shared" ref="N15:P15" si="14">N13*(1-$M$2)</f>
        <v>25950.000000000004</v>
      </c>
      <c r="O15" s="351">
        <f t="shared" si="14"/>
        <v>94950.000000000015</v>
      </c>
      <c r="P15" s="351">
        <f t="shared" si="14"/>
        <v>4500.0000000000009</v>
      </c>
      <c r="Q15" s="347"/>
      <c r="R15" s="293"/>
      <c r="S15" s="293"/>
      <c r="T15" s="293"/>
      <c r="U15" s="293"/>
      <c r="V15" s="293"/>
      <c r="W15" s="293"/>
      <c r="X15" s="352"/>
      <c r="Y15" s="293"/>
      <c r="Z15" s="293"/>
      <c r="AA15" s="293"/>
      <c r="AB15" s="276"/>
      <c r="AC15" s="276"/>
      <c r="AD15" s="276"/>
      <c r="AE15" s="276"/>
      <c r="AF15" s="276"/>
      <c r="AG15" s="276"/>
      <c r="AH15" s="276"/>
      <c r="AI15" s="276"/>
      <c r="AJ15" s="276"/>
      <c r="AK15" s="276"/>
    </row>
    <row r="16" spans="1:37" ht="15.75" customHeight="1" x14ac:dyDescent="0.25">
      <c r="A16" s="531" t="s">
        <v>177</v>
      </c>
      <c r="B16" s="346">
        <f>'Détail Dépenses'!D13+'Détail Dépenses'!E13+'Détail Dépenses'!G13+'Détail Dépenses'!H13+'Détail Dépenses'!I13</f>
        <v>2941200</v>
      </c>
      <c r="C16" s="201"/>
      <c r="D16" s="276"/>
      <c r="E16" s="276"/>
      <c r="F16" s="276"/>
      <c r="G16" s="353"/>
      <c r="H16" s="276"/>
      <c r="I16" s="276"/>
      <c r="J16" s="276"/>
      <c r="K16" s="276"/>
      <c r="L16" s="276"/>
      <c r="M16" s="293"/>
      <c r="N16" s="293"/>
      <c r="O16" s="293"/>
      <c r="P16" s="293"/>
      <c r="Q16" s="276"/>
      <c r="R16" s="276"/>
      <c r="S16" s="276"/>
      <c r="T16" s="276"/>
      <c r="U16" s="276"/>
      <c r="V16" s="276"/>
      <c r="W16" s="276"/>
      <c r="X16" s="354"/>
      <c r="Y16" s="276"/>
      <c r="Z16" s="276"/>
      <c r="AA16" s="276"/>
      <c r="AB16" s="276"/>
      <c r="AC16" s="276"/>
      <c r="AD16" s="276"/>
      <c r="AE16" s="276"/>
      <c r="AF16" s="276"/>
      <c r="AG16" s="276"/>
      <c r="AH16" s="276"/>
      <c r="AI16" s="276"/>
      <c r="AJ16" s="276"/>
      <c r="AK16" s="276"/>
    </row>
    <row r="17" spans="1:37" ht="15.75" customHeight="1" x14ac:dyDescent="0.25">
      <c r="A17" s="531" t="s">
        <v>178</v>
      </c>
      <c r="B17" s="346">
        <f>G13-B16</f>
        <v>586100</v>
      </c>
      <c r="C17" s="201"/>
      <c r="D17" s="276"/>
      <c r="E17" s="276"/>
      <c r="F17" s="276"/>
      <c r="G17" s="353"/>
      <c r="H17" s="276"/>
      <c r="I17" s="276"/>
      <c r="J17" s="276"/>
      <c r="K17" s="276"/>
      <c r="L17" s="276"/>
      <c r="M17" s="276"/>
      <c r="N17" s="276"/>
      <c r="O17" s="276"/>
      <c r="P17" s="276"/>
      <c r="Q17" s="276"/>
      <c r="R17" s="276"/>
      <c r="S17" s="276"/>
      <c r="T17" s="276"/>
      <c r="U17" s="276"/>
      <c r="V17" s="276"/>
      <c r="W17" s="276"/>
      <c r="X17" s="354"/>
      <c r="Y17" s="276"/>
      <c r="Z17" s="276"/>
      <c r="AA17" s="276"/>
      <c r="AB17" s="276"/>
      <c r="AC17" s="276"/>
      <c r="AD17" s="276"/>
      <c r="AE17" s="276"/>
      <c r="AF17" s="276"/>
      <c r="AG17" s="276"/>
      <c r="AH17" s="276"/>
      <c r="AI17" s="276"/>
      <c r="AJ17" s="276"/>
      <c r="AK17" s="276"/>
    </row>
    <row r="18" spans="1:37" ht="15.75" customHeight="1" x14ac:dyDescent="0.25">
      <c r="A18" s="531" t="s">
        <v>179</v>
      </c>
      <c r="B18" s="355">
        <f>B17/G13</f>
        <v>0.1661610863833527</v>
      </c>
      <c r="C18" s="201"/>
      <c r="D18" s="276"/>
      <c r="E18" s="276"/>
      <c r="F18" s="276"/>
      <c r="G18" s="353"/>
      <c r="H18" s="276"/>
      <c r="I18" s="276"/>
      <c r="J18" s="276"/>
      <c r="K18" s="276"/>
      <c r="L18" s="276"/>
      <c r="M18" s="276"/>
      <c r="N18" s="276"/>
      <c r="O18" s="276"/>
      <c r="P18" s="276"/>
      <c r="Q18" s="276"/>
      <c r="R18" s="276"/>
      <c r="S18" s="276"/>
      <c r="T18" s="276"/>
      <c r="U18" s="276"/>
      <c r="V18" s="276"/>
      <c r="W18" s="276"/>
      <c r="X18" s="354"/>
      <c r="Y18" s="276"/>
      <c r="Z18" s="276"/>
      <c r="AA18" s="276"/>
      <c r="AB18" s="276"/>
      <c r="AC18" s="276"/>
      <c r="AD18" s="276"/>
      <c r="AE18" s="276"/>
      <c r="AF18" s="276"/>
      <c r="AG18" s="276"/>
      <c r="AH18" s="276"/>
      <c r="AI18" s="276"/>
      <c r="AJ18" s="276"/>
      <c r="AK18" s="276"/>
    </row>
    <row r="19" spans="1:37" ht="15.75" customHeight="1" x14ac:dyDescent="0.25">
      <c r="A19" s="531" t="s">
        <v>20</v>
      </c>
      <c r="B19" s="346">
        <f>SUM('Détail Dépenses'!J13:V13)+'Détail Dépenses'!F13</f>
        <v>329350</v>
      </c>
      <c r="C19" s="201"/>
      <c r="D19" s="276"/>
      <c r="E19" s="276"/>
      <c r="F19" s="276"/>
      <c r="G19" s="353"/>
      <c r="H19" s="276"/>
      <c r="I19" s="276"/>
      <c r="J19" s="276"/>
      <c r="K19" s="276"/>
      <c r="L19" s="276"/>
      <c r="M19" s="276"/>
      <c r="N19" s="276"/>
      <c r="O19" s="276"/>
      <c r="P19" s="276"/>
      <c r="Q19" s="276"/>
      <c r="R19" s="276"/>
      <c r="S19" s="276"/>
      <c r="T19" s="276"/>
      <c r="U19" s="276"/>
      <c r="V19" s="276"/>
      <c r="W19" s="276"/>
      <c r="X19" s="354"/>
      <c r="Y19" s="276"/>
      <c r="Z19" s="276"/>
      <c r="AA19" s="276"/>
      <c r="AB19" s="276"/>
      <c r="AC19" s="276"/>
      <c r="AD19" s="276"/>
      <c r="AE19" s="276"/>
      <c r="AF19" s="276"/>
      <c r="AG19" s="276"/>
      <c r="AH19" s="276"/>
      <c r="AI19" s="276"/>
      <c r="AJ19" s="276"/>
      <c r="AK19" s="276"/>
    </row>
    <row r="20" spans="1:37" ht="15.75" customHeight="1" x14ac:dyDescent="0.25">
      <c r="A20" s="531" t="s">
        <v>180</v>
      </c>
      <c r="B20" s="346">
        <f>'Détail Dépenses'!W13+'Détail Dépenses'!X13</f>
        <v>114000</v>
      </c>
      <c r="C20" s="201"/>
      <c r="D20" s="276"/>
      <c r="E20" s="276"/>
      <c r="F20" s="276"/>
      <c r="G20" s="353"/>
      <c r="H20" s="276"/>
      <c r="I20" s="276"/>
      <c r="J20" s="276"/>
      <c r="K20" s="276"/>
      <c r="L20" s="276"/>
      <c r="M20" s="276"/>
      <c r="N20" s="276"/>
      <c r="O20" s="276"/>
      <c r="P20" s="276"/>
      <c r="Q20" s="276"/>
      <c r="R20" s="276"/>
      <c r="S20" s="276"/>
      <c r="T20" s="276"/>
      <c r="U20" s="276"/>
      <c r="V20" s="276"/>
      <c r="W20" s="276"/>
      <c r="X20" s="354"/>
      <c r="Y20" s="276"/>
      <c r="Z20" s="276"/>
      <c r="AA20" s="276"/>
      <c r="AB20" s="276"/>
      <c r="AC20" s="276"/>
      <c r="AD20" s="276"/>
      <c r="AE20" s="276"/>
      <c r="AF20" s="276"/>
      <c r="AG20" s="276"/>
      <c r="AH20" s="276"/>
      <c r="AI20" s="276"/>
      <c r="AJ20" s="276"/>
      <c r="AK20" s="276"/>
    </row>
    <row r="21" spans="1:37" ht="15.75" customHeight="1" x14ac:dyDescent="0.25">
      <c r="A21" s="531" t="s">
        <v>181</v>
      </c>
      <c r="B21" s="346">
        <f>B17-B19-B20</f>
        <v>142750</v>
      </c>
      <c r="C21" s="201"/>
      <c r="D21" s="276"/>
      <c r="E21" s="276"/>
      <c r="F21" s="276"/>
      <c r="G21" s="353"/>
      <c r="H21" s="276"/>
      <c r="I21" s="276"/>
      <c r="J21" s="276"/>
      <c r="K21" s="276"/>
      <c r="L21" s="276"/>
      <c r="M21" s="276"/>
      <c r="N21" s="276"/>
      <c r="O21" s="276"/>
      <c r="P21" s="276"/>
      <c r="Q21" s="276"/>
      <c r="R21" s="276"/>
      <c r="S21" s="276"/>
      <c r="T21" s="276"/>
      <c r="U21" s="276"/>
      <c r="V21" s="276"/>
      <c r="W21" s="276"/>
      <c r="X21" s="354"/>
      <c r="Y21" s="276"/>
      <c r="Z21" s="276"/>
      <c r="AA21" s="276"/>
      <c r="AB21" s="276"/>
      <c r="AC21" s="276"/>
      <c r="AD21" s="276"/>
      <c r="AE21" s="276"/>
      <c r="AF21" s="276"/>
      <c r="AG21" s="276"/>
      <c r="AH21" s="276"/>
      <c r="AI21" s="276"/>
      <c r="AJ21" s="276"/>
      <c r="AK21" s="276"/>
    </row>
    <row r="22" spans="1:37" ht="15.75" customHeight="1" x14ac:dyDescent="0.25">
      <c r="A22" s="531" t="s">
        <v>182</v>
      </c>
      <c r="B22" s="355">
        <f>B21/G13</f>
        <v>4.0470047912000678E-2</v>
      </c>
      <c r="C22" s="201"/>
      <c r="D22" s="276"/>
      <c r="E22" s="276"/>
      <c r="F22" s="276"/>
      <c r="G22" s="353"/>
      <c r="H22" s="276"/>
      <c r="I22" s="276"/>
      <c r="J22" s="276"/>
      <c r="K22" s="276"/>
      <c r="L22" s="276"/>
      <c r="M22" s="276"/>
      <c r="N22" s="276"/>
      <c r="O22" s="276"/>
      <c r="P22" s="276"/>
      <c r="Q22" s="276"/>
      <c r="R22" s="276"/>
      <c r="S22" s="276"/>
      <c r="T22" s="276"/>
      <c r="U22" s="276"/>
      <c r="V22" s="276"/>
      <c r="W22" s="276"/>
      <c r="X22" s="354"/>
      <c r="Y22" s="276"/>
      <c r="Z22" s="276"/>
      <c r="AA22" s="276"/>
      <c r="AB22" s="276"/>
      <c r="AC22" s="276"/>
      <c r="AD22" s="276"/>
      <c r="AE22" s="276"/>
      <c r="AF22" s="276"/>
      <c r="AG22" s="276"/>
      <c r="AH22" s="276"/>
      <c r="AI22" s="276"/>
      <c r="AJ22" s="276"/>
      <c r="AK22" s="276"/>
    </row>
    <row r="23" spans="1:37" ht="15.75" customHeight="1" x14ac:dyDescent="0.25">
      <c r="A23" s="531" t="s">
        <v>183</v>
      </c>
      <c r="B23" s="346">
        <f>RHv!B58</f>
        <v>549500</v>
      </c>
      <c r="C23" s="201"/>
      <c r="D23" s="276"/>
      <c r="E23" s="276"/>
      <c r="F23" s="276"/>
      <c r="G23" s="353"/>
      <c r="H23" s="276"/>
      <c r="I23" s="276"/>
      <c r="J23" s="276"/>
      <c r="K23" s="276"/>
      <c r="L23" s="276"/>
      <c r="M23" s="276"/>
      <c r="N23" s="276"/>
      <c r="O23" s="276"/>
      <c r="P23" s="276"/>
      <c r="Q23" s="276"/>
      <c r="R23" s="276"/>
      <c r="S23" s="276"/>
      <c r="T23" s="276"/>
      <c r="U23" s="276"/>
      <c r="V23" s="276"/>
      <c r="W23" s="276"/>
      <c r="X23" s="354"/>
      <c r="Y23" s="276"/>
      <c r="Z23" s="276"/>
      <c r="AA23" s="276"/>
      <c r="AB23" s="276"/>
      <c r="AC23" s="276"/>
      <c r="AD23" s="276"/>
      <c r="AE23" s="276"/>
      <c r="AF23" s="276"/>
      <c r="AG23" s="276"/>
      <c r="AH23" s="276"/>
      <c r="AI23" s="276"/>
      <c r="AJ23" s="276"/>
      <c r="AK23" s="276"/>
    </row>
    <row r="24" spans="1:37" ht="15.75" customHeight="1" x14ac:dyDescent="0.25">
      <c r="A24" s="531" t="s">
        <v>184</v>
      </c>
      <c r="B24" s="356">
        <f>B21-B23</f>
        <v>-406750</v>
      </c>
      <c r="C24" s="201"/>
      <c r="D24" s="276"/>
      <c r="E24" s="276"/>
      <c r="F24" s="276"/>
      <c r="G24" s="353"/>
      <c r="H24" s="276"/>
      <c r="I24" s="276"/>
      <c r="J24" s="276"/>
      <c r="K24" s="276"/>
      <c r="L24" s="276"/>
      <c r="M24" s="276"/>
      <c r="N24" s="276"/>
      <c r="O24" s="276"/>
      <c r="P24" s="276"/>
      <c r="Q24" s="276"/>
      <c r="R24" s="276"/>
      <c r="S24" s="276"/>
      <c r="T24" s="276"/>
      <c r="U24" s="276"/>
      <c r="V24" s="276"/>
      <c r="W24" s="276"/>
      <c r="X24" s="354"/>
      <c r="Y24" s="276"/>
      <c r="Z24" s="276"/>
      <c r="AA24" s="276"/>
      <c r="AB24" s="276"/>
      <c r="AC24" s="276"/>
      <c r="AD24" s="276"/>
      <c r="AE24" s="276"/>
      <c r="AF24" s="276"/>
      <c r="AG24" s="276"/>
      <c r="AH24" s="276"/>
      <c r="AI24" s="276"/>
      <c r="AJ24" s="276"/>
      <c r="AK24" s="276"/>
    </row>
    <row r="25" spans="1:37" ht="15.75" customHeight="1" x14ac:dyDescent="0.25">
      <c r="A25" s="531" t="s">
        <v>185</v>
      </c>
      <c r="B25" s="355">
        <f>B24/G13</f>
        <v>-0.11531483003997392</v>
      </c>
      <c r="C25" s="201"/>
      <c r="D25" s="276"/>
      <c r="E25" s="276"/>
      <c r="F25" s="276"/>
      <c r="G25" s="353"/>
      <c r="H25" s="276"/>
      <c r="I25" s="276"/>
      <c r="J25" s="276"/>
      <c r="K25" s="276"/>
      <c r="L25" s="276"/>
      <c r="M25" s="276"/>
      <c r="N25" s="276"/>
      <c r="O25" s="276"/>
      <c r="P25" s="276"/>
      <c r="Q25" s="276"/>
      <c r="R25" s="276"/>
      <c r="S25" s="276"/>
      <c r="T25" s="276"/>
      <c r="U25" s="276"/>
      <c r="V25" s="276"/>
      <c r="W25" s="276"/>
      <c r="X25" s="354"/>
      <c r="Y25" s="276"/>
      <c r="Z25" s="276"/>
      <c r="AA25" s="276"/>
      <c r="AB25" s="276"/>
      <c r="AC25" s="276"/>
      <c r="AD25" s="276"/>
      <c r="AE25" s="276"/>
      <c r="AF25" s="276"/>
      <c r="AG25" s="276"/>
      <c r="AH25" s="276"/>
      <c r="AI25" s="276"/>
      <c r="AJ25" s="276"/>
      <c r="AK25" s="276"/>
    </row>
    <row r="26" spans="1:37" ht="15.75" customHeight="1" x14ac:dyDescent="0.25">
      <c r="A26" s="532"/>
      <c r="B26" s="293"/>
      <c r="C26" s="276"/>
      <c r="D26" s="276"/>
      <c r="E26" s="276"/>
      <c r="F26" s="276"/>
      <c r="G26" s="353"/>
      <c r="H26" s="276"/>
      <c r="I26" s="276"/>
      <c r="J26" s="276"/>
      <c r="K26" s="276"/>
      <c r="L26" s="276"/>
      <c r="M26" s="276"/>
      <c r="N26" s="276"/>
      <c r="O26" s="276"/>
      <c r="P26" s="276"/>
      <c r="Q26" s="276"/>
      <c r="R26" s="276"/>
      <c r="S26" s="276"/>
      <c r="T26" s="276"/>
      <c r="U26" s="276"/>
      <c r="V26" s="276"/>
      <c r="W26" s="276"/>
      <c r="X26" s="354"/>
      <c r="Y26" s="276"/>
      <c r="Z26" s="276"/>
      <c r="AA26" s="276"/>
      <c r="AB26" s="276"/>
      <c r="AC26" s="276"/>
      <c r="AD26" s="276"/>
      <c r="AE26" s="276"/>
      <c r="AF26" s="276"/>
      <c r="AG26" s="276"/>
      <c r="AH26" s="276"/>
      <c r="AI26" s="276"/>
      <c r="AJ26" s="276"/>
      <c r="AK26" s="276"/>
    </row>
    <row r="27" spans="1:37" ht="15.75" customHeight="1" x14ac:dyDescent="0.25">
      <c r="A27" s="533"/>
      <c r="B27" s="276"/>
      <c r="C27" s="276"/>
      <c r="D27" s="276"/>
      <c r="E27" s="276"/>
      <c r="F27" s="276"/>
      <c r="G27" s="353"/>
      <c r="H27" s="276"/>
      <c r="I27" s="276"/>
      <c r="J27" s="276"/>
      <c r="K27" s="276"/>
      <c r="L27" s="276"/>
      <c r="M27" s="276"/>
      <c r="N27" s="276"/>
      <c r="O27" s="276"/>
      <c r="P27" s="276"/>
      <c r="Q27" s="276"/>
      <c r="R27" s="276"/>
      <c r="S27" s="276"/>
      <c r="T27" s="276"/>
      <c r="U27" s="276"/>
      <c r="V27" s="276"/>
      <c r="W27" s="276"/>
      <c r="X27" s="354"/>
      <c r="Y27" s="276"/>
      <c r="Z27" s="276"/>
      <c r="AA27" s="276"/>
      <c r="AB27" s="276"/>
      <c r="AC27" s="276"/>
      <c r="AD27" s="276"/>
      <c r="AE27" s="276"/>
      <c r="AF27" s="276"/>
      <c r="AG27" s="276"/>
      <c r="AH27" s="276"/>
      <c r="AI27" s="276"/>
      <c r="AJ27" s="276"/>
      <c r="AK27" s="276"/>
    </row>
    <row r="28" spans="1:37" ht="15.75" customHeight="1" x14ac:dyDescent="0.25">
      <c r="A28" s="533"/>
      <c r="B28" s="276"/>
      <c r="C28" s="276"/>
      <c r="D28" s="276"/>
      <c r="E28" s="276"/>
      <c r="F28" s="276"/>
      <c r="G28" s="353"/>
      <c r="H28" s="276"/>
      <c r="I28" s="276"/>
      <c r="J28" s="276"/>
      <c r="K28" s="276"/>
      <c r="L28" s="276"/>
      <c r="M28" s="276"/>
      <c r="N28" s="276"/>
      <c r="O28" s="276"/>
      <c r="P28" s="276"/>
      <c r="Q28" s="276"/>
      <c r="R28" s="276"/>
      <c r="S28" s="276"/>
      <c r="T28" s="276"/>
      <c r="U28" s="276"/>
      <c r="V28" s="276"/>
      <c r="W28" s="276"/>
      <c r="X28" s="354"/>
      <c r="Y28" s="276"/>
      <c r="Z28" s="276"/>
      <c r="AA28" s="276"/>
      <c r="AB28" s="276"/>
      <c r="AC28" s="276"/>
      <c r="AD28" s="276"/>
      <c r="AE28" s="276"/>
      <c r="AF28" s="276"/>
      <c r="AG28" s="276"/>
      <c r="AH28" s="276"/>
      <c r="AI28" s="276"/>
      <c r="AJ28" s="276"/>
      <c r="AK28" s="276"/>
    </row>
    <row r="29" spans="1:37" ht="15.75" customHeight="1" x14ac:dyDescent="0.25">
      <c r="A29" s="533"/>
      <c r="B29" s="276"/>
      <c r="C29" s="276"/>
      <c r="D29" s="276"/>
      <c r="E29" s="276"/>
      <c r="F29" s="276"/>
      <c r="G29" s="353"/>
      <c r="H29" s="276"/>
      <c r="I29" s="276"/>
      <c r="J29" s="276"/>
      <c r="K29" s="276"/>
      <c r="L29" s="276"/>
      <c r="M29" s="276"/>
      <c r="N29" s="276"/>
      <c r="O29" s="276"/>
      <c r="P29" s="276"/>
      <c r="Q29" s="276"/>
      <c r="R29" s="276"/>
      <c r="S29" s="276"/>
      <c r="T29" s="276"/>
      <c r="U29" s="276"/>
      <c r="V29" s="276"/>
      <c r="W29" s="276"/>
      <c r="X29" s="354"/>
      <c r="Y29" s="276"/>
      <c r="Z29" s="276"/>
      <c r="AA29" s="276"/>
      <c r="AB29" s="276"/>
      <c r="AC29" s="276"/>
      <c r="AD29" s="276"/>
      <c r="AE29" s="276"/>
      <c r="AF29" s="276"/>
      <c r="AG29" s="276"/>
      <c r="AH29" s="276"/>
      <c r="AI29" s="276"/>
      <c r="AJ29" s="276"/>
      <c r="AK29" s="276"/>
    </row>
    <row r="30" spans="1:37" ht="15.75" customHeight="1" x14ac:dyDescent="0.25">
      <c r="A30" s="533"/>
      <c r="B30" s="276"/>
      <c r="C30" s="276"/>
      <c r="D30" s="276"/>
      <c r="E30" s="276"/>
      <c r="F30" s="276"/>
      <c r="G30" s="353"/>
      <c r="H30" s="276"/>
      <c r="I30" s="276"/>
      <c r="J30" s="276"/>
      <c r="K30" s="276"/>
      <c r="L30" s="276"/>
      <c r="M30" s="276"/>
      <c r="N30" s="276"/>
      <c r="O30" s="276"/>
      <c r="P30" s="276"/>
      <c r="Q30" s="276"/>
      <c r="R30" s="276"/>
      <c r="S30" s="276"/>
      <c r="T30" s="276"/>
      <c r="U30" s="276"/>
      <c r="V30" s="276"/>
      <c r="W30" s="276"/>
      <c r="X30" s="354"/>
      <c r="Y30" s="276"/>
      <c r="Z30" s="276"/>
      <c r="AA30" s="276"/>
      <c r="AB30" s="276"/>
      <c r="AC30" s="276"/>
      <c r="AD30" s="276"/>
      <c r="AE30" s="276"/>
      <c r="AF30" s="276"/>
      <c r="AG30" s="276"/>
      <c r="AH30" s="276"/>
      <c r="AI30" s="276"/>
      <c r="AJ30" s="276"/>
      <c r="AK30" s="276"/>
    </row>
    <row r="31" spans="1:37" ht="15.75" customHeight="1" x14ac:dyDescent="0.25">
      <c r="A31" s="533"/>
      <c r="B31" s="276"/>
      <c r="C31" s="276"/>
      <c r="D31" s="276"/>
      <c r="E31" s="276"/>
      <c r="F31" s="276"/>
      <c r="G31" s="353"/>
      <c r="H31" s="276"/>
      <c r="I31" s="276"/>
      <c r="J31" s="276"/>
      <c r="K31" s="276"/>
      <c r="L31" s="276"/>
      <c r="M31" s="276"/>
      <c r="N31" s="276"/>
      <c r="O31" s="276"/>
      <c r="P31" s="276"/>
      <c r="Q31" s="276"/>
      <c r="R31" s="276"/>
      <c r="S31" s="276"/>
      <c r="T31" s="276"/>
      <c r="U31" s="276"/>
      <c r="V31" s="276"/>
      <c r="W31" s="276"/>
      <c r="X31" s="354"/>
      <c r="Y31" s="276"/>
      <c r="Z31" s="276"/>
      <c r="AA31" s="276"/>
      <c r="AB31" s="276"/>
      <c r="AC31" s="276"/>
      <c r="AD31" s="276"/>
      <c r="AE31" s="276"/>
      <c r="AF31" s="276"/>
      <c r="AG31" s="276"/>
      <c r="AH31" s="276"/>
      <c r="AI31" s="276"/>
      <c r="AJ31" s="276"/>
      <c r="AK31" s="276"/>
    </row>
    <row r="32" spans="1:37" ht="15.75" customHeight="1" x14ac:dyDescent="0.25">
      <c r="A32" s="533"/>
      <c r="B32" s="276"/>
      <c r="C32" s="276"/>
      <c r="D32" s="276"/>
      <c r="E32" s="276"/>
      <c r="F32" s="276"/>
      <c r="G32" s="353"/>
      <c r="H32" s="276"/>
      <c r="I32" s="276"/>
      <c r="J32" s="276"/>
      <c r="K32" s="276"/>
      <c r="L32" s="276"/>
      <c r="M32" s="276"/>
      <c r="N32" s="276"/>
      <c r="O32" s="276"/>
      <c r="P32" s="276"/>
      <c r="Q32" s="276"/>
      <c r="R32" s="276"/>
      <c r="S32" s="276"/>
      <c r="T32" s="276"/>
      <c r="U32" s="276"/>
      <c r="V32" s="276"/>
      <c r="W32" s="276"/>
      <c r="X32" s="354"/>
      <c r="Y32" s="276"/>
      <c r="Z32" s="276"/>
      <c r="AA32" s="276"/>
      <c r="AB32" s="276"/>
      <c r="AC32" s="276"/>
      <c r="AD32" s="276"/>
      <c r="AE32" s="276"/>
      <c r="AF32" s="276"/>
      <c r="AG32" s="276"/>
      <c r="AH32" s="276"/>
      <c r="AI32" s="276"/>
      <c r="AJ32" s="276"/>
      <c r="AK32" s="276"/>
    </row>
    <row r="33" spans="1:37" ht="15.75" customHeight="1" x14ac:dyDescent="0.25">
      <c r="A33" s="533"/>
      <c r="B33" s="276"/>
      <c r="C33" s="276"/>
      <c r="D33" s="276"/>
      <c r="E33" s="276"/>
      <c r="F33" s="276"/>
      <c r="G33" s="353"/>
      <c r="H33" s="276"/>
      <c r="I33" s="276"/>
      <c r="J33" s="276"/>
      <c r="K33" s="276"/>
      <c r="L33" s="276"/>
      <c r="M33" s="276"/>
      <c r="N33" s="276"/>
      <c r="O33" s="276"/>
      <c r="P33" s="276"/>
      <c r="Q33" s="276"/>
      <c r="R33" s="276"/>
      <c r="S33" s="276"/>
      <c r="T33" s="276"/>
      <c r="U33" s="276"/>
      <c r="V33" s="276"/>
      <c r="W33" s="276"/>
      <c r="X33" s="354"/>
      <c r="Y33" s="276"/>
      <c r="Z33" s="276"/>
      <c r="AA33" s="276"/>
      <c r="AB33" s="276"/>
      <c r="AC33" s="276"/>
      <c r="AD33" s="276"/>
      <c r="AE33" s="276"/>
      <c r="AF33" s="276"/>
      <c r="AG33" s="276"/>
      <c r="AH33" s="276"/>
      <c r="AI33" s="276"/>
      <c r="AJ33" s="276"/>
      <c r="AK33" s="276"/>
    </row>
    <row r="34" spans="1:37" ht="15.75" customHeight="1" x14ac:dyDescent="0.25">
      <c r="A34" s="533"/>
      <c r="B34" s="276"/>
      <c r="C34" s="276"/>
      <c r="D34" s="276"/>
      <c r="E34" s="276"/>
      <c r="F34" s="276"/>
      <c r="G34" s="353"/>
      <c r="H34" s="276"/>
      <c r="I34" s="276"/>
      <c r="J34" s="276"/>
      <c r="K34" s="276"/>
      <c r="L34" s="276"/>
      <c r="M34" s="276"/>
      <c r="N34" s="276"/>
      <c r="O34" s="276"/>
      <c r="P34" s="276"/>
      <c r="Q34" s="276"/>
      <c r="R34" s="276"/>
      <c r="S34" s="276"/>
      <c r="T34" s="276"/>
      <c r="U34" s="276"/>
      <c r="V34" s="276"/>
      <c r="W34" s="276"/>
      <c r="X34" s="354"/>
      <c r="Y34" s="276"/>
      <c r="Z34" s="276"/>
      <c r="AA34" s="276"/>
      <c r="AB34" s="276"/>
      <c r="AC34" s="276"/>
      <c r="AD34" s="276"/>
      <c r="AE34" s="276"/>
      <c r="AF34" s="276"/>
      <c r="AG34" s="276"/>
      <c r="AH34" s="276"/>
      <c r="AI34" s="276"/>
      <c r="AJ34" s="276"/>
      <c r="AK34" s="276"/>
    </row>
    <row r="35" spans="1:37" ht="15.75" customHeight="1" x14ac:dyDescent="0.25">
      <c r="A35" s="533"/>
      <c r="B35" s="276"/>
      <c r="C35" s="276"/>
      <c r="D35" s="276"/>
      <c r="E35" s="276"/>
      <c r="F35" s="276"/>
      <c r="G35" s="353"/>
      <c r="H35" s="276"/>
      <c r="I35" s="276"/>
      <c r="J35" s="276"/>
      <c r="K35" s="276"/>
      <c r="L35" s="276"/>
      <c r="M35" s="276"/>
      <c r="N35" s="276"/>
      <c r="O35" s="276"/>
      <c r="P35" s="276"/>
      <c r="Q35" s="276"/>
      <c r="R35" s="276"/>
      <c r="S35" s="276"/>
      <c r="T35" s="276"/>
      <c r="U35" s="276"/>
      <c r="V35" s="276"/>
      <c r="W35" s="276"/>
      <c r="X35" s="354"/>
      <c r="Y35" s="276"/>
      <c r="Z35" s="276"/>
      <c r="AA35" s="276"/>
      <c r="AB35" s="276"/>
      <c r="AC35" s="276"/>
      <c r="AD35" s="276"/>
      <c r="AE35" s="276"/>
      <c r="AF35" s="276"/>
      <c r="AG35" s="276"/>
      <c r="AH35" s="276"/>
      <c r="AI35" s="276"/>
      <c r="AJ35" s="276"/>
      <c r="AK35" s="276"/>
    </row>
    <row r="36" spans="1:37" ht="15.75" customHeight="1" x14ac:dyDescent="0.25">
      <c r="A36" s="533"/>
      <c r="B36" s="276"/>
      <c r="C36" s="276"/>
      <c r="D36" s="276"/>
      <c r="E36" s="276"/>
      <c r="F36" s="276"/>
      <c r="G36" s="353"/>
      <c r="H36" s="276"/>
      <c r="I36" s="276"/>
      <c r="J36" s="276"/>
      <c r="K36" s="276"/>
      <c r="L36" s="276"/>
      <c r="M36" s="276"/>
      <c r="N36" s="276"/>
      <c r="O36" s="276"/>
      <c r="P36" s="276"/>
      <c r="Q36" s="276"/>
      <c r="R36" s="276"/>
      <c r="S36" s="276"/>
      <c r="T36" s="276"/>
      <c r="U36" s="276"/>
      <c r="V36" s="276"/>
      <c r="W36" s="276"/>
      <c r="X36" s="354"/>
      <c r="Y36" s="276"/>
      <c r="Z36" s="276"/>
      <c r="AA36" s="276"/>
      <c r="AB36" s="276"/>
      <c r="AC36" s="276"/>
      <c r="AD36" s="276"/>
      <c r="AE36" s="276"/>
      <c r="AF36" s="276"/>
      <c r="AG36" s="276"/>
      <c r="AH36" s="276"/>
      <c r="AI36" s="276"/>
      <c r="AJ36" s="276"/>
      <c r="AK36" s="276"/>
    </row>
    <row r="37" spans="1:37" ht="15.75" customHeight="1" x14ac:dyDescent="0.25">
      <c r="A37" s="533"/>
      <c r="B37" s="276"/>
      <c r="C37" s="276"/>
      <c r="D37" s="276"/>
      <c r="E37" s="276"/>
      <c r="F37" s="276"/>
      <c r="G37" s="353"/>
      <c r="H37" s="276"/>
      <c r="I37" s="276"/>
      <c r="J37" s="276"/>
      <c r="K37" s="276"/>
      <c r="L37" s="276"/>
      <c r="M37" s="276"/>
      <c r="N37" s="276"/>
      <c r="O37" s="276"/>
      <c r="P37" s="276"/>
      <c r="Q37" s="276"/>
      <c r="R37" s="276"/>
      <c r="S37" s="276"/>
      <c r="T37" s="276"/>
      <c r="U37" s="276"/>
      <c r="V37" s="276"/>
      <c r="W37" s="276"/>
      <c r="X37" s="354"/>
      <c r="Y37" s="276"/>
      <c r="Z37" s="276"/>
      <c r="AA37" s="276"/>
      <c r="AB37" s="276"/>
      <c r="AC37" s="276"/>
      <c r="AD37" s="276"/>
      <c r="AE37" s="276"/>
      <c r="AF37" s="276"/>
      <c r="AG37" s="276"/>
      <c r="AH37" s="276"/>
      <c r="AI37" s="276"/>
      <c r="AJ37" s="276"/>
      <c r="AK37" s="276"/>
    </row>
    <row r="38" spans="1:37" ht="15.75" customHeight="1" x14ac:dyDescent="0.25">
      <c r="A38" s="533"/>
      <c r="B38" s="276"/>
      <c r="C38" s="276"/>
      <c r="D38" s="276"/>
      <c r="E38" s="276"/>
      <c r="F38" s="276"/>
      <c r="G38" s="353"/>
      <c r="H38" s="276"/>
      <c r="I38" s="276"/>
      <c r="J38" s="276"/>
      <c r="K38" s="276"/>
      <c r="L38" s="276"/>
      <c r="M38" s="276"/>
      <c r="N38" s="276"/>
      <c r="O38" s="276"/>
      <c r="P38" s="276"/>
      <c r="Q38" s="276"/>
      <c r="R38" s="276"/>
      <c r="S38" s="276"/>
      <c r="T38" s="276"/>
      <c r="U38" s="276"/>
      <c r="V38" s="276"/>
      <c r="W38" s="276"/>
      <c r="X38" s="354"/>
      <c r="Y38" s="276"/>
      <c r="Z38" s="276"/>
      <c r="AA38" s="276"/>
      <c r="AB38" s="276"/>
      <c r="AC38" s="276"/>
      <c r="AD38" s="276"/>
      <c r="AE38" s="276"/>
      <c r="AF38" s="276"/>
      <c r="AG38" s="276"/>
      <c r="AH38" s="276"/>
      <c r="AI38" s="276"/>
      <c r="AJ38" s="276"/>
      <c r="AK38" s="276"/>
    </row>
    <row r="39" spans="1:37" ht="15.75" customHeight="1" x14ac:dyDescent="0.25">
      <c r="A39" s="533"/>
      <c r="B39" s="276"/>
      <c r="C39" s="276"/>
      <c r="D39" s="276"/>
      <c r="E39" s="276"/>
      <c r="F39" s="276"/>
      <c r="G39" s="353"/>
      <c r="H39" s="276"/>
      <c r="I39" s="276"/>
      <c r="J39" s="276"/>
      <c r="K39" s="276"/>
      <c r="L39" s="276"/>
      <c r="M39" s="276"/>
      <c r="N39" s="276"/>
      <c r="O39" s="276"/>
      <c r="P39" s="276"/>
      <c r="Q39" s="276"/>
      <c r="R39" s="276"/>
      <c r="S39" s="276"/>
      <c r="T39" s="276"/>
      <c r="U39" s="276"/>
      <c r="V39" s="276"/>
      <c r="W39" s="276"/>
      <c r="X39" s="354"/>
      <c r="Y39" s="276"/>
      <c r="Z39" s="276"/>
      <c r="AA39" s="276"/>
      <c r="AB39" s="276"/>
      <c r="AC39" s="276"/>
      <c r="AD39" s="276"/>
      <c r="AE39" s="276"/>
      <c r="AF39" s="276"/>
      <c r="AG39" s="276"/>
      <c r="AH39" s="276"/>
      <c r="AI39" s="276"/>
      <c r="AJ39" s="276"/>
      <c r="AK39" s="276"/>
    </row>
    <row r="40" spans="1:37" ht="15.75" customHeight="1" x14ac:dyDescent="0.25">
      <c r="A40" s="533"/>
      <c r="B40" s="276"/>
      <c r="C40" s="276"/>
      <c r="D40" s="276"/>
      <c r="E40" s="276"/>
      <c r="F40" s="276"/>
      <c r="G40" s="353"/>
      <c r="H40" s="276"/>
      <c r="I40" s="276"/>
      <c r="J40" s="276"/>
      <c r="K40" s="276"/>
      <c r="L40" s="276"/>
      <c r="M40" s="276"/>
      <c r="N40" s="276"/>
      <c r="O40" s="276"/>
      <c r="P40" s="276"/>
      <c r="Q40" s="276"/>
      <c r="R40" s="276"/>
      <c r="S40" s="276"/>
      <c r="T40" s="276"/>
      <c r="U40" s="276"/>
      <c r="V40" s="276"/>
      <c r="W40" s="276"/>
      <c r="X40" s="354"/>
      <c r="Y40" s="276"/>
      <c r="Z40" s="276"/>
      <c r="AA40" s="276"/>
      <c r="AB40" s="276"/>
      <c r="AC40" s="276"/>
      <c r="AD40" s="276"/>
      <c r="AE40" s="276"/>
      <c r="AF40" s="276"/>
      <c r="AG40" s="276"/>
      <c r="AH40" s="276"/>
      <c r="AI40" s="276"/>
      <c r="AJ40" s="276"/>
      <c r="AK40" s="276"/>
    </row>
    <row r="41" spans="1:37" ht="15.75" customHeight="1" x14ac:dyDescent="0.25">
      <c r="A41" s="533"/>
      <c r="B41" s="276"/>
      <c r="C41" s="276"/>
      <c r="D41" s="276"/>
      <c r="E41" s="276"/>
      <c r="F41" s="276"/>
      <c r="G41" s="353"/>
      <c r="H41" s="276"/>
      <c r="I41" s="276"/>
      <c r="J41" s="276"/>
      <c r="K41" s="276"/>
      <c r="L41" s="276"/>
      <c r="M41" s="276"/>
      <c r="N41" s="276"/>
      <c r="O41" s="276"/>
      <c r="P41" s="276"/>
      <c r="Q41" s="276"/>
      <c r="R41" s="276"/>
      <c r="S41" s="276"/>
      <c r="T41" s="276"/>
      <c r="U41" s="276"/>
      <c r="V41" s="276"/>
      <c r="W41" s="276"/>
      <c r="X41" s="354"/>
      <c r="Y41" s="276"/>
      <c r="Z41" s="276"/>
      <c r="AA41" s="276"/>
      <c r="AB41" s="276"/>
      <c r="AC41" s="276"/>
      <c r="AD41" s="276"/>
      <c r="AE41" s="276"/>
      <c r="AF41" s="276"/>
      <c r="AG41" s="276"/>
      <c r="AH41" s="276"/>
      <c r="AI41" s="276"/>
      <c r="AJ41" s="276"/>
      <c r="AK41" s="276"/>
    </row>
    <row r="42" spans="1:37" ht="15.75" customHeight="1" x14ac:dyDescent="0.25">
      <c r="A42" s="533"/>
      <c r="B42" s="276"/>
      <c r="C42" s="276"/>
      <c r="D42" s="276"/>
      <c r="E42" s="276"/>
      <c r="F42" s="276"/>
      <c r="G42" s="353"/>
      <c r="H42" s="276"/>
      <c r="I42" s="276"/>
      <c r="J42" s="276"/>
      <c r="K42" s="276"/>
      <c r="L42" s="276"/>
      <c r="M42" s="276"/>
      <c r="N42" s="276"/>
      <c r="O42" s="276"/>
      <c r="P42" s="276"/>
      <c r="Q42" s="276"/>
      <c r="R42" s="276"/>
      <c r="S42" s="276"/>
      <c r="T42" s="276"/>
      <c r="U42" s="276"/>
      <c r="V42" s="276"/>
      <c r="W42" s="276"/>
      <c r="X42" s="354"/>
      <c r="Y42" s="276"/>
      <c r="Z42" s="276"/>
      <c r="AA42" s="276"/>
      <c r="AB42" s="276"/>
      <c r="AC42" s="276"/>
      <c r="AD42" s="276"/>
      <c r="AE42" s="276"/>
      <c r="AF42" s="276"/>
      <c r="AG42" s="276"/>
      <c r="AH42" s="276"/>
      <c r="AI42" s="276"/>
      <c r="AJ42" s="276"/>
      <c r="AK42" s="276"/>
    </row>
    <row r="43" spans="1:37" ht="15.75" customHeight="1" x14ac:dyDescent="0.25">
      <c r="A43" s="533"/>
      <c r="B43" s="276"/>
      <c r="C43" s="276"/>
      <c r="D43" s="276"/>
      <c r="E43" s="276"/>
      <c r="F43" s="276"/>
      <c r="G43" s="353"/>
      <c r="H43" s="276"/>
      <c r="I43" s="276"/>
      <c r="J43" s="276"/>
      <c r="K43" s="276"/>
      <c r="L43" s="276"/>
      <c r="M43" s="276"/>
      <c r="N43" s="276"/>
      <c r="O43" s="276"/>
      <c r="P43" s="276"/>
      <c r="Q43" s="276"/>
      <c r="R43" s="276"/>
      <c r="S43" s="276"/>
      <c r="T43" s="276"/>
      <c r="U43" s="276"/>
      <c r="V43" s="276"/>
      <c r="W43" s="276"/>
      <c r="X43" s="354"/>
      <c r="Y43" s="276"/>
      <c r="Z43" s="276"/>
      <c r="AA43" s="276"/>
      <c r="AB43" s="276"/>
      <c r="AC43" s="276"/>
      <c r="AD43" s="276"/>
      <c r="AE43" s="276"/>
      <c r="AF43" s="276"/>
      <c r="AG43" s="276"/>
      <c r="AH43" s="276"/>
      <c r="AI43" s="276"/>
      <c r="AJ43" s="276"/>
      <c r="AK43" s="276"/>
    </row>
    <row r="44" spans="1:37" ht="15.75" customHeight="1" x14ac:dyDescent="0.25">
      <c r="A44" s="533"/>
      <c r="B44" s="276"/>
      <c r="C44" s="276"/>
      <c r="D44" s="276"/>
      <c r="E44" s="276"/>
      <c r="F44" s="276"/>
      <c r="G44" s="353"/>
      <c r="H44" s="276"/>
      <c r="I44" s="276"/>
      <c r="J44" s="276"/>
      <c r="K44" s="276"/>
      <c r="L44" s="276"/>
      <c r="M44" s="276"/>
      <c r="N44" s="276"/>
      <c r="O44" s="276"/>
      <c r="P44" s="276"/>
      <c r="Q44" s="276"/>
      <c r="R44" s="276"/>
      <c r="S44" s="276"/>
      <c r="T44" s="276"/>
      <c r="U44" s="276"/>
      <c r="V44" s="276"/>
      <c r="W44" s="276"/>
      <c r="X44" s="354"/>
      <c r="Y44" s="276"/>
      <c r="Z44" s="276"/>
      <c r="AA44" s="276"/>
      <c r="AB44" s="276"/>
      <c r="AC44" s="276"/>
      <c r="AD44" s="276"/>
      <c r="AE44" s="276"/>
      <c r="AF44" s="276"/>
      <c r="AG44" s="276"/>
      <c r="AH44" s="276"/>
      <c r="AI44" s="276"/>
      <c r="AJ44" s="276"/>
      <c r="AK44" s="276"/>
    </row>
    <row r="45" spans="1:37" ht="15.75" customHeight="1" x14ac:dyDescent="0.25">
      <c r="A45" s="533"/>
      <c r="B45" s="276"/>
      <c r="C45" s="276"/>
      <c r="D45" s="276"/>
      <c r="E45" s="276"/>
      <c r="F45" s="276"/>
      <c r="G45" s="353"/>
      <c r="H45" s="276"/>
      <c r="I45" s="276"/>
      <c r="J45" s="276"/>
      <c r="K45" s="276"/>
      <c r="L45" s="276"/>
      <c r="M45" s="276"/>
      <c r="N45" s="276"/>
      <c r="O45" s="276"/>
      <c r="P45" s="276"/>
      <c r="Q45" s="276"/>
      <c r="R45" s="276"/>
      <c r="S45" s="276"/>
      <c r="T45" s="276"/>
      <c r="U45" s="276"/>
      <c r="V45" s="276"/>
      <c r="W45" s="276"/>
      <c r="X45" s="354"/>
      <c r="Y45" s="276"/>
      <c r="Z45" s="276"/>
      <c r="AA45" s="276"/>
      <c r="AB45" s="276"/>
      <c r="AC45" s="276"/>
      <c r="AD45" s="276"/>
      <c r="AE45" s="276"/>
      <c r="AF45" s="276"/>
      <c r="AG45" s="276"/>
      <c r="AH45" s="276"/>
      <c r="AI45" s="276"/>
      <c r="AJ45" s="276"/>
      <c r="AK45" s="276"/>
    </row>
    <row r="46" spans="1:37" ht="15.75" customHeight="1" x14ac:dyDescent="0.25">
      <c r="A46" s="533"/>
      <c r="B46" s="276"/>
      <c r="C46" s="276"/>
      <c r="D46" s="276"/>
      <c r="E46" s="276"/>
      <c r="F46" s="276"/>
      <c r="G46" s="353"/>
      <c r="H46" s="276"/>
      <c r="I46" s="276"/>
      <c r="J46" s="276"/>
      <c r="K46" s="276"/>
      <c r="L46" s="276"/>
      <c r="M46" s="276"/>
      <c r="N46" s="276"/>
      <c r="O46" s="276"/>
      <c r="P46" s="276"/>
      <c r="Q46" s="276"/>
      <c r="R46" s="276"/>
      <c r="S46" s="276"/>
      <c r="T46" s="276"/>
      <c r="U46" s="276"/>
      <c r="V46" s="276"/>
      <c r="W46" s="276"/>
      <c r="X46" s="354"/>
      <c r="Y46" s="276"/>
      <c r="Z46" s="276"/>
      <c r="AA46" s="276"/>
      <c r="AB46" s="276"/>
      <c r="AC46" s="276"/>
      <c r="AD46" s="276"/>
      <c r="AE46" s="276"/>
      <c r="AF46" s="276"/>
      <c r="AG46" s="276"/>
      <c r="AH46" s="276"/>
      <c r="AI46" s="276"/>
      <c r="AJ46" s="276"/>
      <c r="AK46" s="276"/>
    </row>
    <row r="47" spans="1:37" ht="15.75" customHeight="1" x14ac:dyDescent="0.25">
      <c r="A47" s="533"/>
      <c r="B47" s="276"/>
      <c r="C47" s="276"/>
      <c r="D47" s="276"/>
      <c r="E47" s="276"/>
      <c r="F47" s="276"/>
      <c r="G47" s="353"/>
      <c r="H47" s="276"/>
      <c r="I47" s="276"/>
      <c r="J47" s="276"/>
      <c r="K47" s="276"/>
      <c r="L47" s="276"/>
      <c r="M47" s="276"/>
      <c r="N47" s="276"/>
      <c r="O47" s="276"/>
      <c r="P47" s="276"/>
      <c r="Q47" s="276"/>
      <c r="R47" s="276"/>
      <c r="S47" s="276"/>
      <c r="T47" s="276"/>
      <c r="U47" s="276"/>
      <c r="V47" s="276"/>
      <c r="W47" s="276"/>
      <c r="X47" s="354"/>
      <c r="Y47" s="276"/>
      <c r="Z47" s="276"/>
      <c r="AA47" s="276"/>
      <c r="AB47" s="276"/>
      <c r="AC47" s="276"/>
      <c r="AD47" s="276"/>
      <c r="AE47" s="276"/>
      <c r="AF47" s="276"/>
      <c r="AG47" s="276"/>
      <c r="AH47" s="276"/>
      <c r="AI47" s="276"/>
      <c r="AJ47" s="276"/>
      <c r="AK47" s="276"/>
    </row>
    <row r="48" spans="1:37" ht="15.75" customHeight="1" x14ac:dyDescent="0.25">
      <c r="A48" s="533"/>
      <c r="B48" s="276"/>
      <c r="C48" s="276"/>
      <c r="D48" s="276"/>
      <c r="E48" s="276"/>
      <c r="F48" s="276"/>
      <c r="G48" s="353"/>
      <c r="H48" s="276"/>
      <c r="I48" s="276"/>
      <c r="J48" s="276"/>
      <c r="K48" s="276"/>
      <c r="L48" s="276"/>
      <c r="M48" s="276"/>
      <c r="N48" s="276"/>
      <c r="O48" s="276"/>
      <c r="P48" s="276"/>
      <c r="Q48" s="276"/>
      <c r="R48" s="276"/>
      <c r="S48" s="276"/>
      <c r="T48" s="276"/>
      <c r="U48" s="276"/>
      <c r="V48" s="276"/>
      <c r="W48" s="276"/>
      <c r="X48" s="354"/>
      <c r="Y48" s="276"/>
      <c r="Z48" s="276"/>
      <c r="AA48" s="276"/>
      <c r="AB48" s="276"/>
      <c r="AC48" s="276"/>
      <c r="AD48" s="276"/>
      <c r="AE48" s="276"/>
      <c r="AF48" s="276"/>
      <c r="AG48" s="276"/>
      <c r="AH48" s="276"/>
      <c r="AI48" s="276"/>
      <c r="AJ48" s="276"/>
      <c r="AK48" s="276"/>
    </row>
    <row r="49" spans="1:37" ht="15.75" customHeight="1" x14ac:dyDescent="0.25">
      <c r="A49" s="533"/>
      <c r="B49" s="276"/>
      <c r="C49" s="276"/>
      <c r="D49" s="276"/>
      <c r="E49" s="276"/>
      <c r="F49" s="276"/>
      <c r="G49" s="353"/>
      <c r="H49" s="276"/>
      <c r="I49" s="276"/>
      <c r="J49" s="276"/>
      <c r="K49" s="276"/>
      <c r="L49" s="276"/>
      <c r="M49" s="276"/>
      <c r="N49" s="276"/>
      <c r="O49" s="276"/>
      <c r="P49" s="276"/>
      <c r="Q49" s="276"/>
      <c r="R49" s="276"/>
      <c r="S49" s="276"/>
      <c r="T49" s="276"/>
      <c r="U49" s="276"/>
      <c r="V49" s="276"/>
      <c r="W49" s="276"/>
      <c r="X49" s="354"/>
      <c r="Y49" s="276"/>
      <c r="Z49" s="276"/>
      <c r="AA49" s="276"/>
      <c r="AB49" s="276"/>
      <c r="AC49" s="276"/>
      <c r="AD49" s="276"/>
      <c r="AE49" s="276"/>
      <c r="AF49" s="276"/>
      <c r="AG49" s="276"/>
      <c r="AH49" s="276"/>
      <c r="AI49" s="276"/>
      <c r="AJ49" s="276"/>
      <c r="AK49" s="276"/>
    </row>
    <row r="50" spans="1:37" ht="15.75" customHeight="1" x14ac:dyDescent="0.25">
      <c r="A50" s="533"/>
      <c r="B50" s="276"/>
      <c r="C50" s="276"/>
      <c r="D50" s="276"/>
      <c r="E50" s="276"/>
      <c r="F50" s="276"/>
      <c r="G50" s="353"/>
      <c r="H50" s="276"/>
      <c r="I50" s="276"/>
      <c r="J50" s="276"/>
      <c r="K50" s="276"/>
      <c r="L50" s="276"/>
      <c r="M50" s="276"/>
      <c r="N50" s="276"/>
      <c r="O50" s="276"/>
      <c r="P50" s="276"/>
      <c r="Q50" s="276"/>
      <c r="R50" s="276"/>
      <c r="S50" s="276"/>
      <c r="T50" s="276"/>
      <c r="U50" s="276"/>
      <c r="V50" s="276"/>
      <c r="W50" s="276"/>
      <c r="X50" s="354"/>
      <c r="Y50" s="276"/>
      <c r="Z50" s="276"/>
      <c r="AA50" s="276"/>
      <c r="AB50" s="276"/>
      <c r="AC50" s="276"/>
      <c r="AD50" s="276"/>
      <c r="AE50" s="276"/>
      <c r="AF50" s="276"/>
      <c r="AG50" s="276"/>
      <c r="AH50" s="276"/>
      <c r="AI50" s="276"/>
      <c r="AJ50" s="276"/>
      <c r="AK50" s="276"/>
    </row>
    <row r="51" spans="1:37" ht="15.75" customHeight="1" x14ac:dyDescent="0.25">
      <c r="A51" s="533"/>
      <c r="B51" s="276"/>
      <c r="C51" s="276"/>
      <c r="D51" s="276"/>
      <c r="E51" s="276"/>
      <c r="F51" s="276"/>
      <c r="G51" s="353"/>
      <c r="H51" s="276"/>
      <c r="I51" s="276"/>
      <c r="J51" s="276"/>
      <c r="K51" s="276"/>
      <c r="L51" s="276"/>
      <c r="M51" s="276"/>
      <c r="N51" s="276"/>
      <c r="O51" s="276"/>
      <c r="P51" s="276"/>
      <c r="Q51" s="276"/>
      <c r="R51" s="276"/>
      <c r="S51" s="276"/>
      <c r="T51" s="276"/>
      <c r="U51" s="276"/>
      <c r="V51" s="276"/>
      <c r="W51" s="276"/>
      <c r="X51" s="354"/>
      <c r="Y51" s="276"/>
      <c r="Z51" s="276"/>
      <c r="AA51" s="276"/>
      <c r="AB51" s="276"/>
      <c r="AC51" s="276"/>
      <c r="AD51" s="276"/>
      <c r="AE51" s="276"/>
      <c r="AF51" s="276"/>
      <c r="AG51" s="276"/>
      <c r="AH51" s="276"/>
      <c r="AI51" s="276"/>
      <c r="AJ51" s="276"/>
      <c r="AK51" s="276"/>
    </row>
    <row r="52" spans="1:37" ht="15.75" customHeight="1" x14ac:dyDescent="0.25">
      <c r="A52" s="533"/>
      <c r="B52" s="276"/>
      <c r="C52" s="276"/>
      <c r="D52" s="276"/>
      <c r="E52" s="276"/>
      <c r="F52" s="276"/>
      <c r="G52" s="353"/>
      <c r="H52" s="276"/>
      <c r="I52" s="276"/>
      <c r="J52" s="276"/>
      <c r="K52" s="276"/>
      <c r="L52" s="276"/>
      <c r="M52" s="276"/>
      <c r="N52" s="276"/>
      <c r="O52" s="276"/>
      <c r="P52" s="276"/>
      <c r="Q52" s="276"/>
      <c r="R52" s="276"/>
      <c r="S52" s="276"/>
      <c r="T52" s="276"/>
      <c r="U52" s="276"/>
      <c r="V52" s="276"/>
      <c r="W52" s="276"/>
      <c r="X52" s="354"/>
      <c r="Y52" s="276"/>
      <c r="Z52" s="276"/>
      <c r="AA52" s="276"/>
      <c r="AB52" s="276"/>
      <c r="AC52" s="276"/>
      <c r="AD52" s="276"/>
      <c r="AE52" s="276"/>
      <c r="AF52" s="276"/>
      <c r="AG52" s="276"/>
      <c r="AH52" s="276"/>
      <c r="AI52" s="276"/>
      <c r="AJ52" s="276"/>
      <c r="AK52" s="276"/>
    </row>
    <row r="53" spans="1:37" ht="15.75" customHeight="1" x14ac:dyDescent="0.25">
      <c r="A53" s="533"/>
      <c r="B53" s="276"/>
      <c r="C53" s="276"/>
      <c r="D53" s="276"/>
      <c r="E53" s="276"/>
      <c r="F53" s="276"/>
      <c r="G53" s="353"/>
      <c r="H53" s="276"/>
      <c r="I53" s="276"/>
      <c r="J53" s="276"/>
      <c r="K53" s="276"/>
      <c r="L53" s="276"/>
      <c r="M53" s="276"/>
      <c r="N53" s="276"/>
      <c r="O53" s="276"/>
      <c r="P53" s="276"/>
      <c r="Q53" s="276"/>
      <c r="R53" s="276"/>
      <c r="S53" s="276"/>
      <c r="T53" s="276"/>
      <c r="U53" s="276"/>
      <c r="V53" s="276"/>
      <c r="W53" s="276"/>
      <c r="X53" s="354"/>
      <c r="Y53" s="276"/>
      <c r="Z53" s="276"/>
      <c r="AA53" s="276"/>
      <c r="AB53" s="276"/>
      <c r="AC53" s="276"/>
      <c r="AD53" s="276"/>
      <c r="AE53" s="276"/>
      <c r="AF53" s="276"/>
      <c r="AG53" s="276"/>
      <c r="AH53" s="276"/>
      <c r="AI53" s="276"/>
      <c r="AJ53" s="276"/>
      <c r="AK53" s="276"/>
    </row>
    <row r="54" spans="1:37" ht="15.75" customHeight="1" x14ac:dyDescent="0.25">
      <c r="A54" s="533"/>
      <c r="B54" s="276"/>
      <c r="C54" s="276"/>
      <c r="D54" s="276"/>
      <c r="E54" s="276"/>
      <c r="F54" s="276"/>
      <c r="G54" s="353"/>
      <c r="H54" s="276"/>
      <c r="I54" s="276"/>
      <c r="J54" s="276"/>
      <c r="K54" s="276"/>
      <c r="L54" s="276"/>
      <c r="M54" s="276"/>
      <c r="N54" s="276"/>
      <c r="O54" s="276"/>
      <c r="P54" s="276"/>
      <c r="Q54" s="276"/>
      <c r="R54" s="276"/>
      <c r="S54" s="276"/>
      <c r="T54" s="276"/>
      <c r="U54" s="276"/>
      <c r="V54" s="276"/>
      <c r="W54" s="276"/>
      <c r="X54" s="354"/>
      <c r="Y54" s="276"/>
      <c r="Z54" s="276"/>
      <c r="AA54" s="276"/>
      <c r="AB54" s="276"/>
      <c r="AC54" s="276"/>
      <c r="AD54" s="276"/>
      <c r="AE54" s="276"/>
      <c r="AF54" s="276"/>
      <c r="AG54" s="276"/>
      <c r="AH54" s="276"/>
      <c r="AI54" s="276"/>
      <c r="AJ54" s="276"/>
      <c r="AK54" s="276"/>
    </row>
    <row r="55" spans="1:37" ht="15.75" customHeight="1" x14ac:dyDescent="0.25">
      <c r="A55" s="533"/>
      <c r="B55" s="276"/>
      <c r="C55" s="276"/>
      <c r="D55" s="276"/>
      <c r="E55" s="276"/>
      <c r="F55" s="276"/>
      <c r="G55" s="353"/>
      <c r="H55" s="276"/>
      <c r="I55" s="276"/>
      <c r="J55" s="276"/>
      <c r="K55" s="276"/>
      <c r="L55" s="276"/>
      <c r="M55" s="276"/>
      <c r="N55" s="276"/>
      <c r="O55" s="276"/>
      <c r="P55" s="276"/>
      <c r="Q55" s="276"/>
      <c r="R55" s="276"/>
      <c r="S55" s="276"/>
      <c r="T55" s="276"/>
      <c r="U55" s="276"/>
      <c r="V55" s="276"/>
      <c r="W55" s="276"/>
      <c r="X55" s="354"/>
      <c r="Y55" s="276"/>
      <c r="Z55" s="276"/>
      <c r="AA55" s="276"/>
      <c r="AB55" s="276"/>
      <c r="AC55" s="276"/>
      <c r="AD55" s="276"/>
      <c r="AE55" s="276"/>
      <c r="AF55" s="276"/>
      <c r="AG55" s="276"/>
      <c r="AH55" s="276"/>
      <c r="AI55" s="276"/>
      <c r="AJ55" s="276"/>
      <c r="AK55" s="276"/>
    </row>
    <row r="56" spans="1:37" ht="15.75" customHeight="1" x14ac:dyDescent="0.25">
      <c r="A56" s="533"/>
      <c r="B56" s="276"/>
      <c r="C56" s="276"/>
      <c r="D56" s="276"/>
      <c r="E56" s="276"/>
      <c r="F56" s="276"/>
      <c r="G56" s="353"/>
      <c r="H56" s="276"/>
      <c r="I56" s="276"/>
      <c r="J56" s="276"/>
      <c r="K56" s="276"/>
      <c r="L56" s="276"/>
      <c r="M56" s="276"/>
      <c r="N56" s="276"/>
      <c r="O56" s="276"/>
      <c r="P56" s="276"/>
      <c r="Q56" s="276"/>
      <c r="R56" s="276"/>
      <c r="S56" s="276"/>
      <c r="T56" s="276"/>
      <c r="U56" s="276"/>
      <c r="V56" s="276"/>
      <c r="W56" s="276"/>
      <c r="X56" s="354"/>
      <c r="Y56" s="276"/>
      <c r="Z56" s="276"/>
      <c r="AA56" s="276"/>
      <c r="AB56" s="276"/>
      <c r="AC56" s="276"/>
      <c r="AD56" s="276"/>
      <c r="AE56" s="276"/>
      <c r="AF56" s="276"/>
      <c r="AG56" s="276"/>
      <c r="AH56" s="276"/>
      <c r="AI56" s="276"/>
      <c r="AJ56" s="276"/>
      <c r="AK56" s="276"/>
    </row>
    <row r="57" spans="1:37" ht="15.75" customHeight="1" x14ac:dyDescent="0.25">
      <c r="A57" s="533"/>
      <c r="B57" s="276"/>
      <c r="C57" s="276"/>
      <c r="D57" s="276"/>
      <c r="E57" s="276"/>
      <c r="F57" s="276"/>
      <c r="G57" s="353"/>
      <c r="H57" s="276"/>
      <c r="I57" s="276"/>
      <c r="J57" s="276"/>
      <c r="K57" s="276"/>
      <c r="L57" s="276"/>
      <c r="M57" s="276"/>
      <c r="N57" s="276"/>
      <c r="O57" s="276"/>
      <c r="P57" s="276"/>
      <c r="Q57" s="276"/>
      <c r="R57" s="276"/>
      <c r="S57" s="276"/>
      <c r="T57" s="276"/>
      <c r="U57" s="276"/>
      <c r="V57" s="276"/>
      <c r="W57" s="276"/>
      <c r="X57" s="354"/>
      <c r="Y57" s="276"/>
      <c r="Z57" s="276"/>
      <c r="AA57" s="276"/>
      <c r="AB57" s="276"/>
      <c r="AC57" s="276"/>
      <c r="AD57" s="276"/>
      <c r="AE57" s="276"/>
      <c r="AF57" s="276"/>
      <c r="AG57" s="276"/>
      <c r="AH57" s="276"/>
      <c r="AI57" s="276"/>
      <c r="AJ57" s="276"/>
      <c r="AK57" s="276"/>
    </row>
    <row r="58" spans="1:37" ht="15.75" customHeight="1" x14ac:dyDescent="0.25">
      <c r="A58" s="533"/>
      <c r="B58" s="276"/>
      <c r="C58" s="276"/>
      <c r="D58" s="276"/>
      <c r="E58" s="276"/>
      <c r="F58" s="276"/>
      <c r="G58" s="353"/>
      <c r="H58" s="276"/>
      <c r="I58" s="276"/>
      <c r="J58" s="276"/>
      <c r="K58" s="276"/>
      <c r="L58" s="276"/>
      <c r="M58" s="276"/>
      <c r="N58" s="276"/>
      <c r="O58" s="276"/>
      <c r="P58" s="276"/>
      <c r="Q58" s="276"/>
      <c r="R58" s="276"/>
      <c r="S58" s="276"/>
      <c r="T58" s="276"/>
      <c r="U58" s="276"/>
      <c r="V58" s="276"/>
      <c r="W58" s="276"/>
      <c r="X58" s="354"/>
      <c r="Y58" s="276"/>
      <c r="Z58" s="276"/>
      <c r="AA58" s="276"/>
      <c r="AB58" s="276"/>
      <c r="AC58" s="276"/>
      <c r="AD58" s="276"/>
      <c r="AE58" s="276"/>
      <c r="AF58" s="276"/>
      <c r="AG58" s="276"/>
      <c r="AH58" s="276"/>
      <c r="AI58" s="276"/>
      <c r="AJ58" s="276"/>
      <c r="AK58" s="276"/>
    </row>
    <row r="59" spans="1:37" ht="15.75" customHeight="1" x14ac:dyDescent="0.25">
      <c r="A59" s="533"/>
      <c r="B59" s="276"/>
      <c r="C59" s="276"/>
      <c r="D59" s="276"/>
      <c r="E59" s="276"/>
      <c r="F59" s="276"/>
      <c r="G59" s="353"/>
      <c r="H59" s="276"/>
      <c r="I59" s="276"/>
      <c r="J59" s="276"/>
      <c r="K59" s="276"/>
      <c r="L59" s="276"/>
      <c r="M59" s="276"/>
      <c r="N59" s="276"/>
      <c r="O59" s="276"/>
      <c r="P59" s="276"/>
      <c r="Q59" s="276"/>
      <c r="R59" s="276"/>
      <c r="S59" s="276"/>
      <c r="T59" s="276"/>
      <c r="U59" s="276"/>
      <c r="V59" s="276"/>
      <c r="W59" s="276"/>
      <c r="X59" s="354"/>
      <c r="Y59" s="276"/>
      <c r="Z59" s="276"/>
      <c r="AA59" s="276"/>
      <c r="AB59" s="276"/>
      <c r="AC59" s="276"/>
      <c r="AD59" s="276"/>
      <c r="AE59" s="276"/>
      <c r="AF59" s="276"/>
      <c r="AG59" s="276"/>
      <c r="AH59" s="276"/>
      <c r="AI59" s="276"/>
      <c r="AJ59" s="276"/>
      <c r="AK59" s="276"/>
    </row>
    <row r="60" spans="1:37" ht="15.75" customHeight="1" x14ac:dyDescent="0.25">
      <c r="A60" s="533"/>
      <c r="B60" s="276"/>
      <c r="C60" s="276"/>
      <c r="D60" s="276"/>
      <c r="E60" s="276"/>
      <c r="F60" s="276"/>
      <c r="G60" s="353"/>
      <c r="H60" s="276"/>
      <c r="I60" s="276"/>
      <c r="J60" s="276"/>
      <c r="K60" s="276"/>
      <c r="L60" s="276"/>
      <c r="M60" s="276"/>
      <c r="N60" s="276"/>
      <c r="O60" s="276"/>
      <c r="P60" s="276"/>
      <c r="Q60" s="276"/>
      <c r="R60" s="276"/>
      <c r="S60" s="276"/>
      <c r="T60" s="276"/>
      <c r="U60" s="276"/>
      <c r="V60" s="276"/>
      <c r="W60" s="276"/>
      <c r="X60" s="354"/>
      <c r="Y60" s="276"/>
      <c r="Z60" s="276"/>
      <c r="AA60" s="276"/>
      <c r="AB60" s="276"/>
      <c r="AC60" s="276"/>
      <c r="AD60" s="276"/>
      <c r="AE60" s="276"/>
      <c r="AF60" s="276"/>
      <c r="AG60" s="276"/>
      <c r="AH60" s="276"/>
      <c r="AI60" s="276"/>
      <c r="AJ60" s="276"/>
      <c r="AK60" s="276"/>
    </row>
    <row r="61" spans="1:37" ht="15.75" customHeight="1" x14ac:dyDescent="0.25">
      <c r="A61" s="533"/>
      <c r="B61" s="276"/>
      <c r="C61" s="276"/>
      <c r="D61" s="276"/>
      <c r="E61" s="276"/>
      <c r="F61" s="276"/>
      <c r="G61" s="353"/>
      <c r="H61" s="276"/>
      <c r="I61" s="276"/>
      <c r="J61" s="276"/>
      <c r="K61" s="276"/>
      <c r="L61" s="276"/>
      <c r="M61" s="276"/>
      <c r="N61" s="276"/>
      <c r="O61" s="276"/>
      <c r="P61" s="276"/>
      <c r="Q61" s="276"/>
      <c r="R61" s="276"/>
      <c r="S61" s="276"/>
      <c r="T61" s="276"/>
      <c r="U61" s="276"/>
      <c r="V61" s="276"/>
      <c r="W61" s="276"/>
      <c r="X61" s="354"/>
      <c r="Y61" s="276"/>
      <c r="Z61" s="276"/>
      <c r="AA61" s="276"/>
      <c r="AB61" s="276"/>
      <c r="AC61" s="276"/>
      <c r="AD61" s="276"/>
      <c r="AE61" s="276"/>
      <c r="AF61" s="276"/>
      <c r="AG61" s="276"/>
      <c r="AH61" s="276"/>
      <c r="AI61" s="276"/>
      <c r="AJ61" s="276"/>
      <c r="AK61" s="276"/>
    </row>
    <row r="62" spans="1:37" ht="15.75" customHeight="1" x14ac:dyDescent="0.25">
      <c r="A62" s="533"/>
      <c r="B62" s="276"/>
      <c r="C62" s="276"/>
      <c r="D62" s="276"/>
      <c r="E62" s="276"/>
      <c r="F62" s="276"/>
      <c r="G62" s="353"/>
      <c r="H62" s="276"/>
      <c r="I62" s="276"/>
      <c r="J62" s="276"/>
      <c r="K62" s="276"/>
      <c r="L62" s="276"/>
      <c r="M62" s="276"/>
      <c r="N62" s="276"/>
      <c r="O62" s="276"/>
      <c r="P62" s="276"/>
      <c r="Q62" s="276"/>
      <c r="R62" s="276"/>
      <c r="S62" s="276"/>
      <c r="T62" s="276"/>
      <c r="U62" s="276"/>
      <c r="V62" s="276"/>
      <c r="W62" s="276"/>
      <c r="X62" s="354"/>
      <c r="Y62" s="276"/>
      <c r="Z62" s="276"/>
      <c r="AA62" s="276"/>
      <c r="AB62" s="276"/>
      <c r="AC62" s="276"/>
      <c r="AD62" s="276"/>
      <c r="AE62" s="276"/>
      <c r="AF62" s="276"/>
      <c r="AG62" s="276"/>
      <c r="AH62" s="276"/>
      <c r="AI62" s="276"/>
      <c r="AJ62" s="276"/>
      <c r="AK62" s="276"/>
    </row>
    <row r="63" spans="1:37" ht="15.75" customHeight="1" x14ac:dyDescent="0.25">
      <c r="A63" s="533"/>
      <c r="B63" s="276"/>
      <c r="C63" s="276"/>
      <c r="D63" s="276"/>
      <c r="E63" s="276"/>
      <c r="F63" s="276"/>
      <c r="G63" s="353"/>
      <c r="H63" s="276"/>
      <c r="I63" s="276"/>
      <c r="J63" s="276"/>
      <c r="K63" s="276"/>
      <c r="L63" s="276"/>
      <c r="M63" s="276"/>
      <c r="N63" s="276"/>
      <c r="O63" s="276"/>
      <c r="P63" s="276"/>
      <c r="Q63" s="276"/>
      <c r="R63" s="276"/>
      <c r="S63" s="276"/>
      <c r="T63" s="276"/>
      <c r="U63" s="276"/>
      <c r="V63" s="276"/>
      <c r="W63" s="276"/>
      <c r="X63" s="354"/>
      <c r="Y63" s="276"/>
      <c r="Z63" s="276"/>
      <c r="AA63" s="276"/>
      <c r="AB63" s="276"/>
      <c r="AC63" s="276"/>
      <c r="AD63" s="276"/>
      <c r="AE63" s="276"/>
      <c r="AF63" s="276"/>
      <c r="AG63" s="276"/>
      <c r="AH63" s="276"/>
      <c r="AI63" s="276"/>
      <c r="AJ63" s="276"/>
      <c r="AK63" s="276"/>
    </row>
    <row r="64" spans="1:37" ht="15.75" customHeight="1" x14ac:dyDescent="0.25">
      <c r="A64" s="533"/>
      <c r="B64" s="276"/>
      <c r="C64" s="276"/>
      <c r="D64" s="276"/>
      <c r="E64" s="276"/>
      <c r="F64" s="276"/>
      <c r="G64" s="353"/>
      <c r="H64" s="276"/>
      <c r="I64" s="276"/>
      <c r="J64" s="276"/>
      <c r="K64" s="276"/>
      <c r="L64" s="276"/>
      <c r="M64" s="276"/>
      <c r="N64" s="276"/>
      <c r="O64" s="276"/>
      <c r="P64" s="276"/>
      <c r="Q64" s="276"/>
      <c r="R64" s="276"/>
      <c r="S64" s="276"/>
      <c r="T64" s="276"/>
      <c r="U64" s="276"/>
      <c r="V64" s="276"/>
      <c r="W64" s="276"/>
      <c r="X64" s="354"/>
      <c r="Y64" s="276"/>
      <c r="Z64" s="276"/>
      <c r="AA64" s="276"/>
      <c r="AB64" s="276"/>
      <c r="AC64" s="276"/>
      <c r="AD64" s="276"/>
      <c r="AE64" s="276"/>
      <c r="AF64" s="276"/>
      <c r="AG64" s="276"/>
      <c r="AH64" s="276"/>
      <c r="AI64" s="276"/>
      <c r="AJ64" s="276"/>
      <c r="AK64" s="276"/>
    </row>
    <row r="65" spans="1:37" ht="15.75" customHeight="1" x14ac:dyDescent="0.25">
      <c r="A65" s="533"/>
      <c r="B65" s="276"/>
      <c r="C65" s="276"/>
      <c r="D65" s="276"/>
      <c r="E65" s="276"/>
      <c r="F65" s="276"/>
      <c r="G65" s="353"/>
      <c r="H65" s="276"/>
      <c r="I65" s="276"/>
      <c r="J65" s="276"/>
      <c r="K65" s="276"/>
      <c r="L65" s="276"/>
      <c r="M65" s="276"/>
      <c r="N65" s="276"/>
      <c r="O65" s="276"/>
      <c r="P65" s="276"/>
      <c r="Q65" s="276"/>
      <c r="R65" s="276"/>
      <c r="S65" s="276"/>
      <c r="T65" s="276"/>
      <c r="U65" s="276"/>
      <c r="V65" s="276"/>
      <c r="W65" s="276"/>
      <c r="X65" s="354"/>
      <c r="Y65" s="276"/>
      <c r="Z65" s="276"/>
      <c r="AA65" s="276"/>
      <c r="AB65" s="276"/>
      <c r="AC65" s="276"/>
      <c r="AD65" s="276"/>
      <c r="AE65" s="276"/>
      <c r="AF65" s="276"/>
      <c r="AG65" s="276"/>
      <c r="AH65" s="276"/>
      <c r="AI65" s="276"/>
      <c r="AJ65" s="276"/>
      <c r="AK65" s="276"/>
    </row>
    <row r="66" spans="1:37" ht="15.75" customHeight="1" x14ac:dyDescent="0.25">
      <c r="A66" s="533"/>
      <c r="B66" s="276"/>
      <c r="C66" s="276"/>
      <c r="D66" s="276"/>
      <c r="E66" s="276"/>
      <c r="F66" s="276"/>
      <c r="G66" s="353"/>
      <c r="H66" s="276"/>
      <c r="I66" s="276"/>
      <c r="J66" s="276"/>
      <c r="K66" s="276"/>
      <c r="L66" s="276"/>
      <c r="M66" s="276"/>
      <c r="N66" s="276"/>
      <c r="O66" s="276"/>
      <c r="P66" s="276"/>
      <c r="Q66" s="276"/>
      <c r="R66" s="276"/>
      <c r="S66" s="276"/>
      <c r="T66" s="276"/>
      <c r="U66" s="276"/>
      <c r="V66" s="276"/>
      <c r="W66" s="276"/>
      <c r="X66" s="354"/>
      <c r="Y66" s="276"/>
      <c r="Z66" s="276"/>
      <c r="AA66" s="276"/>
      <c r="AB66" s="276"/>
      <c r="AC66" s="276"/>
      <c r="AD66" s="276"/>
      <c r="AE66" s="276"/>
      <c r="AF66" s="276"/>
      <c r="AG66" s="276"/>
      <c r="AH66" s="276"/>
      <c r="AI66" s="276"/>
      <c r="AJ66" s="276"/>
      <c r="AK66" s="276"/>
    </row>
    <row r="67" spans="1:37" ht="15.75" customHeight="1" x14ac:dyDescent="0.25">
      <c r="A67" s="533"/>
      <c r="B67" s="276"/>
      <c r="C67" s="276"/>
      <c r="D67" s="276"/>
      <c r="E67" s="276"/>
      <c r="F67" s="276"/>
      <c r="G67" s="353"/>
      <c r="H67" s="276"/>
      <c r="I67" s="276"/>
      <c r="J67" s="276"/>
      <c r="K67" s="276"/>
      <c r="L67" s="276"/>
      <c r="M67" s="276"/>
      <c r="N67" s="276"/>
      <c r="O67" s="276"/>
      <c r="P67" s="276"/>
      <c r="Q67" s="276"/>
      <c r="R67" s="276"/>
      <c r="S67" s="276"/>
      <c r="T67" s="276"/>
      <c r="U67" s="276"/>
      <c r="V67" s="276"/>
      <c r="W67" s="276"/>
      <c r="X67" s="354"/>
      <c r="Y67" s="276"/>
      <c r="Z67" s="276"/>
      <c r="AA67" s="276"/>
      <c r="AB67" s="276"/>
      <c r="AC67" s="276"/>
      <c r="AD67" s="276"/>
      <c r="AE67" s="276"/>
      <c r="AF67" s="276"/>
      <c r="AG67" s="276"/>
      <c r="AH67" s="276"/>
      <c r="AI67" s="276"/>
      <c r="AJ67" s="276"/>
      <c r="AK67" s="276"/>
    </row>
    <row r="68" spans="1:37" ht="15.75" customHeight="1" x14ac:dyDescent="0.25">
      <c r="A68" s="533"/>
      <c r="B68" s="276"/>
      <c r="C68" s="276"/>
      <c r="D68" s="276"/>
      <c r="E68" s="276"/>
      <c r="F68" s="276"/>
      <c r="G68" s="353"/>
      <c r="H68" s="276"/>
      <c r="I68" s="276"/>
      <c r="J68" s="276"/>
      <c r="K68" s="276"/>
      <c r="L68" s="276"/>
      <c r="M68" s="276"/>
      <c r="N68" s="276"/>
      <c r="O68" s="276"/>
      <c r="P68" s="276"/>
      <c r="Q68" s="276"/>
      <c r="R68" s="276"/>
      <c r="S68" s="276"/>
      <c r="T68" s="276"/>
      <c r="U68" s="276"/>
      <c r="V68" s="276"/>
      <c r="W68" s="276"/>
      <c r="X68" s="354"/>
      <c r="Y68" s="276"/>
      <c r="Z68" s="276"/>
      <c r="AA68" s="276"/>
      <c r="AB68" s="276"/>
      <c r="AC68" s="276"/>
      <c r="AD68" s="276"/>
      <c r="AE68" s="276"/>
      <c r="AF68" s="276"/>
      <c r="AG68" s="276"/>
      <c r="AH68" s="276"/>
      <c r="AI68" s="276"/>
      <c r="AJ68" s="276"/>
      <c r="AK68" s="276"/>
    </row>
    <row r="69" spans="1:37" ht="15.75" customHeight="1" x14ac:dyDescent="0.25">
      <c r="A69" s="533"/>
      <c r="B69" s="276"/>
      <c r="C69" s="276"/>
      <c r="D69" s="276"/>
      <c r="E69" s="276"/>
      <c r="F69" s="276"/>
      <c r="G69" s="353"/>
      <c r="H69" s="276"/>
      <c r="I69" s="276"/>
      <c r="J69" s="276"/>
      <c r="K69" s="276"/>
      <c r="L69" s="276"/>
      <c r="M69" s="276"/>
      <c r="N69" s="276"/>
      <c r="O69" s="276"/>
      <c r="P69" s="276"/>
      <c r="Q69" s="276"/>
      <c r="R69" s="276"/>
      <c r="S69" s="276"/>
      <c r="T69" s="276"/>
      <c r="U69" s="276"/>
      <c r="V69" s="276"/>
      <c r="W69" s="276"/>
      <c r="X69" s="354"/>
      <c r="Y69" s="276"/>
      <c r="Z69" s="276"/>
      <c r="AA69" s="276"/>
      <c r="AB69" s="276"/>
      <c r="AC69" s="276"/>
      <c r="AD69" s="276"/>
      <c r="AE69" s="276"/>
      <c r="AF69" s="276"/>
      <c r="AG69" s="276"/>
      <c r="AH69" s="276"/>
      <c r="AI69" s="276"/>
      <c r="AJ69" s="276"/>
      <c r="AK69" s="276"/>
    </row>
    <row r="70" spans="1:37" ht="15.75" customHeight="1" x14ac:dyDescent="0.25">
      <c r="A70" s="533"/>
      <c r="B70" s="276"/>
      <c r="C70" s="276"/>
      <c r="D70" s="276"/>
      <c r="E70" s="276"/>
      <c r="F70" s="276"/>
      <c r="G70" s="353"/>
      <c r="H70" s="276"/>
      <c r="I70" s="276"/>
      <c r="J70" s="276"/>
      <c r="K70" s="276"/>
      <c r="L70" s="276"/>
      <c r="M70" s="276"/>
      <c r="N70" s="276"/>
      <c r="O70" s="276"/>
      <c r="P70" s="276"/>
      <c r="Q70" s="276"/>
      <c r="R70" s="276"/>
      <c r="S70" s="276"/>
      <c r="T70" s="276"/>
      <c r="U70" s="276"/>
      <c r="V70" s="276"/>
      <c r="W70" s="276"/>
      <c r="X70" s="354"/>
      <c r="Y70" s="276"/>
      <c r="Z70" s="276"/>
      <c r="AA70" s="276"/>
      <c r="AB70" s="276"/>
      <c r="AC70" s="276"/>
      <c r="AD70" s="276"/>
      <c r="AE70" s="276"/>
      <c r="AF70" s="276"/>
      <c r="AG70" s="276"/>
      <c r="AH70" s="276"/>
      <c r="AI70" s="276"/>
      <c r="AJ70" s="276"/>
      <c r="AK70" s="276"/>
    </row>
    <row r="71" spans="1:37" ht="15.75" customHeight="1" x14ac:dyDescent="0.25">
      <c r="A71" s="533"/>
      <c r="B71" s="276"/>
      <c r="C71" s="276"/>
      <c r="D71" s="276"/>
      <c r="E71" s="276"/>
      <c r="F71" s="276"/>
      <c r="G71" s="353"/>
      <c r="H71" s="276"/>
      <c r="I71" s="276"/>
      <c r="J71" s="276"/>
      <c r="K71" s="276"/>
      <c r="L71" s="276"/>
      <c r="M71" s="276"/>
      <c r="N71" s="276"/>
      <c r="O71" s="276"/>
      <c r="P71" s="276"/>
      <c r="Q71" s="276"/>
      <c r="R71" s="276"/>
      <c r="S71" s="276"/>
      <c r="T71" s="276"/>
      <c r="U71" s="276"/>
      <c r="V71" s="276"/>
      <c r="W71" s="276"/>
      <c r="X71" s="354"/>
      <c r="Y71" s="276"/>
      <c r="Z71" s="276"/>
      <c r="AA71" s="276"/>
      <c r="AB71" s="276"/>
      <c r="AC71" s="276"/>
      <c r="AD71" s="276"/>
      <c r="AE71" s="276"/>
      <c r="AF71" s="276"/>
      <c r="AG71" s="276"/>
      <c r="AH71" s="276"/>
      <c r="AI71" s="276"/>
      <c r="AJ71" s="276"/>
      <c r="AK71" s="276"/>
    </row>
    <row r="72" spans="1:37" ht="15.75" customHeight="1" x14ac:dyDescent="0.25">
      <c r="A72" s="533"/>
      <c r="B72" s="276"/>
      <c r="C72" s="276"/>
      <c r="D72" s="276"/>
      <c r="E72" s="276"/>
      <c r="F72" s="276"/>
      <c r="G72" s="353"/>
      <c r="H72" s="276"/>
      <c r="I72" s="276"/>
      <c r="J72" s="276"/>
      <c r="K72" s="276"/>
      <c r="L72" s="276"/>
      <c r="M72" s="276"/>
      <c r="N72" s="276"/>
      <c r="O72" s="276"/>
      <c r="P72" s="276"/>
      <c r="Q72" s="276"/>
      <c r="R72" s="276"/>
      <c r="S72" s="276"/>
      <c r="T72" s="276"/>
      <c r="U72" s="276"/>
      <c r="V72" s="276"/>
      <c r="W72" s="276"/>
      <c r="X72" s="354"/>
      <c r="Y72" s="276"/>
      <c r="Z72" s="276"/>
      <c r="AA72" s="276"/>
      <c r="AB72" s="276"/>
      <c r="AC72" s="276"/>
      <c r="AD72" s="276"/>
      <c r="AE72" s="276"/>
      <c r="AF72" s="276"/>
      <c r="AG72" s="276"/>
      <c r="AH72" s="276"/>
      <c r="AI72" s="276"/>
      <c r="AJ72" s="276"/>
      <c r="AK72" s="276"/>
    </row>
    <row r="73" spans="1:37" ht="15.75" customHeight="1" x14ac:dyDescent="0.25">
      <c r="A73" s="533"/>
      <c r="B73" s="276"/>
      <c r="C73" s="276"/>
      <c r="D73" s="276"/>
      <c r="E73" s="276"/>
      <c r="F73" s="276"/>
      <c r="G73" s="353"/>
      <c r="H73" s="276"/>
      <c r="I73" s="276"/>
      <c r="J73" s="276"/>
      <c r="K73" s="276"/>
      <c r="L73" s="276"/>
      <c r="M73" s="276"/>
      <c r="N73" s="276"/>
      <c r="O73" s="276"/>
      <c r="P73" s="276"/>
      <c r="Q73" s="276"/>
      <c r="R73" s="276"/>
      <c r="S73" s="276"/>
      <c r="T73" s="276"/>
      <c r="U73" s="276"/>
      <c r="V73" s="276"/>
      <c r="W73" s="276"/>
      <c r="X73" s="354"/>
      <c r="Y73" s="276"/>
      <c r="Z73" s="276"/>
      <c r="AA73" s="276"/>
      <c r="AB73" s="276"/>
      <c r="AC73" s="276"/>
      <c r="AD73" s="276"/>
      <c r="AE73" s="276"/>
      <c r="AF73" s="276"/>
      <c r="AG73" s="276"/>
      <c r="AH73" s="276"/>
      <c r="AI73" s="276"/>
      <c r="AJ73" s="276"/>
      <c r="AK73" s="276"/>
    </row>
    <row r="74" spans="1:37" ht="15.75" customHeight="1" x14ac:dyDescent="0.25">
      <c r="A74" s="533"/>
      <c r="B74" s="276"/>
      <c r="C74" s="276"/>
      <c r="D74" s="276"/>
      <c r="E74" s="276"/>
      <c r="F74" s="276"/>
      <c r="G74" s="353"/>
      <c r="H74" s="276"/>
      <c r="I74" s="276"/>
      <c r="J74" s="276"/>
      <c r="K74" s="276"/>
      <c r="L74" s="276"/>
      <c r="M74" s="276"/>
      <c r="N74" s="276"/>
      <c r="O74" s="276"/>
      <c r="P74" s="276"/>
      <c r="Q74" s="276"/>
      <c r="R74" s="276"/>
      <c r="S74" s="276"/>
      <c r="T74" s="276"/>
      <c r="U74" s="276"/>
      <c r="V74" s="276"/>
      <c r="W74" s="276"/>
      <c r="X74" s="354"/>
      <c r="Y74" s="276"/>
      <c r="Z74" s="276"/>
      <c r="AA74" s="276"/>
      <c r="AB74" s="276"/>
      <c r="AC74" s="276"/>
      <c r="AD74" s="276"/>
      <c r="AE74" s="276"/>
      <c r="AF74" s="276"/>
      <c r="AG74" s="276"/>
      <c r="AH74" s="276"/>
      <c r="AI74" s="276"/>
      <c r="AJ74" s="276"/>
      <c r="AK74" s="276"/>
    </row>
    <row r="75" spans="1:37" ht="15.75" customHeight="1" x14ac:dyDescent="0.25">
      <c r="A75" s="533"/>
      <c r="B75" s="276"/>
      <c r="C75" s="276"/>
      <c r="D75" s="276"/>
      <c r="E75" s="276"/>
      <c r="F75" s="276"/>
      <c r="G75" s="353"/>
      <c r="H75" s="276"/>
      <c r="I75" s="276"/>
      <c r="J75" s="276"/>
      <c r="K75" s="276"/>
      <c r="L75" s="276"/>
      <c r="M75" s="276"/>
      <c r="N75" s="276"/>
      <c r="O75" s="276"/>
      <c r="P75" s="276"/>
      <c r="Q75" s="276"/>
      <c r="R75" s="276"/>
      <c r="S75" s="276"/>
      <c r="T75" s="276"/>
      <c r="U75" s="276"/>
      <c r="V75" s="276"/>
      <c r="W75" s="276"/>
      <c r="X75" s="354"/>
      <c r="Y75" s="276"/>
      <c r="Z75" s="276"/>
      <c r="AA75" s="276"/>
      <c r="AB75" s="276"/>
      <c r="AC75" s="276"/>
      <c r="AD75" s="276"/>
      <c r="AE75" s="276"/>
      <c r="AF75" s="276"/>
      <c r="AG75" s="276"/>
      <c r="AH75" s="276"/>
      <c r="AI75" s="276"/>
      <c r="AJ75" s="276"/>
      <c r="AK75" s="276"/>
    </row>
    <row r="76" spans="1:37" ht="15.75" customHeight="1" x14ac:dyDescent="0.25">
      <c r="A76" s="533"/>
      <c r="B76" s="276"/>
      <c r="C76" s="276"/>
      <c r="D76" s="276"/>
      <c r="E76" s="276"/>
      <c r="F76" s="276"/>
      <c r="G76" s="353"/>
      <c r="H76" s="276"/>
      <c r="I76" s="276"/>
      <c r="J76" s="276"/>
      <c r="K76" s="276"/>
      <c r="L76" s="276"/>
      <c r="M76" s="276"/>
      <c r="N76" s="276"/>
      <c r="O76" s="276"/>
      <c r="P76" s="276"/>
      <c r="Q76" s="276"/>
      <c r="R76" s="276"/>
      <c r="S76" s="276"/>
      <c r="T76" s="276"/>
      <c r="U76" s="276"/>
      <c r="V76" s="276"/>
      <c r="W76" s="276"/>
      <c r="X76" s="354"/>
      <c r="Y76" s="276"/>
      <c r="Z76" s="276"/>
      <c r="AA76" s="276"/>
      <c r="AB76" s="276"/>
      <c r="AC76" s="276"/>
      <c r="AD76" s="276"/>
      <c r="AE76" s="276"/>
      <c r="AF76" s="276"/>
      <c r="AG76" s="276"/>
      <c r="AH76" s="276"/>
      <c r="AI76" s="276"/>
      <c r="AJ76" s="276"/>
      <c r="AK76" s="276"/>
    </row>
    <row r="77" spans="1:37" ht="15.75" customHeight="1" x14ac:dyDescent="0.25">
      <c r="A77" s="533"/>
      <c r="B77" s="276"/>
      <c r="C77" s="276"/>
      <c r="D77" s="276"/>
      <c r="E77" s="276"/>
      <c r="F77" s="276"/>
      <c r="G77" s="353"/>
      <c r="H77" s="276"/>
      <c r="I77" s="276"/>
      <c r="J77" s="276"/>
      <c r="K77" s="276"/>
      <c r="L77" s="276"/>
      <c r="M77" s="276"/>
      <c r="N77" s="276"/>
      <c r="O77" s="276"/>
      <c r="P77" s="276"/>
      <c r="Q77" s="276"/>
      <c r="R77" s="276"/>
      <c r="S77" s="276"/>
      <c r="T77" s="276"/>
      <c r="U77" s="276"/>
      <c r="V77" s="276"/>
      <c r="W77" s="276"/>
      <c r="X77" s="354"/>
      <c r="Y77" s="276"/>
      <c r="Z77" s="276"/>
      <c r="AA77" s="276"/>
      <c r="AB77" s="276"/>
      <c r="AC77" s="276"/>
      <c r="AD77" s="276"/>
      <c r="AE77" s="276"/>
      <c r="AF77" s="276"/>
      <c r="AG77" s="276"/>
      <c r="AH77" s="276"/>
      <c r="AI77" s="276"/>
      <c r="AJ77" s="276"/>
      <c r="AK77" s="276"/>
    </row>
    <row r="78" spans="1:37" ht="15.75" customHeight="1" x14ac:dyDescent="0.25">
      <c r="A78" s="533"/>
      <c r="B78" s="276"/>
      <c r="C78" s="276"/>
      <c r="D78" s="276"/>
      <c r="E78" s="276"/>
      <c r="F78" s="276"/>
      <c r="G78" s="353"/>
      <c r="H78" s="276"/>
      <c r="I78" s="276"/>
      <c r="J78" s="276"/>
      <c r="K78" s="276"/>
      <c r="L78" s="276"/>
      <c r="M78" s="276"/>
      <c r="N78" s="276"/>
      <c r="O78" s="276"/>
      <c r="P78" s="276"/>
      <c r="Q78" s="276"/>
      <c r="R78" s="276"/>
      <c r="S78" s="276"/>
      <c r="T78" s="276"/>
      <c r="U78" s="276"/>
      <c r="V78" s="276"/>
      <c r="W78" s="276"/>
      <c r="X78" s="354"/>
      <c r="Y78" s="276"/>
      <c r="Z78" s="276"/>
      <c r="AA78" s="276"/>
      <c r="AB78" s="276"/>
      <c r="AC78" s="276"/>
      <c r="AD78" s="276"/>
      <c r="AE78" s="276"/>
      <c r="AF78" s="276"/>
      <c r="AG78" s="276"/>
      <c r="AH78" s="276"/>
      <c r="AI78" s="276"/>
      <c r="AJ78" s="276"/>
      <c r="AK78" s="276"/>
    </row>
    <row r="79" spans="1:37" ht="15.75" customHeight="1" x14ac:dyDescent="0.25">
      <c r="A79" s="533"/>
      <c r="B79" s="276"/>
      <c r="C79" s="276"/>
      <c r="D79" s="276"/>
      <c r="E79" s="276"/>
      <c r="F79" s="276"/>
      <c r="G79" s="353"/>
      <c r="H79" s="276"/>
      <c r="I79" s="276"/>
      <c r="J79" s="276"/>
      <c r="K79" s="276"/>
      <c r="L79" s="276"/>
      <c r="M79" s="276"/>
      <c r="N79" s="276"/>
      <c r="O79" s="276"/>
      <c r="P79" s="276"/>
      <c r="Q79" s="276"/>
      <c r="R79" s="276"/>
      <c r="S79" s="276"/>
      <c r="T79" s="276"/>
      <c r="U79" s="276"/>
      <c r="V79" s="276"/>
      <c r="W79" s="276"/>
      <c r="X79" s="354"/>
      <c r="Y79" s="276"/>
      <c r="Z79" s="276"/>
      <c r="AA79" s="276"/>
      <c r="AB79" s="276"/>
      <c r="AC79" s="276"/>
      <c r="AD79" s="276"/>
      <c r="AE79" s="276"/>
      <c r="AF79" s="276"/>
      <c r="AG79" s="276"/>
      <c r="AH79" s="276"/>
      <c r="AI79" s="276"/>
      <c r="AJ79" s="276"/>
      <c r="AK79" s="276"/>
    </row>
    <row r="80" spans="1:37" ht="15.75" customHeight="1" x14ac:dyDescent="0.25">
      <c r="A80" s="533"/>
      <c r="B80" s="276"/>
      <c r="C80" s="276"/>
      <c r="D80" s="276"/>
      <c r="E80" s="276"/>
      <c r="F80" s="276"/>
      <c r="G80" s="353"/>
      <c r="H80" s="276"/>
      <c r="I80" s="276"/>
      <c r="J80" s="276"/>
      <c r="K80" s="276"/>
      <c r="L80" s="276"/>
      <c r="M80" s="276"/>
      <c r="N80" s="276"/>
      <c r="O80" s="276"/>
      <c r="P80" s="276"/>
      <c r="Q80" s="276"/>
      <c r="R80" s="276"/>
      <c r="S80" s="276"/>
      <c r="T80" s="276"/>
      <c r="U80" s="276"/>
      <c r="V80" s="276"/>
      <c r="W80" s="276"/>
      <c r="X80" s="354"/>
      <c r="Y80" s="276"/>
      <c r="Z80" s="276"/>
      <c r="AA80" s="276"/>
      <c r="AB80" s="276"/>
      <c r="AC80" s="276"/>
      <c r="AD80" s="276"/>
      <c r="AE80" s="276"/>
      <c r="AF80" s="276"/>
      <c r="AG80" s="276"/>
      <c r="AH80" s="276"/>
      <c r="AI80" s="276"/>
      <c r="AJ80" s="276"/>
      <c r="AK80" s="276"/>
    </row>
    <row r="81" spans="1:37" ht="15.75" customHeight="1" x14ac:dyDescent="0.25">
      <c r="A81" s="533"/>
      <c r="B81" s="276"/>
      <c r="C81" s="276"/>
      <c r="D81" s="276"/>
      <c r="E81" s="276"/>
      <c r="F81" s="276"/>
      <c r="G81" s="353"/>
      <c r="H81" s="276"/>
      <c r="I81" s="276"/>
      <c r="J81" s="276"/>
      <c r="K81" s="276"/>
      <c r="L81" s="276"/>
      <c r="M81" s="276"/>
      <c r="N81" s="276"/>
      <c r="O81" s="276"/>
      <c r="P81" s="276"/>
      <c r="Q81" s="276"/>
      <c r="R81" s="276"/>
      <c r="S81" s="276"/>
      <c r="T81" s="276"/>
      <c r="U81" s="276"/>
      <c r="V81" s="276"/>
      <c r="W81" s="276"/>
      <c r="X81" s="354"/>
      <c r="Y81" s="276"/>
      <c r="Z81" s="276"/>
      <c r="AA81" s="276"/>
      <c r="AB81" s="276"/>
      <c r="AC81" s="276"/>
      <c r="AD81" s="276"/>
      <c r="AE81" s="276"/>
      <c r="AF81" s="276"/>
      <c r="AG81" s="276"/>
      <c r="AH81" s="276"/>
      <c r="AI81" s="276"/>
      <c r="AJ81" s="276"/>
      <c r="AK81" s="276"/>
    </row>
    <row r="82" spans="1:37" ht="15.75" customHeight="1" x14ac:dyDescent="0.25">
      <c r="A82" s="533"/>
      <c r="B82" s="276"/>
      <c r="C82" s="276"/>
      <c r="D82" s="276"/>
      <c r="E82" s="276"/>
      <c r="F82" s="276"/>
      <c r="G82" s="353"/>
      <c r="H82" s="276"/>
      <c r="I82" s="276"/>
      <c r="J82" s="276"/>
      <c r="K82" s="276"/>
      <c r="L82" s="276"/>
      <c r="M82" s="276"/>
      <c r="N82" s="276"/>
      <c r="O82" s="276"/>
      <c r="P82" s="276"/>
      <c r="Q82" s="276"/>
      <c r="R82" s="276"/>
      <c r="S82" s="276"/>
      <c r="T82" s="276"/>
      <c r="U82" s="276"/>
      <c r="V82" s="276"/>
      <c r="W82" s="276"/>
      <c r="X82" s="354"/>
      <c r="Y82" s="276"/>
      <c r="Z82" s="276"/>
      <c r="AA82" s="276"/>
      <c r="AB82" s="276"/>
      <c r="AC82" s="276"/>
      <c r="AD82" s="276"/>
      <c r="AE82" s="276"/>
      <c r="AF82" s="276"/>
      <c r="AG82" s="276"/>
      <c r="AH82" s="276"/>
      <c r="AI82" s="276"/>
      <c r="AJ82" s="276"/>
      <c r="AK82" s="276"/>
    </row>
    <row r="83" spans="1:37" ht="15.75" customHeight="1" x14ac:dyDescent="0.25">
      <c r="A83" s="533"/>
      <c r="B83" s="276"/>
      <c r="C83" s="276"/>
      <c r="D83" s="276"/>
      <c r="E83" s="276"/>
      <c r="F83" s="276"/>
      <c r="G83" s="353"/>
      <c r="H83" s="276"/>
      <c r="I83" s="276"/>
      <c r="J83" s="276"/>
      <c r="K83" s="276"/>
      <c r="L83" s="276"/>
      <c r="M83" s="276"/>
      <c r="N83" s="276"/>
      <c r="O83" s="276"/>
      <c r="P83" s="276"/>
      <c r="Q83" s="276"/>
      <c r="R83" s="276"/>
      <c r="S83" s="276"/>
      <c r="T83" s="276"/>
      <c r="U83" s="276"/>
      <c r="V83" s="276"/>
      <c r="W83" s="276"/>
      <c r="X83" s="354"/>
      <c r="Y83" s="276"/>
      <c r="Z83" s="276"/>
      <c r="AA83" s="276"/>
      <c r="AB83" s="276"/>
      <c r="AC83" s="276"/>
      <c r="AD83" s="276"/>
      <c r="AE83" s="276"/>
      <c r="AF83" s="276"/>
      <c r="AG83" s="276"/>
      <c r="AH83" s="276"/>
      <c r="AI83" s="276"/>
      <c r="AJ83" s="276"/>
      <c r="AK83" s="276"/>
    </row>
    <row r="84" spans="1:37" ht="15.75" customHeight="1" x14ac:dyDescent="0.25">
      <c r="A84" s="533"/>
      <c r="B84" s="276"/>
      <c r="C84" s="276"/>
      <c r="D84" s="276"/>
      <c r="E84" s="276"/>
      <c r="F84" s="276"/>
      <c r="G84" s="353"/>
      <c r="H84" s="276"/>
      <c r="I84" s="276"/>
      <c r="J84" s="276"/>
      <c r="K84" s="276"/>
      <c r="L84" s="276"/>
      <c r="M84" s="276"/>
      <c r="N84" s="276"/>
      <c r="O84" s="276"/>
      <c r="P84" s="276"/>
      <c r="Q84" s="276"/>
      <c r="R84" s="276"/>
      <c r="S84" s="276"/>
      <c r="T84" s="276"/>
      <c r="U84" s="276"/>
      <c r="V84" s="276"/>
      <c r="W84" s="276"/>
      <c r="X84" s="354"/>
      <c r="Y84" s="276"/>
      <c r="Z84" s="276"/>
      <c r="AA84" s="276"/>
      <c r="AB84" s="276"/>
      <c r="AC84" s="276"/>
      <c r="AD84" s="276"/>
      <c r="AE84" s="276"/>
      <c r="AF84" s="276"/>
      <c r="AG84" s="276"/>
      <c r="AH84" s="276"/>
      <c r="AI84" s="276"/>
      <c r="AJ84" s="276"/>
      <c r="AK84" s="276"/>
    </row>
    <row r="85" spans="1:37" ht="15.75" customHeight="1" x14ac:dyDescent="0.25">
      <c r="A85" s="533"/>
      <c r="B85" s="276"/>
      <c r="C85" s="276"/>
      <c r="D85" s="276"/>
      <c r="E85" s="276"/>
      <c r="F85" s="276"/>
      <c r="G85" s="353"/>
      <c r="H85" s="276"/>
      <c r="I85" s="276"/>
      <c r="J85" s="276"/>
      <c r="K85" s="276"/>
      <c r="L85" s="276"/>
      <c r="M85" s="276"/>
      <c r="N85" s="276"/>
      <c r="O85" s="276"/>
      <c r="P85" s="276"/>
      <c r="Q85" s="276"/>
      <c r="R85" s="276"/>
      <c r="S85" s="276"/>
      <c r="T85" s="276"/>
      <c r="U85" s="276"/>
      <c r="V85" s="276"/>
      <c r="W85" s="276"/>
      <c r="X85" s="354"/>
      <c r="Y85" s="276"/>
      <c r="Z85" s="276"/>
      <c r="AA85" s="276"/>
      <c r="AB85" s="276"/>
      <c r="AC85" s="276"/>
      <c r="AD85" s="276"/>
      <c r="AE85" s="276"/>
      <c r="AF85" s="276"/>
      <c r="AG85" s="276"/>
      <c r="AH85" s="276"/>
      <c r="AI85" s="276"/>
      <c r="AJ85" s="276"/>
      <c r="AK85" s="276"/>
    </row>
    <row r="86" spans="1:37" ht="15.75" customHeight="1" x14ac:dyDescent="0.25">
      <c r="A86" s="533"/>
      <c r="B86" s="276"/>
      <c r="C86" s="276"/>
      <c r="D86" s="276"/>
      <c r="E86" s="276"/>
      <c r="F86" s="276"/>
      <c r="G86" s="353"/>
      <c r="H86" s="276"/>
      <c r="I86" s="276"/>
      <c r="J86" s="276"/>
      <c r="K86" s="276"/>
      <c r="L86" s="276"/>
      <c r="M86" s="276"/>
      <c r="N86" s="276"/>
      <c r="O86" s="276"/>
      <c r="P86" s="276"/>
      <c r="Q86" s="276"/>
      <c r="R86" s="276"/>
      <c r="S86" s="276"/>
      <c r="T86" s="276"/>
      <c r="U86" s="276"/>
      <c r="V86" s="276"/>
      <c r="W86" s="276"/>
      <c r="X86" s="354"/>
      <c r="Y86" s="276"/>
      <c r="Z86" s="276"/>
      <c r="AA86" s="276"/>
      <c r="AB86" s="276"/>
      <c r="AC86" s="276"/>
      <c r="AD86" s="276"/>
      <c r="AE86" s="276"/>
      <c r="AF86" s="276"/>
      <c r="AG86" s="276"/>
      <c r="AH86" s="276"/>
      <c r="AI86" s="276"/>
      <c r="AJ86" s="276"/>
      <c r="AK86" s="276"/>
    </row>
    <row r="87" spans="1:37" ht="15.75" customHeight="1" x14ac:dyDescent="0.25">
      <c r="A87" s="533"/>
      <c r="B87" s="276"/>
      <c r="C87" s="276"/>
      <c r="D87" s="276"/>
      <c r="E87" s="276"/>
      <c r="F87" s="276"/>
      <c r="G87" s="353"/>
      <c r="H87" s="276"/>
      <c r="I87" s="276"/>
      <c r="J87" s="276"/>
      <c r="K87" s="276"/>
      <c r="L87" s="276"/>
      <c r="M87" s="276"/>
      <c r="N87" s="276"/>
      <c r="O87" s="276"/>
      <c r="P87" s="276"/>
      <c r="Q87" s="276"/>
      <c r="R87" s="276"/>
      <c r="S87" s="276"/>
      <c r="T87" s="276"/>
      <c r="U87" s="276"/>
      <c r="V87" s="276"/>
      <c r="W87" s="276"/>
      <c r="X87" s="354"/>
      <c r="Y87" s="276"/>
      <c r="Z87" s="276"/>
      <c r="AA87" s="276"/>
      <c r="AB87" s="276"/>
      <c r="AC87" s="276"/>
      <c r="AD87" s="276"/>
      <c r="AE87" s="276"/>
      <c r="AF87" s="276"/>
      <c r="AG87" s="276"/>
      <c r="AH87" s="276"/>
      <c r="AI87" s="276"/>
      <c r="AJ87" s="276"/>
      <c r="AK87" s="276"/>
    </row>
    <row r="88" spans="1:37" ht="15.75" customHeight="1" x14ac:dyDescent="0.25">
      <c r="A88" s="533"/>
      <c r="B88" s="276"/>
      <c r="C88" s="276"/>
      <c r="D88" s="276"/>
      <c r="E88" s="276"/>
      <c r="F88" s="276"/>
      <c r="G88" s="353"/>
      <c r="H88" s="276"/>
      <c r="I88" s="276"/>
      <c r="J88" s="276"/>
      <c r="K88" s="276"/>
      <c r="L88" s="276"/>
      <c r="M88" s="276"/>
      <c r="N88" s="276"/>
      <c r="O88" s="276"/>
      <c r="P88" s="276"/>
      <c r="Q88" s="276"/>
      <c r="R88" s="276"/>
      <c r="S88" s="276"/>
      <c r="T88" s="276"/>
      <c r="U88" s="276"/>
      <c r="V88" s="276"/>
      <c r="W88" s="276"/>
      <c r="X88" s="354"/>
      <c r="Y88" s="276"/>
      <c r="Z88" s="276"/>
      <c r="AA88" s="276"/>
      <c r="AB88" s="276"/>
      <c r="AC88" s="276"/>
      <c r="AD88" s="276"/>
      <c r="AE88" s="276"/>
      <c r="AF88" s="276"/>
      <c r="AG88" s="276"/>
      <c r="AH88" s="276"/>
      <c r="AI88" s="276"/>
      <c r="AJ88" s="276"/>
      <c r="AK88" s="276"/>
    </row>
    <row r="89" spans="1:37" ht="15.75" customHeight="1" x14ac:dyDescent="0.25">
      <c r="A89" s="533"/>
      <c r="B89" s="276"/>
      <c r="C89" s="276"/>
      <c r="D89" s="276"/>
      <c r="E89" s="276"/>
      <c r="F89" s="276"/>
      <c r="G89" s="353"/>
      <c r="H89" s="276"/>
      <c r="I89" s="276"/>
      <c r="J89" s="276"/>
      <c r="K89" s="276"/>
      <c r="L89" s="276"/>
      <c r="M89" s="276"/>
      <c r="N89" s="276"/>
      <c r="O89" s="276"/>
      <c r="P89" s="276"/>
      <c r="Q89" s="276"/>
      <c r="R89" s="276"/>
      <c r="S89" s="276"/>
      <c r="T89" s="276"/>
      <c r="U89" s="276"/>
      <c r="V89" s="276"/>
      <c r="W89" s="276"/>
      <c r="X89" s="354"/>
      <c r="Y89" s="276"/>
      <c r="Z89" s="276"/>
      <c r="AA89" s="276"/>
      <c r="AB89" s="276"/>
      <c r="AC89" s="276"/>
      <c r="AD89" s="276"/>
      <c r="AE89" s="276"/>
      <c r="AF89" s="276"/>
      <c r="AG89" s="276"/>
      <c r="AH89" s="276"/>
      <c r="AI89" s="276"/>
      <c r="AJ89" s="276"/>
      <c r="AK89" s="276"/>
    </row>
    <row r="90" spans="1:37" ht="15.75" customHeight="1" x14ac:dyDescent="0.25">
      <c r="A90" s="533"/>
      <c r="B90" s="276"/>
      <c r="C90" s="276"/>
      <c r="D90" s="276"/>
      <c r="E90" s="276"/>
      <c r="F90" s="276"/>
      <c r="G90" s="353"/>
      <c r="H90" s="276"/>
      <c r="I90" s="276"/>
      <c r="J90" s="276"/>
      <c r="K90" s="276"/>
      <c r="L90" s="276"/>
      <c r="M90" s="276"/>
      <c r="N90" s="276"/>
      <c r="O90" s="276"/>
      <c r="P90" s="276"/>
      <c r="Q90" s="276"/>
      <c r="R90" s="276"/>
      <c r="S90" s="276"/>
      <c r="T90" s="276"/>
      <c r="U90" s="276"/>
      <c r="V90" s="276"/>
      <c r="W90" s="276"/>
      <c r="X90" s="354"/>
      <c r="Y90" s="276"/>
      <c r="Z90" s="276"/>
      <c r="AA90" s="276"/>
      <c r="AB90" s="276"/>
      <c r="AC90" s="276"/>
      <c r="AD90" s="276"/>
      <c r="AE90" s="276"/>
      <c r="AF90" s="276"/>
      <c r="AG90" s="276"/>
      <c r="AH90" s="276"/>
      <c r="AI90" s="276"/>
      <c r="AJ90" s="276"/>
      <c r="AK90" s="276"/>
    </row>
    <row r="91" spans="1:37" ht="15.75" customHeight="1" x14ac:dyDescent="0.25">
      <c r="A91" s="533"/>
      <c r="B91" s="276"/>
      <c r="C91" s="276"/>
      <c r="D91" s="276"/>
      <c r="E91" s="276"/>
      <c r="F91" s="276"/>
      <c r="G91" s="353"/>
      <c r="H91" s="276"/>
      <c r="I91" s="276"/>
      <c r="J91" s="276"/>
      <c r="K91" s="276"/>
      <c r="L91" s="276"/>
      <c r="M91" s="276"/>
      <c r="N91" s="276"/>
      <c r="O91" s="276"/>
      <c r="P91" s="276"/>
      <c r="Q91" s="276"/>
      <c r="R91" s="276"/>
      <c r="S91" s="276"/>
      <c r="T91" s="276"/>
      <c r="U91" s="276"/>
      <c r="V91" s="276"/>
      <c r="W91" s="276"/>
      <c r="X91" s="354"/>
      <c r="Y91" s="276"/>
      <c r="Z91" s="276"/>
      <c r="AA91" s="276"/>
      <c r="AB91" s="276"/>
      <c r="AC91" s="276"/>
      <c r="AD91" s="276"/>
      <c r="AE91" s="276"/>
      <c r="AF91" s="276"/>
      <c r="AG91" s="276"/>
      <c r="AH91" s="276"/>
      <c r="AI91" s="276"/>
      <c r="AJ91" s="276"/>
      <c r="AK91" s="276"/>
    </row>
    <row r="92" spans="1:37" ht="15.75" customHeight="1" x14ac:dyDescent="0.25">
      <c r="A92" s="533"/>
      <c r="B92" s="276"/>
      <c r="C92" s="276"/>
      <c r="D92" s="276"/>
      <c r="E92" s="276"/>
      <c r="F92" s="276"/>
      <c r="G92" s="353"/>
      <c r="H92" s="276"/>
      <c r="I92" s="276"/>
      <c r="J92" s="276"/>
      <c r="K92" s="276"/>
      <c r="L92" s="276"/>
      <c r="M92" s="276"/>
      <c r="N92" s="276"/>
      <c r="O92" s="276"/>
      <c r="P92" s="276"/>
      <c r="Q92" s="276"/>
      <c r="R92" s="276"/>
      <c r="S92" s="276"/>
      <c r="T92" s="276"/>
      <c r="U92" s="276"/>
      <c r="V92" s="276"/>
      <c r="W92" s="276"/>
      <c r="X92" s="354"/>
      <c r="Y92" s="276"/>
      <c r="Z92" s="276"/>
      <c r="AA92" s="276"/>
      <c r="AB92" s="276"/>
      <c r="AC92" s="276"/>
      <c r="AD92" s="276"/>
      <c r="AE92" s="276"/>
      <c r="AF92" s="276"/>
      <c r="AG92" s="276"/>
      <c r="AH92" s="276"/>
      <c r="AI92" s="276"/>
      <c r="AJ92" s="276"/>
      <c r="AK92" s="276"/>
    </row>
    <row r="93" spans="1:37" ht="15.75" customHeight="1" x14ac:dyDescent="0.25">
      <c r="A93" s="533"/>
      <c r="B93" s="276"/>
      <c r="C93" s="276"/>
      <c r="D93" s="276"/>
      <c r="E93" s="276"/>
      <c r="F93" s="276"/>
      <c r="G93" s="353"/>
      <c r="H93" s="276"/>
      <c r="I93" s="276"/>
      <c r="J93" s="276"/>
      <c r="K93" s="276"/>
      <c r="L93" s="276"/>
      <c r="M93" s="276"/>
      <c r="N93" s="276"/>
      <c r="O93" s="276"/>
      <c r="P93" s="276"/>
      <c r="Q93" s="276"/>
      <c r="R93" s="276"/>
      <c r="S93" s="276"/>
      <c r="T93" s="276"/>
      <c r="U93" s="276"/>
      <c r="V93" s="276"/>
      <c r="W93" s="276"/>
      <c r="X93" s="354"/>
      <c r="Y93" s="276"/>
      <c r="Z93" s="276"/>
      <c r="AA93" s="276"/>
      <c r="AB93" s="276"/>
      <c r="AC93" s="276"/>
      <c r="AD93" s="276"/>
      <c r="AE93" s="276"/>
      <c r="AF93" s="276"/>
      <c r="AG93" s="276"/>
      <c r="AH93" s="276"/>
      <c r="AI93" s="276"/>
      <c r="AJ93" s="276"/>
      <c r="AK93" s="276"/>
    </row>
    <row r="94" spans="1:37" ht="15.75" customHeight="1" x14ac:dyDescent="0.25">
      <c r="A94" s="533"/>
      <c r="B94" s="276"/>
      <c r="C94" s="276"/>
      <c r="D94" s="276"/>
      <c r="E94" s="276"/>
      <c r="F94" s="276"/>
      <c r="G94" s="353"/>
      <c r="H94" s="276"/>
      <c r="I94" s="276"/>
      <c r="J94" s="276"/>
      <c r="K94" s="276"/>
      <c r="L94" s="276"/>
      <c r="M94" s="276"/>
      <c r="N94" s="276"/>
      <c r="O94" s="276"/>
      <c r="P94" s="276"/>
      <c r="Q94" s="276"/>
      <c r="R94" s="276"/>
      <c r="S94" s="276"/>
      <c r="T94" s="276"/>
      <c r="U94" s="276"/>
      <c r="V94" s="276"/>
      <c r="W94" s="276"/>
      <c r="X94" s="354"/>
      <c r="Y94" s="276"/>
      <c r="Z94" s="276"/>
      <c r="AA94" s="276"/>
      <c r="AB94" s="276"/>
      <c r="AC94" s="276"/>
      <c r="AD94" s="276"/>
      <c r="AE94" s="276"/>
      <c r="AF94" s="276"/>
      <c r="AG94" s="276"/>
      <c r="AH94" s="276"/>
      <c r="AI94" s="276"/>
      <c r="AJ94" s="276"/>
      <c r="AK94" s="276"/>
    </row>
    <row r="95" spans="1:37" ht="15.75" customHeight="1" x14ac:dyDescent="0.25">
      <c r="A95" s="533"/>
      <c r="B95" s="276"/>
      <c r="C95" s="276"/>
      <c r="D95" s="276"/>
      <c r="E95" s="276"/>
      <c r="F95" s="276"/>
      <c r="G95" s="353"/>
      <c r="H95" s="276"/>
      <c r="I95" s="276"/>
      <c r="J95" s="276"/>
      <c r="K95" s="276"/>
      <c r="L95" s="276"/>
      <c r="M95" s="276"/>
      <c r="N95" s="276"/>
      <c r="O95" s="276"/>
      <c r="P95" s="276"/>
      <c r="Q95" s="276"/>
      <c r="R95" s="276"/>
      <c r="S95" s="276"/>
      <c r="T95" s="276"/>
      <c r="U95" s="276"/>
      <c r="V95" s="276"/>
      <c r="W95" s="276"/>
      <c r="X95" s="354"/>
      <c r="Y95" s="276"/>
      <c r="Z95" s="276"/>
      <c r="AA95" s="276"/>
      <c r="AB95" s="276"/>
      <c r="AC95" s="276"/>
      <c r="AD95" s="276"/>
      <c r="AE95" s="276"/>
      <c r="AF95" s="276"/>
      <c r="AG95" s="276"/>
      <c r="AH95" s="276"/>
      <c r="AI95" s="276"/>
      <c r="AJ95" s="276"/>
      <c r="AK95" s="276"/>
    </row>
    <row r="96" spans="1:37" ht="15.75" customHeight="1" x14ac:dyDescent="0.25">
      <c r="A96" s="533"/>
      <c r="B96" s="276"/>
      <c r="C96" s="276"/>
      <c r="D96" s="276"/>
      <c r="E96" s="276"/>
      <c r="F96" s="276"/>
      <c r="G96" s="353"/>
      <c r="H96" s="276"/>
      <c r="I96" s="276"/>
      <c r="J96" s="276"/>
      <c r="K96" s="276"/>
      <c r="L96" s="276"/>
      <c r="M96" s="276"/>
      <c r="N96" s="276"/>
      <c r="O96" s="276"/>
      <c r="P96" s="276"/>
      <c r="Q96" s="276"/>
      <c r="R96" s="276"/>
      <c r="S96" s="276"/>
      <c r="T96" s="276"/>
      <c r="U96" s="276"/>
      <c r="V96" s="276"/>
      <c r="W96" s="276"/>
      <c r="X96" s="354"/>
      <c r="Y96" s="276"/>
      <c r="Z96" s="276"/>
      <c r="AA96" s="276"/>
      <c r="AB96" s="276"/>
      <c r="AC96" s="276"/>
      <c r="AD96" s="276"/>
      <c r="AE96" s="276"/>
      <c r="AF96" s="276"/>
      <c r="AG96" s="276"/>
      <c r="AH96" s="276"/>
      <c r="AI96" s="276"/>
      <c r="AJ96" s="276"/>
      <c r="AK96" s="276"/>
    </row>
    <row r="97" spans="1:37" ht="15.75" customHeight="1" x14ac:dyDescent="0.25">
      <c r="A97" s="533"/>
      <c r="B97" s="276"/>
      <c r="C97" s="276"/>
      <c r="D97" s="276"/>
      <c r="E97" s="276"/>
      <c r="F97" s="276"/>
      <c r="G97" s="353"/>
      <c r="H97" s="276"/>
      <c r="I97" s="276"/>
      <c r="J97" s="276"/>
      <c r="K97" s="276"/>
      <c r="L97" s="276"/>
      <c r="M97" s="276"/>
      <c r="N97" s="276"/>
      <c r="O97" s="276"/>
      <c r="P97" s="276"/>
      <c r="Q97" s="276"/>
      <c r="R97" s="276"/>
      <c r="S97" s="276"/>
      <c r="T97" s="276"/>
      <c r="U97" s="276"/>
      <c r="V97" s="276"/>
      <c r="W97" s="276"/>
      <c r="X97" s="354"/>
      <c r="Y97" s="276"/>
      <c r="Z97" s="276"/>
      <c r="AA97" s="276"/>
      <c r="AB97" s="276"/>
      <c r="AC97" s="276"/>
      <c r="AD97" s="276"/>
      <c r="AE97" s="276"/>
      <c r="AF97" s="276"/>
      <c r="AG97" s="276"/>
      <c r="AH97" s="276"/>
      <c r="AI97" s="276"/>
      <c r="AJ97" s="276"/>
      <c r="AK97" s="276"/>
    </row>
    <row r="98" spans="1:37" ht="15.75" customHeight="1" x14ac:dyDescent="0.25">
      <c r="A98" s="533"/>
      <c r="B98" s="276"/>
      <c r="C98" s="276"/>
      <c r="D98" s="276"/>
      <c r="E98" s="276"/>
      <c r="F98" s="276"/>
      <c r="G98" s="353"/>
      <c r="H98" s="276"/>
      <c r="I98" s="276"/>
      <c r="J98" s="276"/>
      <c r="K98" s="276"/>
      <c r="L98" s="276"/>
      <c r="M98" s="276"/>
      <c r="N98" s="276"/>
      <c r="O98" s="276"/>
      <c r="P98" s="276"/>
      <c r="Q98" s="276"/>
      <c r="R98" s="276"/>
      <c r="S98" s="276"/>
      <c r="T98" s="276"/>
      <c r="U98" s="276"/>
      <c r="V98" s="276"/>
      <c r="W98" s="276"/>
      <c r="X98" s="354"/>
      <c r="Y98" s="276"/>
      <c r="Z98" s="276"/>
      <c r="AA98" s="276"/>
      <c r="AB98" s="276"/>
      <c r="AC98" s="276"/>
      <c r="AD98" s="276"/>
      <c r="AE98" s="276"/>
      <c r="AF98" s="276"/>
      <c r="AG98" s="276"/>
      <c r="AH98" s="276"/>
      <c r="AI98" s="276"/>
      <c r="AJ98" s="276"/>
      <c r="AK98" s="276"/>
    </row>
    <row r="99" spans="1:37" ht="15.75" customHeight="1" x14ac:dyDescent="0.25">
      <c r="A99" s="533"/>
      <c r="B99" s="276"/>
      <c r="C99" s="276"/>
      <c r="D99" s="276"/>
      <c r="E99" s="276"/>
      <c r="F99" s="276"/>
      <c r="G99" s="353"/>
      <c r="H99" s="276"/>
      <c r="I99" s="276"/>
      <c r="J99" s="276"/>
      <c r="K99" s="276"/>
      <c r="L99" s="276"/>
      <c r="M99" s="276"/>
      <c r="N99" s="276"/>
      <c r="O99" s="276"/>
      <c r="P99" s="276"/>
      <c r="Q99" s="276"/>
      <c r="R99" s="276"/>
      <c r="S99" s="276"/>
      <c r="T99" s="276"/>
      <c r="U99" s="276"/>
      <c r="V99" s="276"/>
      <c r="W99" s="276"/>
      <c r="X99" s="354"/>
      <c r="Y99" s="276"/>
      <c r="Z99" s="276"/>
      <c r="AA99" s="276"/>
      <c r="AB99" s="276"/>
      <c r="AC99" s="276"/>
      <c r="AD99" s="276"/>
      <c r="AE99" s="276"/>
      <c r="AF99" s="276"/>
      <c r="AG99" s="276"/>
      <c r="AH99" s="276"/>
      <c r="AI99" s="276"/>
      <c r="AJ99" s="276"/>
      <c r="AK99" s="276"/>
    </row>
    <row r="100" spans="1:37" ht="15.75" customHeight="1" x14ac:dyDescent="0.25">
      <c r="A100" s="533"/>
      <c r="B100" s="276"/>
      <c r="C100" s="276"/>
      <c r="D100" s="276"/>
      <c r="E100" s="276"/>
      <c r="F100" s="276"/>
      <c r="G100" s="353"/>
      <c r="H100" s="276"/>
      <c r="I100" s="276"/>
      <c r="J100" s="276"/>
      <c r="K100" s="276"/>
      <c r="L100" s="276"/>
      <c r="M100" s="276"/>
      <c r="N100" s="276"/>
      <c r="O100" s="276"/>
      <c r="P100" s="276"/>
      <c r="Q100" s="276"/>
      <c r="R100" s="276"/>
      <c r="S100" s="276"/>
      <c r="T100" s="276"/>
      <c r="U100" s="276"/>
      <c r="V100" s="276"/>
      <c r="W100" s="276"/>
      <c r="X100" s="354"/>
      <c r="Y100" s="276"/>
      <c r="Z100" s="276"/>
      <c r="AA100" s="276"/>
      <c r="AB100" s="276"/>
      <c r="AC100" s="276"/>
      <c r="AD100" s="276"/>
      <c r="AE100" s="276"/>
      <c r="AF100" s="276"/>
      <c r="AG100" s="276"/>
      <c r="AH100" s="276"/>
      <c r="AI100" s="276"/>
      <c r="AJ100" s="276"/>
      <c r="AK100" s="276"/>
    </row>
    <row r="101" spans="1:37" ht="15.75" customHeight="1" x14ac:dyDescent="0.25">
      <c r="A101" s="533"/>
      <c r="B101" s="276"/>
      <c r="C101" s="276"/>
      <c r="D101" s="276"/>
      <c r="E101" s="276"/>
      <c r="F101" s="276"/>
      <c r="G101" s="353"/>
      <c r="H101" s="276"/>
      <c r="I101" s="276"/>
      <c r="J101" s="276"/>
      <c r="K101" s="276"/>
      <c r="L101" s="276"/>
      <c r="M101" s="276"/>
      <c r="N101" s="276"/>
      <c r="O101" s="276"/>
      <c r="P101" s="276"/>
      <c r="Q101" s="276"/>
      <c r="R101" s="276"/>
      <c r="S101" s="276"/>
      <c r="T101" s="276"/>
      <c r="U101" s="276"/>
      <c r="V101" s="276"/>
      <c r="W101" s="276"/>
      <c r="X101" s="354"/>
      <c r="Y101" s="276"/>
      <c r="Z101" s="276"/>
      <c r="AA101" s="276"/>
      <c r="AB101" s="276"/>
      <c r="AC101" s="276"/>
      <c r="AD101" s="276"/>
      <c r="AE101" s="276"/>
      <c r="AF101" s="276"/>
      <c r="AG101" s="276"/>
      <c r="AH101" s="276"/>
      <c r="AI101" s="276"/>
      <c r="AJ101" s="276"/>
      <c r="AK101" s="276"/>
    </row>
    <row r="102" spans="1:37" ht="15.75" customHeight="1" x14ac:dyDescent="0.25">
      <c r="A102" s="533"/>
      <c r="B102" s="276"/>
      <c r="C102" s="276"/>
      <c r="D102" s="276"/>
      <c r="E102" s="276"/>
      <c r="F102" s="276"/>
      <c r="G102" s="353"/>
      <c r="H102" s="276"/>
      <c r="I102" s="276"/>
      <c r="J102" s="276"/>
      <c r="K102" s="276"/>
      <c r="L102" s="276"/>
      <c r="M102" s="276"/>
      <c r="N102" s="276"/>
      <c r="O102" s="276"/>
      <c r="P102" s="276"/>
      <c r="Q102" s="276"/>
      <c r="R102" s="276"/>
      <c r="S102" s="276"/>
      <c r="T102" s="276"/>
      <c r="U102" s="276"/>
      <c r="V102" s="276"/>
      <c r="W102" s="276"/>
      <c r="X102" s="354"/>
      <c r="Y102" s="276"/>
      <c r="Z102" s="276"/>
      <c r="AA102" s="276"/>
      <c r="AB102" s="276"/>
      <c r="AC102" s="276"/>
      <c r="AD102" s="276"/>
      <c r="AE102" s="276"/>
      <c r="AF102" s="276"/>
      <c r="AG102" s="276"/>
      <c r="AH102" s="276"/>
      <c r="AI102" s="276"/>
      <c r="AJ102" s="276"/>
      <c r="AK102" s="276"/>
    </row>
    <row r="103" spans="1:37" ht="15.75" customHeight="1" x14ac:dyDescent="0.25">
      <c r="A103" s="533"/>
      <c r="B103" s="276"/>
      <c r="C103" s="276"/>
      <c r="D103" s="276"/>
      <c r="E103" s="276"/>
      <c r="F103" s="276"/>
      <c r="G103" s="353"/>
      <c r="H103" s="276"/>
      <c r="I103" s="276"/>
      <c r="J103" s="276"/>
      <c r="K103" s="276"/>
      <c r="L103" s="276"/>
      <c r="M103" s="276"/>
      <c r="N103" s="276"/>
      <c r="O103" s="276"/>
      <c r="P103" s="276"/>
      <c r="Q103" s="276"/>
      <c r="R103" s="276"/>
      <c r="S103" s="276"/>
      <c r="T103" s="276"/>
      <c r="U103" s="276"/>
      <c r="V103" s="276"/>
      <c r="W103" s="276"/>
      <c r="X103" s="354"/>
      <c r="Y103" s="276"/>
      <c r="Z103" s="276"/>
      <c r="AA103" s="276"/>
      <c r="AB103" s="276"/>
      <c r="AC103" s="276"/>
      <c r="AD103" s="276"/>
      <c r="AE103" s="276"/>
      <c r="AF103" s="276"/>
      <c r="AG103" s="276"/>
      <c r="AH103" s="276"/>
      <c r="AI103" s="276"/>
      <c r="AJ103" s="276"/>
      <c r="AK103" s="276"/>
    </row>
    <row r="104" spans="1:37" ht="15.75" customHeight="1" x14ac:dyDescent="0.25">
      <c r="A104" s="533"/>
      <c r="B104" s="276"/>
      <c r="C104" s="276"/>
      <c r="D104" s="276"/>
      <c r="E104" s="276"/>
      <c r="F104" s="276"/>
      <c r="G104" s="353"/>
      <c r="H104" s="276"/>
      <c r="I104" s="276"/>
      <c r="J104" s="276"/>
      <c r="K104" s="276"/>
      <c r="L104" s="276"/>
      <c r="M104" s="276"/>
      <c r="N104" s="276"/>
      <c r="O104" s="276"/>
      <c r="P104" s="276"/>
      <c r="Q104" s="276"/>
      <c r="R104" s="276"/>
      <c r="S104" s="276"/>
      <c r="T104" s="276"/>
      <c r="U104" s="276"/>
      <c r="V104" s="276"/>
      <c r="W104" s="276"/>
      <c r="X104" s="354"/>
      <c r="Y104" s="276"/>
      <c r="Z104" s="276"/>
      <c r="AA104" s="276"/>
      <c r="AB104" s="276"/>
      <c r="AC104" s="276"/>
      <c r="AD104" s="276"/>
      <c r="AE104" s="276"/>
      <c r="AF104" s="276"/>
      <c r="AG104" s="276"/>
      <c r="AH104" s="276"/>
      <c r="AI104" s="276"/>
      <c r="AJ104" s="276"/>
      <c r="AK104" s="276"/>
    </row>
    <row r="105" spans="1:37" ht="15.75" customHeight="1" x14ac:dyDescent="0.25">
      <c r="A105" s="533"/>
      <c r="B105" s="276"/>
      <c r="C105" s="276"/>
      <c r="D105" s="276"/>
      <c r="E105" s="276"/>
      <c r="F105" s="276"/>
      <c r="G105" s="353"/>
      <c r="H105" s="276"/>
      <c r="I105" s="276"/>
      <c r="J105" s="276"/>
      <c r="K105" s="276"/>
      <c r="L105" s="276"/>
      <c r="M105" s="276"/>
      <c r="N105" s="276"/>
      <c r="O105" s="276"/>
      <c r="P105" s="276"/>
      <c r="Q105" s="276"/>
      <c r="R105" s="276"/>
      <c r="S105" s="276"/>
      <c r="T105" s="276"/>
      <c r="U105" s="276"/>
      <c r="V105" s="276"/>
      <c r="W105" s="276"/>
      <c r="X105" s="354"/>
      <c r="Y105" s="276"/>
      <c r="Z105" s="276"/>
      <c r="AA105" s="276"/>
      <c r="AB105" s="276"/>
      <c r="AC105" s="276"/>
      <c r="AD105" s="276"/>
      <c r="AE105" s="276"/>
      <c r="AF105" s="276"/>
      <c r="AG105" s="276"/>
      <c r="AH105" s="276"/>
      <c r="AI105" s="276"/>
      <c r="AJ105" s="276"/>
      <c r="AK105" s="276"/>
    </row>
    <row r="106" spans="1:37" ht="15.75" customHeight="1" x14ac:dyDescent="0.25">
      <c r="A106" s="533"/>
      <c r="B106" s="276"/>
      <c r="C106" s="276"/>
      <c r="D106" s="276"/>
      <c r="E106" s="276"/>
      <c r="F106" s="276"/>
      <c r="G106" s="353"/>
      <c r="H106" s="276"/>
      <c r="I106" s="276"/>
      <c r="J106" s="276"/>
      <c r="K106" s="276"/>
      <c r="L106" s="276"/>
      <c r="M106" s="276"/>
      <c r="N106" s="276"/>
      <c r="O106" s="276"/>
      <c r="P106" s="276"/>
      <c r="Q106" s="276"/>
      <c r="R106" s="276"/>
      <c r="S106" s="276"/>
      <c r="T106" s="276"/>
      <c r="U106" s="276"/>
      <c r="V106" s="276"/>
      <c r="W106" s="276"/>
      <c r="X106" s="354"/>
      <c r="Y106" s="276"/>
      <c r="Z106" s="276"/>
      <c r="AA106" s="276"/>
      <c r="AB106" s="276"/>
      <c r="AC106" s="276"/>
      <c r="AD106" s="276"/>
      <c r="AE106" s="276"/>
      <c r="AF106" s="276"/>
      <c r="AG106" s="276"/>
      <c r="AH106" s="276"/>
      <c r="AI106" s="276"/>
      <c r="AJ106" s="276"/>
      <c r="AK106" s="276"/>
    </row>
    <row r="107" spans="1:37" ht="15.75" customHeight="1" x14ac:dyDescent="0.25">
      <c r="A107" s="533"/>
      <c r="B107" s="276"/>
      <c r="C107" s="276"/>
      <c r="D107" s="276"/>
      <c r="E107" s="276"/>
      <c r="F107" s="276"/>
      <c r="G107" s="353"/>
      <c r="H107" s="276"/>
      <c r="I107" s="276"/>
      <c r="J107" s="276"/>
      <c r="K107" s="276"/>
      <c r="L107" s="276"/>
      <c r="M107" s="276"/>
      <c r="N107" s="276"/>
      <c r="O107" s="276"/>
      <c r="P107" s="276"/>
      <c r="Q107" s="276"/>
      <c r="R107" s="276"/>
      <c r="S107" s="276"/>
      <c r="T107" s="276"/>
      <c r="U107" s="276"/>
      <c r="V107" s="276"/>
      <c r="W107" s="276"/>
      <c r="X107" s="354"/>
      <c r="Y107" s="276"/>
      <c r="Z107" s="276"/>
      <c r="AA107" s="276"/>
      <c r="AB107" s="276"/>
      <c r="AC107" s="276"/>
      <c r="AD107" s="276"/>
      <c r="AE107" s="276"/>
      <c r="AF107" s="276"/>
      <c r="AG107" s="276"/>
      <c r="AH107" s="276"/>
      <c r="AI107" s="276"/>
      <c r="AJ107" s="276"/>
      <c r="AK107" s="276"/>
    </row>
    <row r="108" spans="1:37" ht="15.75" customHeight="1" x14ac:dyDescent="0.25">
      <c r="A108" s="533"/>
      <c r="B108" s="276"/>
      <c r="C108" s="276"/>
      <c r="D108" s="276"/>
      <c r="E108" s="276"/>
      <c r="F108" s="276"/>
      <c r="G108" s="353"/>
      <c r="H108" s="276"/>
      <c r="I108" s="276"/>
      <c r="J108" s="276"/>
      <c r="K108" s="276"/>
      <c r="L108" s="276"/>
      <c r="M108" s="276"/>
      <c r="N108" s="276"/>
      <c r="O108" s="276"/>
      <c r="P108" s="276"/>
      <c r="Q108" s="276"/>
      <c r="R108" s="276"/>
      <c r="S108" s="276"/>
      <c r="T108" s="276"/>
      <c r="U108" s="276"/>
      <c r="V108" s="276"/>
      <c r="W108" s="276"/>
      <c r="X108" s="354"/>
      <c r="Y108" s="276"/>
      <c r="Z108" s="276"/>
      <c r="AA108" s="276"/>
      <c r="AB108" s="276"/>
      <c r="AC108" s="276"/>
      <c r="AD108" s="276"/>
      <c r="AE108" s="276"/>
      <c r="AF108" s="276"/>
      <c r="AG108" s="276"/>
      <c r="AH108" s="276"/>
      <c r="AI108" s="276"/>
      <c r="AJ108" s="276"/>
      <c r="AK108" s="276"/>
    </row>
    <row r="109" spans="1:37" ht="15.75" customHeight="1" x14ac:dyDescent="0.25">
      <c r="A109" s="533"/>
      <c r="B109" s="276"/>
      <c r="C109" s="276"/>
      <c r="D109" s="276"/>
      <c r="E109" s="276"/>
      <c r="F109" s="276"/>
      <c r="G109" s="353"/>
      <c r="H109" s="276"/>
      <c r="I109" s="276"/>
      <c r="J109" s="276"/>
      <c r="K109" s="276"/>
      <c r="L109" s="276"/>
      <c r="M109" s="276"/>
      <c r="N109" s="276"/>
      <c r="O109" s="276"/>
      <c r="P109" s="276"/>
      <c r="Q109" s="276"/>
      <c r="R109" s="276"/>
      <c r="S109" s="276"/>
      <c r="T109" s="276"/>
      <c r="U109" s="276"/>
      <c r="V109" s="276"/>
      <c r="W109" s="276"/>
      <c r="X109" s="354"/>
      <c r="Y109" s="276"/>
      <c r="Z109" s="276"/>
      <c r="AA109" s="276"/>
      <c r="AB109" s="276"/>
      <c r="AC109" s="276"/>
      <c r="AD109" s="276"/>
      <c r="AE109" s="276"/>
      <c r="AF109" s="276"/>
      <c r="AG109" s="276"/>
      <c r="AH109" s="276"/>
      <c r="AI109" s="276"/>
      <c r="AJ109" s="276"/>
      <c r="AK109" s="276"/>
    </row>
    <row r="110" spans="1:37" ht="15.75" customHeight="1" x14ac:dyDescent="0.25">
      <c r="A110" s="533"/>
      <c r="B110" s="276"/>
      <c r="C110" s="276"/>
      <c r="D110" s="276"/>
      <c r="E110" s="276"/>
      <c r="F110" s="276"/>
      <c r="G110" s="353"/>
      <c r="H110" s="276"/>
      <c r="I110" s="276"/>
      <c r="J110" s="276"/>
      <c r="K110" s="276"/>
      <c r="L110" s="276"/>
      <c r="M110" s="276"/>
      <c r="N110" s="276"/>
      <c r="O110" s="276"/>
      <c r="P110" s="276"/>
      <c r="Q110" s="276"/>
      <c r="R110" s="276"/>
      <c r="S110" s="276"/>
      <c r="T110" s="276"/>
      <c r="U110" s="276"/>
      <c r="V110" s="276"/>
      <c r="W110" s="276"/>
      <c r="X110" s="354"/>
      <c r="Y110" s="276"/>
      <c r="Z110" s="276"/>
      <c r="AA110" s="276"/>
      <c r="AB110" s="276"/>
      <c r="AC110" s="276"/>
      <c r="AD110" s="276"/>
      <c r="AE110" s="276"/>
      <c r="AF110" s="276"/>
      <c r="AG110" s="276"/>
      <c r="AH110" s="276"/>
      <c r="AI110" s="276"/>
      <c r="AJ110" s="276"/>
      <c r="AK110" s="276"/>
    </row>
    <row r="111" spans="1:37" ht="15.75" customHeight="1" x14ac:dyDescent="0.25">
      <c r="A111" s="533"/>
      <c r="B111" s="276"/>
      <c r="C111" s="276"/>
      <c r="D111" s="276"/>
      <c r="E111" s="276"/>
      <c r="F111" s="276"/>
      <c r="G111" s="353"/>
      <c r="H111" s="276"/>
      <c r="I111" s="276"/>
      <c r="J111" s="276"/>
      <c r="K111" s="276"/>
      <c r="L111" s="276"/>
      <c r="M111" s="276"/>
      <c r="N111" s="276"/>
      <c r="O111" s="276"/>
      <c r="P111" s="276"/>
      <c r="Q111" s="276"/>
      <c r="R111" s="276"/>
      <c r="S111" s="276"/>
      <c r="T111" s="276"/>
      <c r="U111" s="276"/>
      <c r="V111" s="276"/>
      <c r="W111" s="276"/>
      <c r="X111" s="354"/>
      <c r="Y111" s="276"/>
      <c r="Z111" s="276"/>
      <c r="AA111" s="276"/>
      <c r="AB111" s="276"/>
      <c r="AC111" s="276"/>
      <c r="AD111" s="276"/>
      <c r="AE111" s="276"/>
      <c r="AF111" s="276"/>
      <c r="AG111" s="276"/>
      <c r="AH111" s="276"/>
      <c r="AI111" s="276"/>
      <c r="AJ111" s="276"/>
      <c r="AK111" s="276"/>
    </row>
    <row r="112" spans="1:37" ht="15.75" customHeight="1" x14ac:dyDescent="0.25">
      <c r="A112" s="533"/>
      <c r="B112" s="276"/>
      <c r="C112" s="276"/>
      <c r="D112" s="276"/>
      <c r="E112" s="276"/>
      <c r="F112" s="276"/>
      <c r="G112" s="353"/>
      <c r="H112" s="276"/>
      <c r="I112" s="276"/>
      <c r="J112" s="276"/>
      <c r="K112" s="276"/>
      <c r="L112" s="276"/>
      <c r="M112" s="276"/>
      <c r="N112" s="276"/>
      <c r="O112" s="276"/>
      <c r="P112" s="276"/>
      <c r="Q112" s="276"/>
      <c r="R112" s="276"/>
      <c r="S112" s="276"/>
      <c r="T112" s="276"/>
      <c r="U112" s="276"/>
      <c r="V112" s="276"/>
      <c r="W112" s="276"/>
      <c r="X112" s="354"/>
      <c r="Y112" s="276"/>
      <c r="Z112" s="276"/>
      <c r="AA112" s="276"/>
      <c r="AB112" s="276"/>
      <c r="AC112" s="276"/>
      <c r="AD112" s="276"/>
      <c r="AE112" s="276"/>
      <c r="AF112" s="276"/>
      <c r="AG112" s="276"/>
      <c r="AH112" s="276"/>
      <c r="AI112" s="276"/>
      <c r="AJ112" s="276"/>
      <c r="AK112" s="276"/>
    </row>
    <row r="113" spans="1:37" ht="15.75" customHeight="1" x14ac:dyDescent="0.25">
      <c r="A113" s="533"/>
      <c r="B113" s="276"/>
      <c r="C113" s="276"/>
      <c r="D113" s="276"/>
      <c r="E113" s="276"/>
      <c r="F113" s="276"/>
      <c r="G113" s="353"/>
      <c r="H113" s="276"/>
      <c r="I113" s="276"/>
      <c r="J113" s="276"/>
      <c r="K113" s="276"/>
      <c r="L113" s="276"/>
      <c r="M113" s="276"/>
      <c r="N113" s="276"/>
      <c r="O113" s="276"/>
      <c r="P113" s="276"/>
      <c r="Q113" s="276"/>
      <c r="R113" s="276"/>
      <c r="S113" s="276"/>
      <c r="T113" s="276"/>
      <c r="U113" s="276"/>
      <c r="V113" s="276"/>
      <c r="W113" s="276"/>
      <c r="X113" s="354"/>
      <c r="Y113" s="276"/>
      <c r="Z113" s="276"/>
      <c r="AA113" s="276"/>
      <c r="AB113" s="276"/>
      <c r="AC113" s="276"/>
      <c r="AD113" s="276"/>
      <c r="AE113" s="276"/>
      <c r="AF113" s="276"/>
      <c r="AG113" s="276"/>
      <c r="AH113" s="276"/>
      <c r="AI113" s="276"/>
      <c r="AJ113" s="276"/>
      <c r="AK113" s="276"/>
    </row>
    <row r="114" spans="1:37" ht="15.75" customHeight="1" x14ac:dyDescent="0.25">
      <c r="A114" s="533"/>
      <c r="B114" s="276"/>
      <c r="C114" s="276"/>
      <c r="D114" s="276"/>
      <c r="E114" s="276"/>
      <c r="F114" s="276"/>
      <c r="G114" s="353"/>
      <c r="H114" s="276"/>
      <c r="I114" s="276"/>
      <c r="J114" s="276"/>
      <c r="K114" s="276"/>
      <c r="L114" s="276"/>
      <c r="M114" s="276"/>
      <c r="N114" s="276"/>
      <c r="O114" s="276"/>
      <c r="P114" s="276"/>
      <c r="Q114" s="276"/>
      <c r="R114" s="276"/>
      <c r="S114" s="276"/>
      <c r="T114" s="276"/>
      <c r="U114" s="276"/>
      <c r="V114" s="276"/>
      <c r="W114" s="276"/>
      <c r="X114" s="354"/>
      <c r="Y114" s="276"/>
      <c r="Z114" s="276"/>
      <c r="AA114" s="276"/>
      <c r="AB114" s="276"/>
      <c r="AC114" s="276"/>
      <c r="AD114" s="276"/>
      <c r="AE114" s="276"/>
      <c r="AF114" s="276"/>
      <c r="AG114" s="276"/>
      <c r="AH114" s="276"/>
      <c r="AI114" s="276"/>
      <c r="AJ114" s="276"/>
      <c r="AK114" s="276"/>
    </row>
    <row r="115" spans="1:37" ht="15.75" customHeight="1" x14ac:dyDescent="0.25">
      <c r="A115" s="533"/>
      <c r="B115" s="276"/>
      <c r="C115" s="276"/>
      <c r="D115" s="276"/>
      <c r="E115" s="276"/>
      <c r="F115" s="276"/>
      <c r="G115" s="353"/>
      <c r="H115" s="276"/>
      <c r="I115" s="276"/>
      <c r="J115" s="276"/>
      <c r="K115" s="276"/>
      <c r="L115" s="276"/>
      <c r="M115" s="276"/>
      <c r="N115" s="276"/>
      <c r="O115" s="276"/>
      <c r="P115" s="276"/>
      <c r="Q115" s="276"/>
      <c r="R115" s="276"/>
      <c r="S115" s="276"/>
      <c r="T115" s="276"/>
      <c r="U115" s="276"/>
      <c r="V115" s="276"/>
      <c r="W115" s="276"/>
      <c r="X115" s="354"/>
      <c r="Y115" s="276"/>
      <c r="Z115" s="276"/>
      <c r="AA115" s="276"/>
      <c r="AB115" s="276"/>
      <c r="AC115" s="276"/>
      <c r="AD115" s="276"/>
      <c r="AE115" s="276"/>
      <c r="AF115" s="276"/>
      <c r="AG115" s="276"/>
      <c r="AH115" s="276"/>
      <c r="AI115" s="276"/>
      <c r="AJ115" s="276"/>
      <c r="AK115" s="276"/>
    </row>
    <row r="116" spans="1:37" ht="15.75" customHeight="1" x14ac:dyDescent="0.25">
      <c r="A116" s="533"/>
      <c r="B116" s="276"/>
      <c r="C116" s="276"/>
      <c r="D116" s="276"/>
      <c r="E116" s="276"/>
      <c r="F116" s="276"/>
      <c r="G116" s="353"/>
      <c r="H116" s="276"/>
      <c r="I116" s="276"/>
      <c r="J116" s="276"/>
      <c r="K116" s="276"/>
      <c r="L116" s="276"/>
      <c r="M116" s="276"/>
      <c r="N116" s="276"/>
      <c r="O116" s="276"/>
      <c r="P116" s="276"/>
      <c r="Q116" s="276"/>
      <c r="R116" s="276"/>
      <c r="S116" s="276"/>
      <c r="T116" s="276"/>
      <c r="U116" s="276"/>
      <c r="V116" s="276"/>
      <c r="W116" s="276"/>
      <c r="X116" s="354"/>
      <c r="Y116" s="276"/>
      <c r="Z116" s="276"/>
      <c r="AA116" s="276"/>
      <c r="AB116" s="276"/>
      <c r="AC116" s="276"/>
      <c r="AD116" s="276"/>
      <c r="AE116" s="276"/>
      <c r="AF116" s="276"/>
      <c r="AG116" s="276"/>
      <c r="AH116" s="276"/>
      <c r="AI116" s="276"/>
      <c r="AJ116" s="276"/>
      <c r="AK116" s="276"/>
    </row>
    <row r="117" spans="1:37" ht="15.75" customHeight="1" x14ac:dyDescent="0.25">
      <c r="A117" s="533"/>
      <c r="B117" s="276"/>
      <c r="C117" s="276"/>
      <c r="D117" s="276"/>
      <c r="E117" s="276"/>
      <c r="F117" s="276"/>
      <c r="G117" s="353"/>
      <c r="H117" s="276"/>
      <c r="I117" s="276"/>
      <c r="J117" s="276"/>
      <c r="K117" s="276"/>
      <c r="L117" s="276"/>
      <c r="M117" s="276"/>
      <c r="N117" s="276"/>
      <c r="O117" s="276"/>
      <c r="P117" s="276"/>
      <c r="Q117" s="276"/>
      <c r="R117" s="276"/>
      <c r="S117" s="276"/>
      <c r="T117" s="276"/>
      <c r="U117" s="276"/>
      <c r="V117" s="276"/>
      <c r="W117" s="276"/>
      <c r="X117" s="354"/>
      <c r="Y117" s="276"/>
      <c r="Z117" s="276"/>
      <c r="AA117" s="276"/>
      <c r="AB117" s="276"/>
      <c r="AC117" s="276"/>
      <c r="AD117" s="276"/>
      <c r="AE117" s="276"/>
      <c r="AF117" s="276"/>
      <c r="AG117" s="276"/>
      <c r="AH117" s="276"/>
      <c r="AI117" s="276"/>
      <c r="AJ117" s="276"/>
      <c r="AK117" s="276"/>
    </row>
    <row r="118" spans="1:37" ht="15.75" customHeight="1" x14ac:dyDescent="0.25">
      <c r="A118" s="533"/>
      <c r="B118" s="276"/>
      <c r="C118" s="276"/>
      <c r="D118" s="276"/>
      <c r="E118" s="276"/>
      <c r="F118" s="276"/>
      <c r="G118" s="353"/>
      <c r="H118" s="276"/>
      <c r="I118" s="276"/>
      <c r="J118" s="276"/>
      <c r="K118" s="276"/>
      <c r="L118" s="276"/>
      <c r="M118" s="276"/>
      <c r="N118" s="276"/>
      <c r="O118" s="276"/>
      <c r="P118" s="276"/>
      <c r="Q118" s="276"/>
      <c r="R118" s="276"/>
      <c r="S118" s="276"/>
      <c r="T118" s="276"/>
      <c r="U118" s="276"/>
      <c r="V118" s="276"/>
      <c r="W118" s="276"/>
      <c r="X118" s="354"/>
      <c r="Y118" s="276"/>
      <c r="Z118" s="276"/>
      <c r="AA118" s="276"/>
      <c r="AB118" s="276"/>
      <c r="AC118" s="276"/>
      <c r="AD118" s="276"/>
      <c r="AE118" s="276"/>
      <c r="AF118" s="276"/>
      <c r="AG118" s="276"/>
      <c r="AH118" s="276"/>
      <c r="AI118" s="276"/>
      <c r="AJ118" s="276"/>
      <c r="AK118" s="276"/>
    </row>
    <row r="119" spans="1:37" ht="15.75" customHeight="1" x14ac:dyDescent="0.25">
      <c r="A119" s="533"/>
      <c r="B119" s="276"/>
      <c r="C119" s="276"/>
      <c r="D119" s="276"/>
      <c r="E119" s="276"/>
      <c r="F119" s="276"/>
      <c r="G119" s="353"/>
      <c r="H119" s="276"/>
      <c r="I119" s="276"/>
      <c r="J119" s="276"/>
      <c r="K119" s="276"/>
      <c r="L119" s="276"/>
      <c r="M119" s="276"/>
      <c r="N119" s="276"/>
      <c r="O119" s="276"/>
      <c r="P119" s="276"/>
      <c r="Q119" s="276"/>
      <c r="R119" s="276"/>
      <c r="S119" s="276"/>
      <c r="T119" s="276"/>
      <c r="U119" s="276"/>
      <c r="V119" s="276"/>
      <c r="W119" s="276"/>
      <c r="X119" s="354"/>
      <c r="Y119" s="276"/>
      <c r="Z119" s="276"/>
      <c r="AA119" s="276"/>
      <c r="AB119" s="276"/>
      <c r="AC119" s="276"/>
      <c r="AD119" s="276"/>
      <c r="AE119" s="276"/>
      <c r="AF119" s="276"/>
      <c r="AG119" s="276"/>
      <c r="AH119" s="276"/>
      <c r="AI119" s="276"/>
      <c r="AJ119" s="276"/>
      <c r="AK119" s="276"/>
    </row>
    <row r="120" spans="1:37" ht="15.75" customHeight="1" x14ac:dyDescent="0.25">
      <c r="A120" s="533"/>
      <c r="B120" s="276"/>
      <c r="C120" s="276"/>
      <c r="D120" s="276"/>
      <c r="E120" s="276"/>
      <c r="F120" s="276"/>
      <c r="G120" s="353"/>
      <c r="H120" s="276"/>
      <c r="I120" s="276"/>
      <c r="J120" s="276"/>
      <c r="K120" s="276"/>
      <c r="L120" s="276"/>
      <c r="M120" s="276"/>
      <c r="N120" s="276"/>
      <c r="O120" s="276"/>
      <c r="P120" s="276"/>
      <c r="Q120" s="276"/>
      <c r="R120" s="276"/>
      <c r="S120" s="276"/>
      <c r="T120" s="276"/>
      <c r="U120" s="276"/>
      <c r="V120" s="276"/>
      <c r="W120" s="276"/>
      <c r="X120" s="354"/>
      <c r="Y120" s="276"/>
      <c r="Z120" s="276"/>
      <c r="AA120" s="276"/>
      <c r="AB120" s="276"/>
      <c r="AC120" s="276"/>
      <c r="AD120" s="276"/>
      <c r="AE120" s="276"/>
      <c r="AF120" s="276"/>
      <c r="AG120" s="276"/>
      <c r="AH120" s="276"/>
      <c r="AI120" s="276"/>
      <c r="AJ120" s="276"/>
      <c r="AK120" s="276"/>
    </row>
    <row r="121" spans="1:37" ht="15.75" customHeight="1" x14ac:dyDescent="0.25">
      <c r="A121" s="533"/>
      <c r="B121" s="276"/>
      <c r="C121" s="276"/>
      <c r="D121" s="276"/>
      <c r="E121" s="276"/>
      <c r="F121" s="276"/>
      <c r="G121" s="353"/>
      <c r="H121" s="276"/>
      <c r="I121" s="276"/>
      <c r="J121" s="276"/>
      <c r="K121" s="276"/>
      <c r="L121" s="276"/>
      <c r="M121" s="276"/>
      <c r="N121" s="276"/>
      <c r="O121" s="276"/>
      <c r="P121" s="276"/>
      <c r="Q121" s="276"/>
      <c r="R121" s="276"/>
      <c r="S121" s="276"/>
      <c r="T121" s="276"/>
      <c r="U121" s="276"/>
      <c r="V121" s="276"/>
      <c r="W121" s="276"/>
      <c r="X121" s="354"/>
      <c r="Y121" s="276"/>
      <c r="Z121" s="276"/>
      <c r="AA121" s="276"/>
      <c r="AB121" s="276"/>
      <c r="AC121" s="276"/>
      <c r="AD121" s="276"/>
      <c r="AE121" s="276"/>
      <c r="AF121" s="276"/>
      <c r="AG121" s="276"/>
      <c r="AH121" s="276"/>
      <c r="AI121" s="276"/>
      <c r="AJ121" s="276"/>
      <c r="AK121" s="276"/>
    </row>
    <row r="122" spans="1:37" ht="15.75" customHeight="1" x14ac:dyDescent="0.25">
      <c r="A122" s="533"/>
      <c r="B122" s="276"/>
      <c r="C122" s="276"/>
      <c r="D122" s="276"/>
      <c r="E122" s="276"/>
      <c r="F122" s="276"/>
      <c r="G122" s="353"/>
      <c r="H122" s="276"/>
      <c r="I122" s="276"/>
      <c r="J122" s="276"/>
      <c r="K122" s="276"/>
      <c r="L122" s="276"/>
      <c r="M122" s="276"/>
      <c r="N122" s="276"/>
      <c r="O122" s="276"/>
      <c r="P122" s="276"/>
      <c r="Q122" s="276"/>
      <c r="R122" s="276"/>
      <c r="S122" s="276"/>
      <c r="T122" s="276"/>
      <c r="U122" s="276"/>
      <c r="V122" s="276"/>
      <c r="W122" s="276"/>
      <c r="X122" s="354"/>
      <c r="Y122" s="276"/>
      <c r="Z122" s="276"/>
      <c r="AA122" s="276"/>
      <c r="AB122" s="276"/>
      <c r="AC122" s="276"/>
      <c r="AD122" s="276"/>
      <c r="AE122" s="276"/>
      <c r="AF122" s="276"/>
      <c r="AG122" s="276"/>
      <c r="AH122" s="276"/>
      <c r="AI122" s="276"/>
      <c r="AJ122" s="276"/>
      <c r="AK122" s="276"/>
    </row>
    <row r="123" spans="1:37" ht="15.75" customHeight="1" x14ac:dyDescent="0.25">
      <c r="A123" s="533"/>
      <c r="B123" s="276"/>
      <c r="C123" s="276"/>
      <c r="D123" s="276"/>
      <c r="E123" s="276"/>
      <c r="F123" s="276"/>
      <c r="G123" s="353"/>
      <c r="H123" s="276"/>
      <c r="I123" s="276"/>
      <c r="J123" s="276"/>
      <c r="K123" s="276"/>
      <c r="L123" s="276"/>
      <c r="M123" s="276"/>
      <c r="N123" s="276"/>
      <c r="O123" s="276"/>
      <c r="P123" s="276"/>
      <c r="Q123" s="276"/>
      <c r="R123" s="276"/>
      <c r="S123" s="276"/>
      <c r="T123" s="276"/>
      <c r="U123" s="276"/>
      <c r="V123" s="276"/>
      <c r="W123" s="276"/>
      <c r="X123" s="354"/>
      <c r="Y123" s="276"/>
      <c r="Z123" s="276"/>
      <c r="AA123" s="276"/>
      <c r="AB123" s="276"/>
      <c r="AC123" s="276"/>
      <c r="AD123" s="276"/>
      <c r="AE123" s="276"/>
      <c r="AF123" s="276"/>
      <c r="AG123" s="276"/>
      <c r="AH123" s="276"/>
      <c r="AI123" s="276"/>
      <c r="AJ123" s="276"/>
      <c r="AK123" s="276"/>
    </row>
    <row r="124" spans="1:37" ht="15.75" customHeight="1" x14ac:dyDescent="0.25">
      <c r="A124" s="533"/>
      <c r="B124" s="276"/>
      <c r="C124" s="276"/>
      <c r="D124" s="276"/>
      <c r="E124" s="276"/>
      <c r="F124" s="276"/>
      <c r="G124" s="353"/>
      <c r="H124" s="276"/>
      <c r="I124" s="276"/>
      <c r="J124" s="276"/>
      <c r="K124" s="276"/>
      <c r="L124" s="276"/>
      <c r="M124" s="276"/>
      <c r="N124" s="276"/>
      <c r="O124" s="276"/>
      <c r="P124" s="276"/>
      <c r="Q124" s="276"/>
      <c r="R124" s="276"/>
      <c r="S124" s="276"/>
      <c r="T124" s="276"/>
      <c r="U124" s="276"/>
      <c r="V124" s="276"/>
      <c r="W124" s="276"/>
      <c r="X124" s="354"/>
      <c r="Y124" s="276"/>
      <c r="Z124" s="276"/>
      <c r="AA124" s="276"/>
      <c r="AB124" s="276"/>
      <c r="AC124" s="276"/>
      <c r="AD124" s="276"/>
      <c r="AE124" s="276"/>
      <c r="AF124" s="276"/>
      <c r="AG124" s="276"/>
      <c r="AH124" s="276"/>
      <c r="AI124" s="276"/>
      <c r="AJ124" s="276"/>
      <c r="AK124" s="276"/>
    </row>
    <row r="125" spans="1:37" ht="15.75" customHeight="1" x14ac:dyDescent="0.25">
      <c r="A125" s="533"/>
      <c r="B125" s="276"/>
      <c r="C125" s="276"/>
      <c r="D125" s="276"/>
      <c r="E125" s="276"/>
      <c r="F125" s="276"/>
      <c r="G125" s="353"/>
      <c r="H125" s="276"/>
      <c r="I125" s="276"/>
      <c r="J125" s="276"/>
      <c r="K125" s="276"/>
      <c r="L125" s="276"/>
      <c r="M125" s="276"/>
      <c r="N125" s="276"/>
      <c r="O125" s="276"/>
      <c r="P125" s="276"/>
      <c r="Q125" s="276"/>
      <c r="R125" s="276"/>
      <c r="S125" s="276"/>
      <c r="T125" s="276"/>
      <c r="U125" s="276"/>
      <c r="V125" s="276"/>
      <c r="W125" s="276"/>
      <c r="X125" s="354"/>
      <c r="Y125" s="276"/>
      <c r="Z125" s="276"/>
      <c r="AA125" s="276"/>
      <c r="AB125" s="276"/>
      <c r="AC125" s="276"/>
      <c r="AD125" s="276"/>
      <c r="AE125" s="276"/>
      <c r="AF125" s="276"/>
      <c r="AG125" s="276"/>
      <c r="AH125" s="276"/>
      <c r="AI125" s="276"/>
      <c r="AJ125" s="276"/>
      <c r="AK125" s="276"/>
    </row>
    <row r="126" spans="1:37" ht="15.75" customHeight="1" x14ac:dyDescent="0.25">
      <c r="A126" s="533"/>
      <c r="B126" s="276"/>
      <c r="C126" s="276"/>
      <c r="D126" s="276"/>
      <c r="E126" s="276"/>
      <c r="F126" s="276"/>
      <c r="G126" s="353"/>
      <c r="H126" s="276"/>
      <c r="I126" s="276"/>
      <c r="J126" s="276"/>
      <c r="K126" s="276"/>
      <c r="L126" s="276"/>
      <c r="M126" s="276"/>
      <c r="N126" s="276"/>
      <c r="O126" s="276"/>
      <c r="P126" s="276"/>
      <c r="Q126" s="276"/>
      <c r="R126" s="276"/>
      <c r="S126" s="276"/>
      <c r="T126" s="276"/>
      <c r="U126" s="276"/>
      <c r="V126" s="276"/>
      <c r="W126" s="276"/>
      <c r="X126" s="354"/>
      <c r="Y126" s="276"/>
      <c r="Z126" s="276"/>
      <c r="AA126" s="276"/>
      <c r="AB126" s="276"/>
      <c r="AC126" s="276"/>
      <c r="AD126" s="276"/>
      <c r="AE126" s="276"/>
      <c r="AF126" s="276"/>
      <c r="AG126" s="276"/>
      <c r="AH126" s="276"/>
      <c r="AI126" s="276"/>
      <c r="AJ126" s="276"/>
      <c r="AK126" s="276"/>
    </row>
    <row r="127" spans="1:37" ht="15.75" customHeight="1" x14ac:dyDescent="0.25">
      <c r="A127" s="533"/>
      <c r="B127" s="276"/>
      <c r="C127" s="276"/>
      <c r="D127" s="276"/>
      <c r="E127" s="276"/>
      <c r="F127" s="276"/>
      <c r="G127" s="353"/>
      <c r="H127" s="276"/>
      <c r="I127" s="276"/>
      <c r="J127" s="276"/>
      <c r="K127" s="276"/>
      <c r="L127" s="276"/>
      <c r="M127" s="276"/>
      <c r="N127" s="276"/>
      <c r="O127" s="276"/>
      <c r="P127" s="276"/>
      <c r="Q127" s="276"/>
      <c r="R127" s="276"/>
      <c r="S127" s="276"/>
      <c r="T127" s="276"/>
      <c r="U127" s="276"/>
      <c r="V127" s="276"/>
      <c r="W127" s="276"/>
      <c r="X127" s="354"/>
      <c r="Y127" s="276"/>
      <c r="Z127" s="276"/>
      <c r="AA127" s="276"/>
      <c r="AB127" s="276"/>
      <c r="AC127" s="276"/>
      <c r="AD127" s="276"/>
      <c r="AE127" s="276"/>
      <c r="AF127" s="276"/>
      <c r="AG127" s="276"/>
      <c r="AH127" s="276"/>
      <c r="AI127" s="276"/>
      <c r="AJ127" s="276"/>
      <c r="AK127" s="276"/>
    </row>
    <row r="128" spans="1:37" ht="15.75" customHeight="1" x14ac:dyDescent="0.25">
      <c r="A128" s="533"/>
      <c r="B128" s="276"/>
      <c r="C128" s="276"/>
      <c r="D128" s="276"/>
      <c r="E128" s="276"/>
      <c r="F128" s="276"/>
      <c r="G128" s="353"/>
      <c r="H128" s="276"/>
      <c r="I128" s="276"/>
      <c r="J128" s="276"/>
      <c r="K128" s="276"/>
      <c r="L128" s="276"/>
      <c r="M128" s="276"/>
      <c r="N128" s="276"/>
      <c r="O128" s="276"/>
      <c r="P128" s="276"/>
      <c r="Q128" s="276"/>
      <c r="R128" s="276"/>
      <c r="S128" s="276"/>
      <c r="T128" s="276"/>
      <c r="U128" s="276"/>
      <c r="V128" s="276"/>
      <c r="W128" s="276"/>
      <c r="X128" s="354"/>
      <c r="Y128" s="276"/>
      <c r="Z128" s="276"/>
      <c r="AA128" s="276"/>
      <c r="AB128" s="276"/>
      <c r="AC128" s="276"/>
      <c r="AD128" s="276"/>
      <c r="AE128" s="276"/>
      <c r="AF128" s="276"/>
      <c r="AG128" s="276"/>
      <c r="AH128" s="276"/>
      <c r="AI128" s="276"/>
      <c r="AJ128" s="276"/>
      <c r="AK128" s="276"/>
    </row>
    <row r="129" spans="1:37" ht="15.75" customHeight="1" x14ac:dyDescent="0.25">
      <c r="A129" s="533"/>
      <c r="B129" s="276"/>
      <c r="C129" s="276"/>
      <c r="D129" s="276"/>
      <c r="E129" s="276"/>
      <c r="F129" s="276"/>
      <c r="G129" s="353"/>
      <c r="H129" s="276"/>
      <c r="I129" s="276"/>
      <c r="J129" s="276"/>
      <c r="K129" s="276"/>
      <c r="L129" s="276"/>
      <c r="M129" s="276"/>
      <c r="N129" s="276"/>
      <c r="O129" s="276"/>
      <c r="P129" s="276"/>
      <c r="Q129" s="276"/>
      <c r="R129" s="276"/>
      <c r="S129" s="276"/>
      <c r="T129" s="276"/>
      <c r="U129" s="276"/>
      <c r="V129" s="276"/>
      <c r="W129" s="276"/>
      <c r="X129" s="354"/>
      <c r="Y129" s="276"/>
      <c r="Z129" s="276"/>
      <c r="AA129" s="276"/>
      <c r="AB129" s="276"/>
      <c r="AC129" s="276"/>
      <c r="AD129" s="276"/>
      <c r="AE129" s="276"/>
      <c r="AF129" s="276"/>
      <c r="AG129" s="276"/>
      <c r="AH129" s="276"/>
      <c r="AI129" s="276"/>
      <c r="AJ129" s="276"/>
      <c r="AK129" s="276"/>
    </row>
    <row r="130" spans="1:37" ht="15.75" customHeight="1" x14ac:dyDescent="0.25">
      <c r="A130" s="533"/>
      <c r="B130" s="276"/>
      <c r="C130" s="276"/>
      <c r="D130" s="276"/>
      <c r="E130" s="276"/>
      <c r="F130" s="276"/>
      <c r="G130" s="353"/>
      <c r="H130" s="276"/>
      <c r="I130" s="276"/>
      <c r="J130" s="276"/>
      <c r="K130" s="276"/>
      <c r="L130" s="276"/>
      <c r="M130" s="276"/>
      <c r="N130" s="276"/>
      <c r="O130" s="276"/>
      <c r="P130" s="276"/>
      <c r="Q130" s="276"/>
      <c r="R130" s="276"/>
      <c r="S130" s="276"/>
      <c r="T130" s="276"/>
      <c r="U130" s="276"/>
      <c r="V130" s="276"/>
      <c r="W130" s="276"/>
      <c r="X130" s="354"/>
      <c r="Y130" s="276"/>
      <c r="Z130" s="276"/>
      <c r="AA130" s="276"/>
      <c r="AB130" s="276"/>
      <c r="AC130" s="276"/>
      <c r="AD130" s="276"/>
      <c r="AE130" s="276"/>
      <c r="AF130" s="276"/>
      <c r="AG130" s="276"/>
      <c r="AH130" s="276"/>
      <c r="AI130" s="276"/>
      <c r="AJ130" s="276"/>
      <c r="AK130" s="276"/>
    </row>
    <row r="131" spans="1:37" ht="15.75" customHeight="1" x14ac:dyDescent="0.25">
      <c r="A131" s="533"/>
      <c r="B131" s="276"/>
      <c r="C131" s="276"/>
      <c r="D131" s="276"/>
      <c r="E131" s="276"/>
      <c r="F131" s="276"/>
      <c r="G131" s="353"/>
      <c r="H131" s="276"/>
      <c r="I131" s="276"/>
      <c r="J131" s="276"/>
      <c r="K131" s="276"/>
      <c r="L131" s="276"/>
      <c r="M131" s="276"/>
      <c r="N131" s="276"/>
      <c r="O131" s="276"/>
      <c r="P131" s="276"/>
      <c r="Q131" s="276"/>
      <c r="R131" s="276"/>
      <c r="S131" s="276"/>
      <c r="T131" s="276"/>
      <c r="U131" s="276"/>
      <c r="V131" s="276"/>
      <c r="W131" s="276"/>
      <c r="X131" s="354"/>
      <c r="Y131" s="276"/>
      <c r="Z131" s="276"/>
      <c r="AA131" s="276"/>
      <c r="AB131" s="276"/>
      <c r="AC131" s="276"/>
      <c r="AD131" s="276"/>
      <c r="AE131" s="276"/>
      <c r="AF131" s="276"/>
      <c r="AG131" s="276"/>
      <c r="AH131" s="276"/>
      <c r="AI131" s="276"/>
      <c r="AJ131" s="276"/>
      <c r="AK131" s="276"/>
    </row>
    <row r="132" spans="1:37" ht="15.75" customHeight="1" x14ac:dyDescent="0.25">
      <c r="A132" s="533"/>
      <c r="B132" s="276"/>
      <c r="C132" s="276"/>
      <c r="D132" s="276"/>
      <c r="E132" s="276"/>
      <c r="F132" s="276"/>
      <c r="G132" s="353"/>
      <c r="H132" s="276"/>
      <c r="I132" s="276"/>
      <c r="J132" s="276"/>
      <c r="K132" s="276"/>
      <c r="L132" s="276"/>
      <c r="M132" s="276"/>
      <c r="N132" s="276"/>
      <c r="O132" s="276"/>
      <c r="P132" s="276"/>
      <c r="Q132" s="276"/>
      <c r="R132" s="276"/>
      <c r="S132" s="276"/>
      <c r="T132" s="276"/>
      <c r="U132" s="276"/>
      <c r="V132" s="276"/>
      <c r="W132" s="276"/>
      <c r="X132" s="354"/>
      <c r="Y132" s="276"/>
      <c r="Z132" s="276"/>
      <c r="AA132" s="276"/>
      <c r="AB132" s="276"/>
      <c r="AC132" s="276"/>
      <c r="AD132" s="276"/>
      <c r="AE132" s="276"/>
      <c r="AF132" s="276"/>
      <c r="AG132" s="276"/>
      <c r="AH132" s="276"/>
      <c r="AI132" s="276"/>
      <c r="AJ132" s="276"/>
      <c r="AK132" s="276"/>
    </row>
    <row r="133" spans="1:37" ht="15.75" customHeight="1" x14ac:dyDescent="0.25">
      <c r="A133" s="533"/>
      <c r="B133" s="276"/>
      <c r="C133" s="276"/>
      <c r="D133" s="276"/>
      <c r="E133" s="276"/>
      <c r="F133" s="276"/>
      <c r="G133" s="353"/>
      <c r="H133" s="276"/>
      <c r="I133" s="276"/>
      <c r="J133" s="276"/>
      <c r="K133" s="276"/>
      <c r="L133" s="276"/>
      <c r="M133" s="276"/>
      <c r="N133" s="276"/>
      <c r="O133" s="276"/>
      <c r="P133" s="276"/>
      <c r="Q133" s="276"/>
      <c r="R133" s="276"/>
      <c r="S133" s="276"/>
      <c r="T133" s="276"/>
      <c r="U133" s="276"/>
      <c r="V133" s="276"/>
      <c r="W133" s="276"/>
      <c r="X133" s="354"/>
      <c r="Y133" s="276"/>
      <c r="Z133" s="276"/>
      <c r="AA133" s="276"/>
      <c r="AB133" s="276"/>
      <c r="AC133" s="276"/>
      <c r="AD133" s="276"/>
      <c r="AE133" s="276"/>
      <c r="AF133" s="276"/>
      <c r="AG133" s="276"/>
      <c r="AH133" s="276"/>
      <c r="AI133" s="276"/>
      <c r="AJ133" s="276"/>
      <c r="AK133" s="276"/>
    </row>
    <row r="134" spans="1:37" ht="15.75" customHeight="1" x14ac:dyDescent="0.25">
      <c r="A134" s="533"/>
      <c r="B134" s="276"/>
      <c r="C134" s="276"/>
      <c r="D134" s="276"/>
      <c r="E134" s="276"/>
      <c r="F134" s="276"/>
      <c r="G134" s="353"/>
      <c r="H134" s="276"/>
      <c r="I134" s="276"/>
      <c r="J134" s="276"/>
      <c r="K134" s="276"/>
      <c r="L134" s="276"/>
      <c r="M134" s="276"/>
      <c r="N134" s="276"/>
      <c r="O134" s="276"/>
      <c r="P134" s="276"/>
      <c r="Q134" s="276"/>
      <c r="R134" s="276"/>
      <c r="S134" s="276"/>
      <c r="T134" s="276"/>
      <c r="U134" s="276"/>
      <c r="V134" s="276"/>
      <c r="W134" s="276"/>
      <c r="X134" s="354"/>
      <c r="Y134" s="276"/>
      <c r="Z134" s="276"/>
      <c r="AA134" s="276"/>
      <c r="AB134" s="276"/>
      <c r="AC134" s="276"/>
      <c r="AD134" s="276"/>
      <c r="AE134" s="276"/>
      <c r="AF134" s="276"/>
      <c r="AG134" s="276"/>
      <c r="AH134" s="276"/>
      <c r="AI134" s="276"/>
      <c r="AJ134" s="276"/>
      <c r="AK134" s="276"/>
    </row>
    <row r="135" spans="1:37" ht="15.75" customHeight="1" x14ac:dyDescent="0.25">
      <c r="A135" s="533"/>
      <c r="B135" s="276"/>
      <c r="C135" s="276"/>
      <c r="D135" s="276"/>
      <c r="E135" s="276"/>
      <c r="F135" s="276"/>
      <c r="G135" s="353"/>
      <c r="H135" s="276"/>
      <c r="I135" s="276"/>
      <c r="J135" s="276"/>
      <c r="K135" s="276"/>
      <c r="L135" s="276"/>
      <c r="M135" s="276"/>
      <c r="N135" s="276"/>
      <c r="O135" s="276"/>
      <c r="P135" s="276"/>
      <c r="Q135" s="276"/>
      <c r="R135" s="276"/>
      <c r="S135" s="276"/>
      <c r="T135" s="276"/>
      <c r="U135" s="276"/>
      <c r="V135" s="276"/>
      <c r="W135" s="276"/>
      <c r="X135" s="354"/>
      <c r="Y135" s="276"/>
      <c r="Z135" s="276"/>
      <c r="AA135" s="276"/>
      <c r="AB135" s="276"/>
      <c r="AC135" s="276"/>
      <c r="AD135" s="276"/>
      <c r="AE135" s="276"/>
      <c r="AF135" s="276"/>
      <c r="AG135" s="276"/>
      <c r="AH135" s="276"/>
      <c r="AI135" s="276"/>
      <c r="AJ135" s="276"/>
      <c r="AK135" s="276"/>
    </row>
    <row r="136" spans="1:37" ht="15.75" customHeight="1" x14ac:dyDescent="0.25">
      <c r="A136" s="533"/>
      <c r="B136" s="276"/>
      <c r="C136" s="276"/>
      <c r="D136" s="276"/>
      <c r="E136" s="276"/>
      <c r="F136" s="276"/>
      <c r="G136" s="353"/>
      <c r="H136" s="276"/>
      <c r="I136" s="276"/>
      <c r="J136" s="276"/>
      <c r="K136" s="276"/>
      <c r="L136" s="276"/>
      <c r="M136" s="276"/>
      <c r="N136" s="276"/>
      <c r="O136" s="276"/>
      <c r="P136" s="276"/>
      <c r="Q136" s="276"/>
      <c r="R136" s="276"/>
      <c r="S136" s="276"/>
      <c r="T136" s="276"/>
      <c r="U136" s="276"/>
      <c r="V136" s="276"/>
      <c r="W136" s="276"/>
      <c r="X136" s="354"/>
      <c r="Y136" s="276"/>
      <c r="Z136" s="276"/>
      <c r="AA136" s="276"/>
      <c r="AB136" s="276"/>
      <c r="AC136" s="276"/>
      <c r="AD136" s="276"/>
      <c r="AE136" s="276"/>
      <c r="AF136" s="276"/>
      <c r="AG136" s="276"/>
      <c r="AH136" s="276"/>
      <c r="AI136" s="276"/>
      <c r="AJ136" s="276"/>
      <c r="AK136" s="276"/>
    </row>
    <row r="137" spans="1:37" ht="15.75" customHeight="1" x14ac:dyDescent="0.25">
      <c r="A137" s="533"/>
      <c r="B137" s="276"/>
      <c r="C137" s="276"/>
      <c r="D137" s="276"/>
      <c r="E137" s="276"/>
      <c r="F137" s="276"/>
      <c r="G137" s="353"/>
      <c r="H137" s="276"/>
      <c r="I137" s="276"/>
      <c r="J137" s="276"/>
      <c r="K137" s="276"/>
      <c r="L137" s="276"/>
      <c r="M137" s="276"/>
      <c r="N137" s="276"/>
      <c r="O137" s="276"/>
      <c r="P137" s="276"/>
      <c r="Q137" s="276"/>
      <c r="R137" s="276"/>
      <c r="S137" s="276"/>
      <c r="T137" s="276"/>
      <c r="U137" s="276"/>
      <c r="V137" s="276"/>
      <c r="W137" s="276"/>
      <c r="X137" s="354"/>
      <c r="Y137" s="276"/>
      <c r="Z137" s="276"/>
      <c r="AA137" s="276"/>
      <c r="AB137" s="276"/>
      <c r="AC137" s="276"/>
      <c r="AD137" s="276"/>
      <c r="AE137" s="276"/>
      <c r="AF137" s="276"/>
      <c r="AG137" s="276"/>
      <c r="AH137" s="276"/>
      <c r="AI137" s="276"/>
      <c r="AJ137" s="276"/>
      <c r="AK137" s="276"/>
    </row>
    <row r="138" spans="1:37" ht="15.75" customHeight="1" x14ac:dyDescent="0.25">
      <c r="A138" s="533"/>
      <c r="B138" s="276"/>
      <c r="C138" s="276"/>
      <c r="D138" s="276"/>
      <c r="E138" s="276"/>
      <c r="F138" s="276"/>
      <c r="G138" s="353"/>
      <c r="H138" s="276"/>
      <c r="I138" s="276"/>
      <c r="J138" s="276"/>
      <c r="K138" s="276"/>
      <c r="L138" s="276"/>
      <c r="M138" s="276"/>
      <c r="N138" s="276"/>
      <c r="O138" s="276"/>
      <c r="P138" s="276"/>
      <c r="Q138" s="276"/>
      <c r="R138" s="276"/>
      <c r="S138" s="276"/>
      <c r="T138" s="276"/>
      <c r="U138" s="276"/>
      <c r="V138" s="276"/>
      <c r="W138" s="276"/>
      <c r="X138" s="354"/>
      <c r="Y138" s="276"/>
      <c r="Z138" s="276"/>
      <c r="AA138" s="276"/>
      <c r="AB138" s="276"/>
      <c r="AC138" s="276"/>
      <c r="AD138" s="276"/>
      <c r="AE138" s="276"/>
      <c r="AF138" s="276"/>
      <c r="AG138" s="276"/>
      <c r="AH138" s="276"/>
      <c r="AI138" s="276"/>
      <c r="AJ138" s="276"/>
      <c r="AK138" s="276"/>
    </row>
    <row r="139" spans="1:37" ht="15.75" customHeight="1" x14ac:dyDescent="0.25">
      <c r="A139" s="533"/>
      <c r="B139" s="276"/>
      <c r="C139" s="276"/>
      <c r="D139" s="276"/>
      <c r="E139" s="276"/>
      <c r="F139" s="276"/>
      <c r="G139" s="353"/>
      <c r="H139" s="276"/>
      <c r="I139" s="276"/>
      <c r="J139" s="276"/>
      <c r="K139" s="276"/>
      <c r="L139" s="276"/>
      <c r="M139" s="276"/>
      <c r="N139" s="276"/>
      <c r="O139" s="276"/>
      <c r="P139" s="276"/>
      <c r="Q139" s="276"/>
      <c r="R139" s="276"/>
      <c r="S139" s="276"/>
      <c r="T139" s="276"/>
      <c r="U139" s="276"/>
      <c r="V139" s="276"/>
      <c r="W139" s="276"/>
      <c r="X139" s="354"/>
      <c r="Y139" s="276"/>
      <c r="Z139" s="276"/>
      <c r="AA139" s="276"/>
      <c r="AB139" s="276"/>
      <c r="AC139" s="276"/>
      <c r="AD139" s="276"/>
      <c r="AE139" s="276"/>
      <c r="AF139" s="276"/>
      <c r="AG139" s="276"/>
      <c r="AH139" s="276"/>
      <c r="AI139" s="276"/>
      <c r="AJ139" s="276"/>
      <c r="AK139" s="276"/>
    </row>
    <row r="140" spans="1:37" ht="15.75" customHeight="1" x14ac:dyDescent="0.25">
      <c r="A140" s="533"/>
      <c r="B140" s="276"/>
      <c r="C140" s="276"/>
      <c r="D140" s="276"/>
      <c r="E140" s="276"/>
      <c r="F140" s="276"/>
      <c r="G140" s="353"/>
      <c r="H140" s="276"/>
      <c r="I140" s="276"/>
      <c r="J140" s="276"/>
      <c r="K140" s="276"/>
      <c r="L140" s="276"/>
      <c r="M140" s="276"/>
      <c r="N140" s="276"/>
      <c r="O140" s="276"/>
      <c r="P140" s="276"/>
      <c r="Q140" s="276"/>
      <c r="R140" s="276"/>
      <c r="S140" s="276"/>
      <c r="T140" s="276"/>
      <c r="U140" s="276"/>
      <c r="V140" s="276"/>
      <c r="W140" s="276"/>
      <c r="X140" s="354"/>
      <c r="Y140" s="276"/>
      <c r="Z140" s="276"/>
      <c r="AA140" s="276"/>
      <c r="AB140" s="276"/>
      <c r="AC140" s="276"/>
      <c r="AD140" s="276"/>
      <c r="AE140" s="276"/>
      <c r="AF140" s="276"/>
      <c r="AG140" s="276"/>
      <c r="AH140" s="276"/>
      <c r="AI140" s="276"/>
      <c r="AJ140" s="276"/>
      <c r="AK140" s="276"/>
    </row>
    <row r="141" spans="1:37" ht="15.75" customHeight="1" x14ac:dyDescent="0.25">
      <c r="A141" s="533"/>
      <c r="B141" s="276"/>
      <c r="C141" s="276"/>
      <c r="D141" s="276"/>
      <c r="E141" s="276"/>
      <c r="F141" s="276"/>
      <c r="G141" s="353"/>
      <c r="H141" s="276"/>
      <c r="I141" s="276"/>
      <c r="J141" s="276"/>
      <c r="K141" s="276"/>
      <c r="L141" s="276"/>
      <c r="M141" s="276"/>
      <c r="N141" s="276"/>
      <c r="O141" s="276"/>
      <c r="P141" s="276"/>
      <c r="Q141" s="276"/>
      <c r="R141" s="276"/>
      <c r="S141" s="276"/>
      <c r="T141" s="276"/>
      <c r="U141" s="276"/>
      <c r="V141" s="276"/>
      <c r="W141" s="276"/>
      <c r="X141" s="354"/>
      <c r="Y141" s="276"/>
      <c r="Z141" s="276"/>
      <c r="AA141" s="276"/>
      <c r="AB141" s="276"/>
      <c r="AC141" s="276"/>
      <c r="AD141" s="276"/>
      <c r="AE141" s="276"/>
      <c r="AF141" s="276"/>
      <c r="AG141" s="276"/>
      <c r="AH141" s="276"/>
      <c r="AI141" s="276"/>
      <c r="AJ141" s="276"/>
      <c r="AK141" s="276"/>
    </row>
    <row r="142" spans="1:37" ht="15.75" customHeight="1" x14ac:dyDescent="0.25">
      <c r="A142" s="533"/>
      <c r="B142" s="276"/>
      <c r="C142" s="276"/>
      <c r="D142" s="276"/>
      <c r="E142" s="276"/>
      <c r="F142" s="276"/>
      <c r="G142" s="353"/>
      <c r="H142" s="276"/>
      <c r="I142" s="276"/>
      <c r="J142" s="276"/>
      <c r="K142" s="276"/>
      <c r="L142" s="276"/>
      <c r="M142" s="276"/>
      <c r="N142" s="276"/>
      <c r="O142" s="276"/>
      <c r="P142" s="276"/>
      <c r="Q142" s="276"/>
      <c r="R142" s="276"/>
      <c r="S142" s="276"/>
      <c r="T142" s="276"/>
      <c r="U142" s="276"/>
      <c r="V142" s="276"/>
      <c r="W142" s="276"/>
      <c r="X142" s="354"/>
      <c r="Y142" s="276"/>
      <c r="Z142" s="276"/>
      <c r="AA142" s="276"/>
      <c r="AB142" s="276"/>
      <c r="AC142" s="276"/>
      <c r="AD142" s="276"/>
      <c r="AE142" s="276"/>
      <c r="AF142" s="276"/>
      <c r="AG142" s="276"/>
      <c r="AH142" s="276"/>
      <c r="AI142" s="276"/>
      <c r="AJ142" s="276"/>
      <c r="AK142" s="276"/>
    </row>
    <row r="143" spans="1:37" ht="15.75" customHeight="1" x14ac:dyDescent="0.25">
      <c r="A143" s="533"/>
      <c r="B143" s="276"/>
      <c r="C143" s="276"/>
      <c r="D143" s="276"/>
      <c r="E143" s="276"/>
      <c r="F143" s="276"/>
      <c r="G143" s="353"/>
      <c r="H143" s="276"/>
      <c r="I143" s="276"/>
      <c r="J143" s="276"/>
      <c r="K143" s="276"/>
      <c r="L143" s="276"/>
      <c r="M143" s="276"/>
      <c r="N143" s="276"/>
      <c r="O143" s="276"/>
      <c r="P143" s="276"/>
      <c r="Q143" s="276"/>
      <c r="R143" s="276"/>
      <c r="S143" s="276"/>
      <c r="T143" s="276"/>
      <c r="U143" s="276"/>
      <c r="V143" s="276"/>
      <c r="W143" s="276"/>
      <c r="X143" s="354"/>
      <c r="Y143" s="276"/>
      <c r="Z143" s="276"/>
      <c r="AA143" s="276"/>
      <c r="AB143" s="276"/>
      <c r="AC143" s="276"/>
      <c r="AD143" s="276"/>
      <c r="AE143" s="276"/>
      <c r="AF143" s="276"/>
      <c r="AG143" s="276"/>
      <c r="AH143" s="276"/>
      <c r="AI143" s="276"/>
      <c r="AJ143" s="276"/>
      <c r="AK143" s="276"/>
    </row>
    <row r="144" spans="1:37" ht="15.75" customHeight="1" x14ac:dyDescent="0.25">
      <c r="A144" s="533"/>
      <c r="B144" s="276"/>
      <c r="C144" s="276"/>
      <c r="D144" s="276"/>
      <c r="E144" s="276"/>
      <c r="F144" s="276"/>
      <c r="G144" s="353"/>
      <c r="H144" s="276"/>
      <c r="I144" s="276"/>
      <c r="J144" s="276"/>
      <c r="K144" s="276"/>
      <c r="L144" s="276"/>
      <c r="M144" s="276"/>
      <c r="N144" s="276"/>
      <c r="O144" s="276"/>
      <c r="P144" s="276"/>
      <c r="Q144" s="276"/>
      <c r="R144" s="276"/>
      <c r="S144" s="276"/>
      <c r="T144" s="276"/>
      <c r="U144" s="276"/>
      <c r="V144" s="276"/>
      <c r="W144" s="276"/>
      <c r="X144" s="354"/>
      <c r="Y144" s="276"/>
      <c r="Z144" s="276"/>
      <c r="AA144" s="276"/>
      <c r="AB144" s="276"/>
      <c r="AC144" s="276"/>
      <c r="AD144" s="276"/>
      <c r="AE144" s="276"/>
      <c r="AF144" s="276"/>
      <c r="AG144" s="276"/>
      <c r="AH144" s="276"/>
      <c r="AI144" s="276"/>
      <c r="AJ144" s="276"/>
      <c r="AK144" s="276"/>
    </row>
    <row r="145" spans="1:37" ht="15.75" customHeight="1" x14ac:dyDescent="0.25">
      <c r="A145" s="533"/>
      <c r="B145" s="276"/>
      <c r="C145" s="276"/>
      <c r="D145" s="276"/>
      <c r="E145" s="276"/>
      <c r="F145" s="276"/>
      <c r="G145" s="353"/>
      <c r="H145" s="276"/>
      <c r="I145" s="276"/>
      <c r="J145" s="276"/>
      <c r="K145" s="276"/>
      <c r="L145" s="276"/>
      <c r="M145" s="276"/>
      <c r="N145" s="276"/>
      <c r="O145" s="276"/>
      <c r="P145" s="276"/>
      <c r="Q145" s="276"/>
      <c r="R145" s="276"/>
      <c r="S145" s="276"/>
      <c r="T145" s="276"/>
      <c r="U145" s="276"/>
      <c r="V145" s="276"/>
      <c r="W145" s="276"/>
      <c r="X145" s="354"/>
      <c r="Y145" s="276"/>
      <c r="Z145" s="276"/>
      <c r="AA145" s="276"/>
      <c r="AB145" s="276"/>
      <c r="AC145" s="276"/>
      <c r="AD145" s="276"/>
      <c r="AE145" s="276"/>
      <c r="AF145" s="276"/>
      <c r="AG145" s="276"/>
      <c r="AH145" s="276"/>
      <c r="AI145" s="276"/>
      <c r="AJ145" s="276"/>
      <c r="AK145" s="276"/>
    </row>
    <row r="146" spans="1:37" ht="15.75" customHeight="1" x14ac:dyDescent="0.25">
      <c r="A146" s="533"/>
      <c r="B146" s="276"/>
      <c r="C146" s="276"/>
      <c r="D146" s="276"/>
      <c r="E146" s="276"/>
      <c r="F146" s="276"/>
      <c r="G146" s="353"/>
      <c r="H146" s="276"/>
      <c r="I146" s="276"/>
      <c r="J146" s="276"/>
      <c r="K146" s="276"/>
      <c r="L146" s="276"/>
      <c r="M146" s="276"/>
      <c r="N146" s="276"/>
      <c r="O146" s="276"/>
      <c r="P146" s="276"/>
      <c r="Q146" s="276"/>
      <c r="R146" s="276"/>
      <c r="S146" s="276"/>
      <c r="T146" s="276"/>
      <c r="U146" s="276"/>
      <c r="V146" s="276"/>
      <c r="W146" s="276"/>
      <c r="X146" s="354"/>
      <c r="Y146" s="276"/>
      <c r="Z146" s="276"/>
      <c r="AA146" s="276"/>
      <c r="AB146" s="276"/>
      <c r="AC146" s="276"/>
      <c r="AD146" s="276"/>
      <c r="AE146" s="276"/>
      <c r="AF146" s="276"/>
      <c r="AG146" s="276"/>
      <c r="AH146" s="276"/>
      <c r="AI146" s="276"/>
      <c r="AJ146" s="276"/>
      <c r="AK146" s="276"/>
    </row>
    <row r="147" spans="1:37" ht="15.75" customHeight="1" x14ac:dyDescent="0.25">
      <c r="A147" s="533"/>
      <c r="B147" s="276"/>
      <c r="C147" s="276"/>
      <c r="D147" s="276"/>
      <c r="E147" s="276"/>
      <c r="F147" s="276"/>
      <c r="G147" s="353"/>
      <c r="H147" s="276"/>
      <c r="I147" s="276"/>
      <c r="J147" s="276"/>
      <c r="K147" s="276"/>
      <c r="L147" s="276"/>
      <c r="M147" s="276"/>
      <c r="N147" s="276"/>
      <c r="O147" s="276"/>
      <c r="P147" s="276"/>
      <c r="Q147" s="276"/>
      <c r="R147" s="276"/>
      <c r="S147" s="276"/>
      <c r="T147" s="276"/>
      <c r="U147" s="276"/>
      <c r="V147" s="276"/>
      <c r="W147" s="276"/>
      <c r="X147" s="354"/>
      <c r="Y147" s="276"/>
      <c r="Z147" s="276"/>
      <c r="AA147" s="276"/>
      <c r="AB147" s="276"/>
      <c r="AC147" s="276"/>
      <c r="AD147" s="276"/>
      <c r="AE147" s="276"/>
      <c r="AF147" s="276"/>
      <c r="AG147" s="276"/>
      <c r="AH147" s="276"/>
      <c r="AI147" s="276"/>
      <c r="AJ147" s="276"/>
      <c r="AK147" s="276"/>
    </row>
    <row r="148" spans="1:37" ht="15.75" customHeight="1" x14ac:dyDescent="0.25">
      <c r="A148" s="533"/>
      <c r="B148" s="276"/>
      <c r="C148" s="276"/>
      <c r="D148" s="276"/>
      <c r="E148" s="276"/>
      <c r="F148" s="276"/>
      <c r="G148" s="353"/>
      <c r="H148" s="276"/>
      <c r="I148" s="276"/>
      <c r="J148" s="276"/>
      <c r="K148" s="276"/>
      <c r="L148" s="276"/>
      <c r="M148" s="276"/>
      <c r="N148" s="276"/>
      <c r="O148" s="276"/>
      <c r="P148" s="276"/>
      <c r="Q148" s="276"/>
      <c r="R148" s="276"/>
      <c r="S148" s="276"/>
      <c r="T148" s="276"/>
      <c r="U148" s="276"/>
      <c r="V148" s="276"/>
      <c r="W148" s="276"/>
      <c r="X148" s="354"/>
      <c r="Y148" s="276"/>
      <c r="Z148" s="276"/>
      <c r="AA148" s="276"/>
      <c r="AB148" s="276"/>
      <c r="AC148" s="276"/>
      <c r="AD148" s="276"/>
      <c r="AE148" s="276"/>
      <c r="AF148" s="276"/>
      <c r="AG148" s="276"/>
      <c r="AH148" s="276"/>
      <c r="AI148" s="276"/>
      <c r="AJ148" s="276"/>
      <c r="AK148" s="276"/>
    </row>
    <row r="149" spans="1:37" ht="15.75" customHeight="1" x14ac:dyDescent="0.25">
      <c r="A149" s="533"/>
      <c r="B149" s="276"/>
      <c r="C149" s="276"/>
      <c r="D149" s="276"/>
      <c r="E149" s="276"/>
      <c r="F149" s="276"/>
      <c r="G149" s="353"/>
      <c r="H149" s="276"/>
      <c r="I149" s="276"/>
      <c r="J149" s="276"/>
      <c r="K149" s="276"/>
      <c r="L149" s="276"/>
      <c r="M149" s="276"/>
      <c r="N149" s="276"/>
      <c r="O149" s="276"/>
      <c r="P149" s="276"/>
      <c r="Q149" s="276"/>
      <c r="R149" s="276"/>
      <c r="S149" s="276"/>
      <c r="T149" s="276"/>
      <c r="U149" s="276"/>
      <c r="V149" s="276"/>
      <c r="W149" s="276"/>
      <c r="X149" s="354"/>
      <c r="Y149" s="276"/>
      <c r="Z149" s="276"/>
      <c r="AA149" s="276"/>
      <c r="AB149" s="276"/>
      <c r="AC149" s="276"/>
      <c r="AD149" s="276"/>
      <c r="AE149" s="276"/>
      <c r="AF149" s="276"/>
      <c r="AG149" s="276"/>
      <c r="AH149" s="276"/>
      <c r="AI149" s="276"/>
      <c r="AJ149" s="276"/>
      <c r="AK149" s="276"/>
    </row>
    <row r="150" spans="1:37" ht="15.75" customHeight="1" x14ac:dyDescent="0.25">
      <c r="A150" s="533"/>
      <c r="B150" s="276"/>
      <c r="C150" s="276"/>
      <c r="D150" s="276"/>
      <c r="E150" s="276"/>
      <c r="F150" s="276"/>
      <c r="G150" s="353"/>
      <c r="H150" s="276"/>
      <c r="I150" s="276"/>
      <c r="J150" s="276"/>
      <c r="K150" s="276"/>
      <c r="L150" s="276"/>
      <c r="M150" s="276"/>
      <c r="N150" s="276"/>
      <c r="O150" s="276"/>
      <c r="P150" s="276"/>
      <c r="Q150" s="276"/>
      <c r="R150" s="276"/>
      <c r="S150" s="276"/>
      <c r="T150" s="276"/>
      <c r="U150" s="276"/>
      <c r="V150" s="276"/>
      <c r="W150" s="276"/>
      <c r="X150" s="354"/>
      <c r="Y150" s="276"/>
      <c r="Z150" s="276"/>
      <c r="AA150" s="276"/>
      <c r="AB150" s="276"/>
      <c r="AC150" s="276"/>
      <c r="AD150" s="276"/>
      <c r="AE150" s="276"/>
      <c r="AF150" s="276"/>
      <c r="AG150" s="276"/>
      <c r="AH150" s="276"/>
      <c r="AI150" s="276"/>
      <c r="AJ150" s="276"/>
      <c r="AK150" s="276"/>
    </row>
    <row r="151" spans="1:37" ht="15.75" customHeight="1" x14ac:dyDescent="0.25">
      <c r="A151" s="533"/>
      <c r="B151" s="276"/>
      <c r="C151" s="276"/>
      <c r="D151" s="276"/>
      <c r="E151" s="276"/>
      <c r="F151" s="276"/>
      <c r="G151" s="353"/>
      <c r="H151" s="276"/>
      <c r="I151" s="276"/>
      <c r="J151" s="276"/>
      <c r="K151" s="276"/>
      <c r="L151" s="276"/>
      <c r="M151" s="276"/>
      <c r="N151" s="276"/>
      <c r="O151" s="276"/>
      <c r="P151" s="276"/>
      <c r="Q151" s="276"/>
      <c r="R151" s="276"/>
      <c r="S151" s="276"/>
      <c r="T151" s="276"/>
      <c r="U151" s="276"/>
      <c r="V151" s="276"/>
      <c r="W151" s="276"/>
      <c r="X151" s="354"/>
      <c r="Y151" s="276"/>
      <c r="Z151" s="276"/>
      <c r="AA151" s="276"/>
      <c r="AB151" s="276"/>
      <c r="AC151" s="276"/>
      <c r="AD151" s="276"/>
      <c r="AE151" s="276"/>
      <c r="AF151" s="276"/>
      <c r="AG151" s="276"/>
      <c r="AH151" s="276"/>
      <c r="AI151" s="276"/>
      <c r="AJ151" s="276"/>
      <c r="AK151" s="276"/>
    </row>
    <row r="152" spans="1:37" ht="15.75" customHeight="1" x14ac:dyDescent="0.25">
      <c r="A152" s="533"/>
      <c r="B152" s="276"/>
      <c r="C152" s="276"/>
      <c r="D152" s="276"/>
      <c r="E152" s="276"/>
      <c r="F152" s="276"/>
      <c r="G152" s="353"/>
      <c r="H152" s="276"/>
      <c r="I152" s="276"/>
      <c r="J152" s="276"/>
      <c r="K152" s="276"/>
      <c r="L152" s="276"/>
      <c r="M152" s="276"/>
      <c r="N152" s="276"/>
      <c r="O152" s="276"/>
      <c r="P152" s="276"/>
      <c r="Q152" s="276"/>
      <c r="R152" s="276"/>
      <c r="S152" s="276"/>
      <c r="T152" s="276"/>
      <c r="U152" s="276"/>
      <c r="V152" s="276"/>
      <c r="W152" s="276"/>
      <c r="X152" s="354"/>
      <c r="Y152" s="276"/>
      <c r="Z152" s="276"/>
      <c r="AA152" s="276"/>
      <c r="AB152" s="276"/>
      <c r="AC152" s="276"/>
      <c r="AD152" s="276"/>
      <c r="AE152" s="276"/>
      <c r="AF152" s="276"/>
      <c r="AG152" s="276"/>
      <c r="AH152" s="276"/>
      <c r="AI152" s="276"/>
      <c r="AJ152" s="276"/>
      <c r="AK152" s="276"/>
    </row>
    <row r="153" spans="1:37" ht="15.75" customHeight="1" x14ac:dyDescent="0.25">
      <c r="A153" s="533"/>
      <c r="B153" s="276"/>
      <c r="C153" s="276"/>
      <c r="D153" s="276"/>
      <c r="E153" s="276"/>
      <c r="F153" s="276"/>
      <c r="G153" s="353"/>
      <c r="H153" s="276"/>
      <c r="I153" s="276"/>
      <c r="J153" s="276"/>
      <c r="K153" s="276"/>
      <c r="L153" s="276"/>
      <c r="M153" s="276"/>
      <c r="N153" s="276"/>
      <c r="O153" s="276"/>
      <c r="P153" s="276"/>
      <c r="Q153" s="276"/>
      <c r="R153" s="276"/>
      <c r="S153" s="276"/>
      <c r="T153" s="276"/>
      <c r="U153" s="276"/>
      <c r="V153" s="276"/>
      <c r="W153" s="276"/>
      <c r="X153" s="354"/>
      <c r="Y153" s="276"/>
      <c r="Z153" s="276"/>
      <c r="AA153" s="276"/>
      <c r="AB153" s="276"/>
      <c r="AC153" s="276"/>
      <c r="AD153" s="276"/>
      <c r="AE153" s="276"/>
      <c r="AF153" s="276"/>
      <c r="AG153" s="276"/>
      <c r="AH153" s="276"/>
      <c r="AI153" s="276"/>
      <c r="AJ153" s="276"/>
      <c r="AK153" s="276"/>
    </row>
    <row r="154" spans="1:37" ht="15.75" customHeight="1" x14ac:dyDescent="0.25">
      <c r="A154" s="533"/>
      <c r="B154" s="276"/>
      <c r="C154" s="276"/>
      <c r="D154" s="276"/>
      <c r="E154" s="276"/>
      <c r="F154" s="276"/>
      <c r="G154" s="353"/>
      <c r="H154" s="276"/>
      <c r="I154" s="276"/>
      <c r="J154" s="276"/>
      <c r="K154" s="276"/>
      <c r="L154" s="276"/>
      <c r="M154" s="276"/>
      <c r="N154" s="276"/>
      <c r="O154" s="276"/>
      <c r="P154" s="276"/>
      <c r="Q154" s="276"/>
      <c r="R154" s="276"/>
      <c r="S154" s="276"/>
      <c r="T154" s="276"/>
      <c r="U154" s="276"/>
      <c r="V154" s="276"/>
      <c r="W154" s="276"/>
      <c r="X154" s="354"/>
      <c r="Y154" s="276"/>
      <c r="Z154" s="276"/>
      <c r="AA154" s="276"/>
      <c r="AB154" s="276"/>
      <c r="AC154" s="276"/>
      <c r="AD154" s="276"/>
      <c r="AE154" s="276"/>
      <c r="AF154" s="276"/>
      <c r="AG154" s="276"/>
      <c r="AH154" s="276"/>
      <c r="AI154" s="276"/>
      <c r="AJ154" s="276"/>
      <c r="AK154" s="276"/>
    </row>
    <row r="155" spans="1:37" ht="15.75" customHeight="1" x14ac:dyDescent="0.25">
      <c r="A155" s="533"/>
      <c r="B155" s="276"/>
      <c r="C155" s="276"/>
      <c r="D155" s="276"/>
      <c r="E155" s="276"/>
      <c r="F155" s="276"/>
      <c r="G155" s="353"/>
      <c r="H155" s="276"/>
      <c r="I155" s="276"/>
      <c r="J155" s="276"/>
      <c r="K155" s="276"/>
      <c r="L155" s="276"/>
      <c r="M155" s="276"/>
      <c r="N155" s="276"/>
      <c r="O155" s="276"/>
      <c r="P155" s="276"/>
      <c r="Q155" s="276"/>
      <c r="R155" s="276"/>
      <c r="S155" s="276"/>
      <c r="T155" s="276"/>
      <c r="U155" s="276"/>
      <c r="V155" s="276"/>
      <c r="W155" s="276"/>
      <c r="X155" s="354"/>
      <c r="Y155" s="276"/>
      <c r="Z155" s="276"/>
      <c r="AA155" s="276"/>
      <c r="AB155" s="276"/>
      <c r="AC155" s="276"/>
      <c r="AD155" s="276"/>
      <c r="AE155" s="276"/>
      <c r="AF155" s="276"/>
      <c r="AG155" s="276"/>
      <c r="AH155" s="276"/>
      <c r="AI155" s="276"/>
      <c r="AJ155" s="276"/>
      <c r="AK155" s="276"/>
    </row>
    <row r="156" spans="1:37" ht="15.75" customHeight="1" x14ac:dyDescent="0.25">
      <c r="A156" s="533"/>
      <c r="B156" s="276"/>
      <c r="C156" s="276"/>
      <c r="D156" s="276"/>
      <c r="E156" s="276"/>
      <c r="F156" s="276"/>
      <c r="G156" s="353"/>
      <c r="H156" s="276"/>
      <c r="I156" s="276"/>
      <c r="J156" s="276"/>
      <c r="K156" s="276"/>
      <c r="L156" s="276"/>
      <c r="M156" s="276"/>
      <c r="N156" s="276"/>
      <c r="O156" s="276"/>
      <c r="P156" s="276"/>
      <c r="Q156" s="276"/>
      <c r="R156" s="276"/>
      <c r="S156" s="276"/>
      <c r="T156" s="276"/>
      <c r="U156" s="276"/>
      <c r="V156" s="276"/>
      <c r="W156" s="276"/>
      <c r="X156" s="354"/>
      <c r="Y156" s="276"/>
      <c r="Z156" s="276"/>
      <c r="AA156" s="276"/>
      <c r="AB156" s="276"/>
      <c r="AC156" s="276"/>
      <c r="AD156" s="276"/>
      <c r="AE156" s="276"/>
      <c r="AF156" s="276"/>
      <c r="AG156" s="276"/>
      <c r="AH156" s="276"/>
      <c r="AI156" s="276"/>
      <c r="AJ156" s="276"/>
      <c r="AK156" s="276"/>
    </row>
    <row r="157" spans="1:37" ht="15.75" customHeight="1" x14ac:dyDescent="0.25">
      <c r="A157" s="533"/>
      <c r="B157" s="276"/>
      <c r="C157" s="276"/>
      <c r="D157" s="276"/>
      <c r="E157" s="276"/>
      <c r="F157" s="276"/>
      <c r="G157" s="353"/>
      <c r="H157" s="276"/>
      <c r="I157" s="276"/>
      <c r="J157" s="276"/>
      <c r="K157" s="276"/>
      <c r="L157" s="276"/>
      <c r="M157" s="276"/>
      <c r="N157" s="276"/>
      <c r="O157" s="276"/>
      <c r="P157" s="276"/>
      <c r="Q157" s="276"/>
      <c r="R157" s="276"/>
      <c r="S157" s="276"/>
      <c r="T157" s="276"/>
      <c r="U157" s="276"/>
      <c r="V157" s="276"/>
      <c r="W157" s="276"/>
      <c r="X157" s="354"/>
      <c r="Y157" s="276"/>
      <c r="Z157" s="276"/>
      <c r="AA157" s="276"/>
      <c r="AB157" s="276"/>
      <c r="AC157" s="276"/>
      <c r="AD157" s="276"/>
      <c r="AE157" s="276"/>
      <c r="AF157" s="276"/>
      <c r="AG157" s="276"/>
      <c r="AH157" s="276"/>
      <c r="AI157" s="276"/>
      <c r="AJ157" s="276"/>
      <c r="AK157" s="276"/>
    </row>
    <row r="158" spans="1:37" ht="15.75" customHeight="1" x14ac:dyDescent="0.25">
      <c r="A158" s="533"/>
      <c r="B158" s="276"/>
      <c r="C158" s="276"/>
      <c r="D158" s="276"/>
      <c r="E158" s="276"/>
      <c r="F158" s="276"/>
      <c r="G158" s="353"/>
      <c r="H158" s="276"/>
      <c r="I158" s="276"/>
      <c r="J158" s="276"/>
      <c r="K158" s="276"/>
      <c r="L158" s="276"/>
      <c r="M158" s="276"/>
      <c r="N158" s="276"/>
      <c r="O158" s="276"/>
      <c r="P158" s="276"/>
      <c r="Q158" s="276"/>
      <c r="R158" s="276"/>
      <c r="S158" s="276"/>
      <c r="T158" s="276"/>
      <c r="U158" s="276"/>
      <c r="V158" s="276"/>
      <c r="W158" s="276"/>
      <c r="X158" s="354"/>
      <c r="Y158" s="276"/>
      <c r="Z158" s="276"/>
      <c r="AA158" s="276"/>
      <c r="AB158" s="276"/>
      <c r="AC158" s="276"/>
      <c r="AD158" s="276"/>
      <c r="AE158" s="276"/>
      <c r="AF158" s="276"/>
      <c r="AG158" s="276"/>
      <c r="AH158" s="276"/>
      <c r="AI158" s="276"/>
      <c r="AJ158" s="276"/>
      <c r="AK158" s="276"/>
    </row>
    <row r="159" spans="1:37" ht="15.75" customHeight="1" x14ac:dyDescent="0.25">
      <c r="A159" s="533"/>
      <c r="B159" s="276"/>
      <c r="C159" s="276"/>
      <c r="D159" s="276"/>
      <c r="E159" s="276"/>
      <c r="F159" s="276"/>
      <c r="G159" s="353"/>
      <c r="H159" s="276"/>
      <c r="I159" s="276"/>
      <c r="J159" s="276"/>
      <c r="K159" s="276"/>
      <c r="L159" s="276"/>
      <c r="M159" s="276"/>
      <c r="N159" s="276"/>
      <c r="O159" s="276"/>
      <c r="P159" s="276"/>
      <c r="Q159" s="276"/>
      <c r="R159" s="276"/>
      <c r="S159" s="276"/>
      <c r="T159" s="276"/>
      <c r="U159" s="276"/>
      <c r="V159" s="276"/>
      <c r="W159" s="276"/>
      <c r="X159" s="354"/>
      <c r="Y159" s="276"/>
      <c r="Z159" s="276"/>
      <c r="AA159" s="276"/>
      <c r="AB159" s="276"/>
      <c r="AC159" s="276"/>
      <c r="AD159" s="276"/>
      <c r="AE159" s="276"/>
      <c r="AF159" s="276"/>
      <c r="AG159" s="276"/>
      <c r="AH159" s="276"/>
      <c r="AI159" s="276"/>
      <c r="AJ159" s="276"/>
      <c r="AK159" s="276"/>
    </row>
    <row r="160" spans="1:37" ht="15.75" customHeight="1" x14ac:dyDescent="0.25">
      <c r="A160" s="533"/>
      <c r="B160" s="276"/>
      <c r="C160" s="276"/>
      <c r="D160" s="276"/>
      <c r="E160" s="276"/>
      <c r="F160" s="276"/>
      <c r="G160" s="353"/>
      <c r="H160" s="276"/>
      <c r="I160" s="276"/>
      <c r="J160" s="276"/>
      <c r="K160" s="276"/>
      <c r="L160" s="276"/>
      <c r="M160" s="276"/>
      <c r="N160" s="276"/>
      <c r="O160" s="276"/>
      <c r="P160" s="276"/>
      <c r="Q160" s="276"/>
      <c r="R160" s="276"/>
      <c r="S160" s="276"/>
      <c r="T160" s="276"/>
      <c r="U160" s="276"/>
      <c r="V160" s="276"/>
      <c r="W160" s="276"/>
      <c r="X160" s="354"/>
      <c r="Y160" s="276"/>
      <c r="Z160" s="276"/>
      <c r="AA160" s="276"/>
      <c r="AB160" s="276"/>
      <c r="AC160" s="276"/>
      <c r="AD160" s="276"/>
      <c r="AE160" s="276"/>
      <c r="AF160" s="276"/>
      <c r="AG160" s="276"/>
      <c r="AH160" s="276"/>
      <c r="AI160" s="276"/>
      <c r="AJ160" s="276"/>
      <c r="AK160" s="276"/>
    </row>
    <row r="161" spans="1:37" ht="15.75" customHeight="1" x14ac:dyDescent="0.25">
      <c r="A161" s="533"/>
      <c r="B161" s="276"/>
      <c r="C161" s="276"/>
      <c r="D161" s="276"/>
      <c r="E161" s="276"/>
      <c r="F161" s="276"/>
      <c r="G161" s="353"/>
      <c r="H161" s="276"/>
      <c r="I161" s="276"/>
      <c r="J161" s="276"/>
      <c r="K161" s="276"/>
      <c r="L161" s="276"/>
      <c r="M161" s="276"/>
      <c r="N161" s="276"/>
      <c r="O161" s="276"/>
      <c r="P161" s="276"/>
      <c r="Q161" s="276"/>
      <c r="R161" s="276"/>
      <c r="S161" s="276"/>
      <c r="T161" s="276"/>
      <c r="U161" s="276"/>
      <c r="V161" s="276"/>
      <c r="W161" s="276"/>
      <c r="X161" s="354"/>
      <c r="Y161" s="276"/>
      <c r="Z161" s="276"/>
      <c r="AA161" s="276"/>
      <c r="AB161" s="276"/>
      <c r="AC161" s="276"/>
      <c r="AD161" s="276"/>
      <c r="AE161" s="276"/>
      <c r="AF161" s="276"/>
      <c r="AG161" s="276"/>
      <c r="AH161" s="276"/>
      <c r="AI161" s="276"/>
      <c r="AJ161" s="276"/>
      <c r="AK161" s="276"/>
    </row>
    <row r="162" spans="1:37" ht="15.75" customHeight="1" x14ac:dyDescent="0.25">
      <c r="A162" s="533"/>
      <c r="B162" s="276"/>
      <c r="C162" s="276"/>
      <c r="D162" s="276"/>
      <c r="E162" s="276"/>
      <c r="F162" s="276"/>
      <c r="G162" s="353"/>
      <c r="H162" s="276"/>
      <c r="I162" s="276"/>
      <c r="J162" s="276"/>
      <c r="K162" s="276"/>
      <c r="L162" s="276"/>
      <c r="M162" s="276"/>
      <c r="N162" s="276"/>
      <c r="O162" s="276"/>
      <c r="P162" s="276"/>
      <c r="Q162" s="276"/>
      <c r="R162" s="276"/>
      <c r="S162" s="276"/>
      <c r="T162" s="276"/>
      <c r="U162" s="276"/>
      <c r="V162" s="276"/>
      <c r="W162" s="276"/>
      <c r="X162" s="354"/>
      <c r="Y162" s="276"/>
      <c r="Z162" s="276"/>
      <c r="AA162" s="276"/>
      <c r="AB162" s="276"/>
      <c r="AC162" s="276"/>
      <c r="AD162" s="276"/>
      <c r="AE162" s="276"/>
      <c r="AF162" s="276"/>
      <c r="AG162" s="276"/>
      <c r="AH162" s="276"/>
      <c r="AI162" s="276"/>
      <c r="AJ162" s="276"/>
      <c r="AK162" s="276"/>
    </row>
    <row r="163" spans="1:37" ht="15.75" customHeight="1" x14ac:dyDescent="0.25">
      <c r="A163" s="533"/>
      <c r="B163" s="276"/>
      <c r="C163" s="276"/>
      <c r="D163" s="276"/>
      <c r="E163" s="276"/>
      <c r="F163" s="276"/>
      <c r="G163" s="353"/>
      <c r="H163" s="276"/>
      <c r="I163" s="276"/>
      <c r="J163" s="276"/>
      <c r="K163" s="276"/>
      <c r="L163" s="276"/>
      <c r="M163" s="276"/>
      <c r="N163" s="276"/>
      <c r="O163" s="276"/>
      <c r="P163" s="276"/>
      <c r="Q163" s="276"/>
      <c r="R163" s="276"/>
      <c r="S163" s="276"/>
      <c r="T163" s="276"/>
      <c r="U163" s="276"/>
      <c r="V163" s="276"/>
      <c r="W163" s="276"/>
      <c r="X163" s="354"/>
      <c r="Y163" s="276"/>
      <c r="Z163" s="276"/>
      <c r="AA163" s="276"/>
      <c r="AB163" s="276"/>
      <c r="AC163" s="276"/>
      <c r="AD163" s="276"/>
      <c r="AE163" s="276"/>
      <c r="AF163" s="276"/>
      <c r="AG163" s="276"/>
      <c r="AH163" s="276"/>
      <c r="AI163" s="276"/>
      <c r="AJ163" s="276"/>
      <c r="AK163" s="276"/>
    </row>
    <row r="164" spans="1:37" ht="15.75" customHeight="1" x14ac:dyDescent="0.25">
      <c r="A164" s="533"/>
      <c r="B164" s="276"/>
      <c r="C164" s="276"/>
      <c r="D164" s="276"/>
      <c r="E164" s="276"/>
      <c r="F164" s="276"/>
      <c r="G164" s="353"/>
      <c r="H164" s="276"/>
      <c r="I164" s="276"/>
      <c r="J164" s="276"/>
      <c r="K164" s="276"/>
      <c r="L164" s="276"/>
      <c r="M164" s="276"/>
      <c r="N164" s="276"/>
      <c r="O164" s="276"/>
      <c r="P164" s="276"/>
      <c r="Q164" s="276"/>
      <c r="R164" s="276"/>
      <c r="S164" s="276"/>
      <c r="T164" s="276"/>
      <c r="U164" s="276"/>
      <c r="V164" s="276"/>
      <c r="W164" s="276"/>
      <c r="X164" s="354"/>
      <c r="Y164" s="276"/>
      <c r="Z164" s="276"/>
      <c r="AA164" s="276"/>
      <c r="AB164" s="276"/>
      <c r="AC164" s="276"/>
      <c r="AD164" s="276"/>
      <c r="AE164" s="276"/>
      <c r="AF164" s="276"/>
      <c r="AG164" s="276"/>
      <c r="AH164" s="276"/>
      <c r="AI164" s="276"/>
      <c r="AJ164" s="276"/>
      <c r="AK164" s="276"/>
    </row>
    <row r="165" spans="1:37" ht="15.75" customHeight="1" x14ac:dyDescent="0.25">
      <c r="A165" s="533"/>
      <c r="B165" s="276"/>
      <c r="C165" s="276"/>
      <c r="D165" s="276"/>
      <c r="E165" s="276"/>
      <c r="F165" s="276"/>
      <c r="G165" s="353"/>
      <c r="H165" s="276"/>
      <c r="I165" s="276"/>
      <c r="J165" s="276"/>
      <c r="K165" s="276"/>
      <c r="L165" s="276"/>
      <c r="M165" s="276"/>
      <c r="N165" s="276"/>
      <c r="O165" s="276"/>
      <c r="P165" s="276"/>
      <c r="Q165" s="276"/>
      <c r="R165" s="276"/>
      <c r="S165" s="276"/>
      <c r="T165" s="276"/>
      <c r="U165" s="276"/>
      <c r="V165" s="276"/>
      <c r="W165" s="276"/>
      <c r="X165" s="354"/>
      <c r="Y165" s="276"/>
      <c r="Z165" s="276"/>
      <c r="AA165" s="276"/>
      <c r="AB165" s="276"/>
      <c r="AC165" s="276"/>
      <c r="AD165" s="276"/>
      <c r="AE165" s="276"/>
      <c r="AF165" s="276"/>
      <c r="AG165" s="276"/>
      <c r="AH165" s="276"/>
      <c r="AI165" s="276"/>
      <c r="AJ165" s="276"/>
      <c r="AK165" s="276"/>
    </row>
    <row r="166" spans="1:37" ht="15.75" customHeight="1" x14ac:dyDescent="0.25">
      <c r="A166" s="533"/>
      <c r="B166" s="276"/>
      <c r="C166" s="276"/>
      <c r="D166" s="276"/>
      <c r="E166" s="276"/>
      <c r="F166" s="276"/>
      <c r="G166" s="353"/>
      <c r="H166" s="276"/>
      <c r="I166" s="276"/>
      <c r="J166" s="276"/>
      <c r="K166" s="276"/>
      <c r="L166" s="276"/>
      <c r="M166" s="276"/>
      <c r="N166" s="276"/>
      <c r="O166" s="276"/>
      <c r="P166" s="276"/>
      <c r="Q166" s="276"/>
      <c r="R166" s="276"/>
      <c r="S166" s="276"/>
      <c r="T166" s="276"/>
      <c r="U166" s="276"/>
      <c r="V166" s="276"/>
      <c r="W166" s="276"/>
      <c r="X166" s="354"/>
      <c r="Y166" s="276"/>
      <c r="Z166" s="276"/>
      <c r="AA166" s="276"/>
      <c r="AB166" s="276"/>
      <c r="AC166" s="276"/>
      <c r="AD166" s="276"/>
      <c r="AE166" s="276"/>
      <c r="AF166" s="276"/>
      <c r="AG166" s="276"/>
      <c r="AH166" s="276"/>
      <c r="AI166" s="276"/>
      <c r="AJ166" s="276"/>
      <c r="AK166" s="276"/>
    </row>
    <row r="167" spans="1:37" ht="15.75" customHeight="1" x14ac:dyDescent="0.25">
      <c r="A167" s="533"/>
      <c r="B167" s="276"/>
      <c r="C167" s="276"/>
      <c r="D167" s="276"/>
      <c r="E167" s="276"/>
      <c r="F167" s="276"/>
      <c r="G167" s="353"/>
      <c r="H167" s="276"/>
      <c r="I167" s="276"/>
      <c r="J167" s="276"/>
      <c r="K167" s="276"/>
      <c r="L167" s="276"/>
      <c r="M167" s="276"/>
      <c r="N167" s="276"/>
      <c r="O167" s="276"/>
      <c r="P167" s="276"/>
      <c r="Q167" s="276"/>
      <c r="R167" s="276"/>
      <c r="S167" s="276"/>
      <c r="T167" s="276"/>
      <c r="U167" s="276"/>
      <c r="V167" s="276"/>
      <c r="W167" s="276"/>
      <c r="X167" s="354"/>
      <c r="Y167" s="276"/>
      <c r="Z167" s="276"/>
      <c r="AA167" s="276"/>
      <c r="AB167" s="276"/>
      <c r="AC167" s="276"/>
      <c r="AD167" s="276"/>
      <c r="AE167" s="276"/>
      <c r="AF167" s="276"/>
      <c r="AG167" s="276"/>
      <c r="AH167" s="276"/>
      <c r="AI167" s="276"/>
      <c r="AJ167" s="276"/>
      <c r="AK167" s="276"/>
    </row>
    <row r="168" spans="1:37" ht="15.75" customHeight="1" x14ac:dyDescent="0.25">
      <c r="A168" s="533"/>
      <c r="B168" s="276"/>
      <c r="C168" s="276"/>
      <c r="D168" s="276"/>
      <c r="E168" s="276"/>
      <c r="F168" s="276"/>
      <c r="G168" s="353"/>
      <c r="H168" s="276"/>
      <c r="I168" s="276"/>
      <c r="J168" s="276"/>
      <c r="K168" s="276"/>
      <c r="L168" s="276"/>
      <c r="M168" s="276"/>
      <c r="N168" s="276"/>
      <c r="O168" s="276"/>
      <c r="P168" s="276"/>
      <c r="Q168" s="276"/>
      <c r="R168" s="276"/>
      <c r="S168" s="276"/>
      <c r="T168" s="276"/>
      <c r="U168" s="276"/>
      <c r="V168" s="276"/>
      <c r="W168" s="276"/>
      <c r="X168" s="354"/>
      <c r="Y168" s="276"/>
      <c r="Z168" s="276"/>
      <c r="AA168" s="276"/>
      <c r="AB168" s="276"/>
      <c r="AC168" s="276"/>
      <c r="AD168" s="276"/>
      <c r="AE168" s="276"/>
      <c r="AF168" s="276"/>
      <c r="AG168" s="276"/>
      <c r="AH168" s="276"/>
      <c r="AI168" s="276"/>
      <c r="AJ168" s="276"/>
      <c r="AK168" s="276"/>
    </row>
    <row r="169" spans="1:37" ht="15.75" customHeight="1" x14ac:dyDescent="0.25">
      <c r="A169" s="533"/>
      <c r="B169" s="276"/>
      <c r="C169" s="276"/>
      <c r="D169" s="276"/>
      <c r="E169" s="276"/>
      <c r="F169" s="276"/>
      <c r="G169" s="353"/>
      <c r="H169" s="276"/>
      <c r="I169" s="276"/>
      <c r="J169" s="276"/>
      <c r="K169" s="276"/>
      <c r="L169" s="276"/>
      <c r="M169" s="276"/>
      <c r="N169" s="276"/>
      <c r="O169" s="276"/>
      <c r="P169" s="276"/>
      <c r="Q169" s="276"/>
      <c r="R169" s="276"/>
      <c r="S169" s="276"/>
      <c r="T169" s="276"/>
      <c r="U169" s="276"/>
      <c r="V169" s="276"/>
      <c r="W169" s="276"/>
      <c r="X169" s="354"/>
      <c r="Y169" s="276"/>
      <c r="Z169" s="276"/>
      <c r="AA169" s="276"/>
      <c r="AB169" s="276"/>
      <c r="AC169" s="276"/>
      <c r="AD169" s="276"/>
      <c r="AE169" s="276"/>
      <c r="AF169" s="276"/>
      <c r="AG169" s="276"/>
      <c r="AH169" s="276"/>
      <c r="AI169" s="276"/>
      <c r="AJ169" s="276"/>
      <c r="AK169" s="276"/>
    </row>
    <row r="170" spans="1:37" ht="15.75" customHeight="1" x14ac:dyDescent="0.25">
      <c r="A170" s="533"/>
      <c r="B170" s="276"/>
      <c r="C170" s="276"/>
      <c r="D170" s="276"/>
      <c r="E170" s="276"/>
      <c r="F170" s="276"/>
      <c r="G170" s="353"/>
      <c r="H170" s="276"/>
      <c r="I170" s="276"/>
      <c r="J170" s="276"/>
      <c r="K170" s="276"/>
      <c r="L170" s="276"/>
      <c r="M170" s="276"/>
      <c r="N170" s="276"/>
      <c r="O170" s="276"/>
      <c r="P170" s="276"/>
      <c r="Q170" s="276"/>
      <c r="R170" s="276"/>
      <c r="S170" s="276"/>
      <c r="T170" s="276"/>
      <c r="U170" s="276"/>
      <c r="V170" s="276"/>
      <c r="W170" s="276"/>
      <c r="X170" s="354"/>
      <c r="Y170" s="276"/>
      <c r="Z170" s="276"/>
      <c r="AA170" s="276"/>
      <c r="AB170" s="276"/>
      <c r="AC170" s="276"/>
      <c r="AD170" s="276"/>
      <c r="AE170" s="276"/>
      <c r="AF170" s="276"/>
      <c r="AG170" s="276"/>
      <c r="AH170" s="276"/>
      <c r="AI170" s="276"/>
      <c r="AJ170" s="276"/>
      <c r="AK170" s="276"/>
    </row>
    <row r="171" spans="1:37" ht="15.75" customHeight="1" x14ac:dyDescent="0.25">
      <c r="A171" s="533"/>
      <c r="B171" s="276"/>
      <c r="C171" s="276"/>
      <c r="D171" s="276"/>
      <c r="E171" s="276"/>
      <c r="F171" s="276"/>
      <c r="G171" s="353"/>
      <c r="H171" s="276"/>
      <c r="I171" s="276"/>
      <c r="J171" s="276"/>
      <c r="K171" s="276"/>
      <c r="L171" s="276"/>
      <c r="M171" s="276"/>
      <c r="N171" s="276"/>
      <c r="O171" s="276"/>
      <c r="P171" s="276"/>
      <c r="Q171" s="276"/>
      <c r="R171" s="276"/>
      <c r="S171" s="276"/>
      <c r="T171" s="276"/>
      <c r="U171" s="276"/>
      <c r="V171" s="276"/>
      <c r="W171" s="276"/>
      <c r="X171" s="354"/>
      <c r="Y171" s="276"/>
      <c r="Z171" s="276"/>
      <c r="AA171" s="276"/>
      <c r="AB171" s="276"/>
      <c r="AC171" s="276"/>
      <c r="AD171" s="276"/>
      <c r="AE171" s="276"/>
      <c r="AF171" s="276"/>
      <c r="AG171" s="276"/>
      <c r="AH171" s="276"/>
      <c r="AI171" s="276"/>
      <c r="AJ171" s="276"/>
      <c r="AK171" s="276"/>
    </row>
    <row r="172" spans="1:37" ht="15.75" customHeight="1" x14ac:dyDescent="0.25">
      <c r="A172" s="533"/>
      <c r="B172" s="276"/>
      <c r="C172" s="276"/>
      <c r="D172" s="276"/>
      <c r="E172" s="276"/>
      <c r="F172" s="276"/>
      <c r="G172" s="353"/>
      <c r="H172" s="276"/>
      <c r="I172" s="276"/>
      <c r="J172" s="276"/>
      <c r="K172" s="276"/>
      <c r="L172" s="276"/>
      <c r="M172" s="276"/>
      <c r="N172" s="276"/>
      <c r="O172" s="276"/>
      <c r="P172" s="276"/>
      <c r="Q172" s="276"/>
      <c r="R172" s="276"/>
      <c r="S172" s="276"/>
      <c r="T172" s="276"/>
      <c r="U172" s="276"/>
      <c r="V172" s="276"/>
      <c r="W172" s="276"/>
      <c r="X172" s="354"/>
      <c r="Y172" s="276"/>
      <c r="Z172" s="276"/>
      <c r="AA172" s="276"/>
      <c r="AB172" s="276"/>
      <c r="AC172" s="276"/>
      <c r="AD172" s="276"/>
      <c r="AE172" s="276"/>
      <c r="AF172" s="276"/>
      <c r="AG172" s="276"/>
      <c r="AH172" s="276"/>
      <c r="AI172" s="276"/>
      <c r="AJ172" s="276"/>
      <c r="AK172" s="276"/>
    </row>
    <row r="173" spans="1:37" ht="15.75" customHeight="1" x14ac:dyDescent="0.25">
      <c r="A173" s="533"/>
      <c r="B173" s="276"/>
      <c r="C173" s="276"/>
      <c r="D173" s="276"/>
      <c r="E173" s="276"/>
      <c r="F173" s="276"/>
      <c r="G173" s="353"/>
      <c r="H173" s="276"/>
      <c r="I173" s="276"/>
      <c r="J173" s="276"/>
      <c r="K173" s="276"/>
      <c r="L173" s="276"/>
      <c r="M173" s="276"/>
      <c r="N173" s="276"/>
      <c r="O173" s="276"/>
      <c r="P173" s="276"/>
      <c r="Q173" s="276"/>
      <c r="R173" s="276"/>
      <c r="S173" s="276"/>
      <c r="T173" s="276"/>
      <c r="U173" s="276"/>
      <c r="V173" s="276"/>
      <c r="W173" s="276"/>
      <c r="X173" s="354"/>
      <c r="Y173" s="276"/>
      <c r="Z173" s="276"/>
      <c r="AA173" s="276"/>
      <c r="AB173" s="276"/>
      <c r="AC173" s="276"/>
      <c r="AD173" s="276"/>
      <c r="AE173" s="276"/>
      <c r="AF173" s="276"/>
      <c r="AG173" s="276"/>
      <c r="AH173" s="276"/>
      <c r="AI173" s="276"/>
      <c r="AJ173" s="276"/>
      <c r="AK173" s="276"/>
    </row>
    <row r="174" spans="1:37" ht="15.75" customHeight="1" x14ac:dyDescent="0.25">
      <c r="A174" s="533"/>
      <c r="B174" s="276"/>
      <c r="C174" s="276"/>
      <c r="D174" s="276"/>
      <c r="E174" s="276"/>
      <c r="F174" s="276"/>
      <c r="G174" s="353"/>
      <c r="H174" s="276"/>
      <c r="I174" s="276"/>
      <c r="J174" s="276"/>
      <c r="K174" s="276"/>
      <c r="L174" s="276"/>
      <c r="M174" s="276"/>
      <c r="N174" s="276"/>
      <c r="O174" s="276"/>
      <c r="P174" s="276"/>
      <c r="Q174" s="276"/>
      <c r="R174" s="276"/>
      <c r="S174" s="276"/>
      <c r="T174" s="276"/>
      <c r="U174" s="276"/>
      <c r="V174" s="276"/>
      <c r="W174" s="276"/>
      <c r="X174" s="354"/>
      <c r="Y174" s="276"/>
      <c r="Z174" s="276"/>
      <c r="AA174" s="276"/>
      <c r="AB174" s="276"/>
      <c r="AC174" s="276"/>
      <c r="AD174" s="276"/>
      <c r="AE174" s="276"/>
      <c r="AF174" s="276"/>
      <c r="AG174" s="276"/>
      <c r="AH174" s="276"/>
      <c r="AI174" s="276"/>
      <c r="AJ174" s="276"/>
      <c r="AK174" s="276"/>
    </row>
    <row r="175" spans="1:37" ht="15.75" customHeight="1" x14ac:dyDescent="0.25">
      <c r="A175" s="533"/>
      <c r="B175" s="276"/>
      <c r="C175" s="276"/>
      <c r="D175" s="276"/>
      <c r="E175" s="276"/>
      <c r="F175" s="276"/>
      <c r="G175" s="353"/>
      <c r="H175" s="276"/>
      <c r="I175" s="276"/>
      <c r="J175" s="276"/>
      <c r="K175" s="276"/>
      <c r="L175" s="276"/>
      <c r="M175" s="276"/>
      <c r="N175" s="276"/>
      <c r="O175" s="276"/>
      <c r="P175" s="276"/>
      <c r="Q175" s="276"/>
      <c r="R175" s="276"/>
      <c r="S175" s="276"/>
      <c r="T175" s="276"/>
      <c r="U175" s="276"/>
      <c r="V175" s="276"/>
      <c r="W175" s="276"/>
      <c r="X175" s="354"/>
      <c r="Y175" s="276"/>
      <c r="Z175" s="276"/>
      <c r="AA175" s="276"/>
      <c r="AB175" s="276"/>
      <c r="AC175" s="276"/>
      <c r="AD175" s="276"/>
      <c r="AE175" s="276"/>
      <c r="AF175" s="276"/>
      <c r="AG175" s="276"/>
      <c r="AH175" s="276"/>
      <c r="AI175" s="276"/>
      <c r="AJ175" s="276"/>
      <c r="AK175" s="276"/>
    </row>
    <row r="176" spans="1:37" ht="15.75" customHeight="1" x14ac:dyDescent="0.25">
      <c r="A176" s="533"/>
      <c r="B176" s="276"/>
      <c r="C176" s="276"/>
      <c r="D176" s="276"/>
      <c r="E176" s="276"/>
      <c r="F176" s="276"/>
      <c r="G176" s="353"/>
      <c r="H176" s="276"/>
      <c r="I176" s="276"/>
      <c r="J176" s="276"/>
      <c r="K176" s="276"/>
      <c r="L176" s="276"/>
      <c r="M176" s="276"/>
      <c r="N176" s="276"/>
      <c r="O176" s="276"/>
      <c r="P176" s="276"/>
      <c r="Q176" s="276"/>
      <c r="R176" s="276"/>
      <c r="S176" s="276"/>
      <c r="T176" s="276"/>
      <c r="U176" s="276"/>
      <c r="V176" s="276"/>
      <c r="W176" s="276"/>
      <c r="X176" s="354"/>
      <c r="Y176" s="276"/>
      <c r="Z176" s="276"/>
      <c r="AA176" s="276"/>
      <c r="AB176" s="276"/>
      <c r="AC176" s="276"/>
      <c r="AD176" s="276"/>
      <c r="AE176" s="276"/>
      <c r="AF176" s="276"/>
      <c r="AG176" s="276"/>
      <c r="AH176" s="276"/>
      <c r="AI176" s="276"/>
      <c r="AJ176" s="276"/>
      <c r="AK176" s="276"/>
    </row>
    <row r="177" spans="1:37" ht="15.75" customHeight="1" x14ac:dyDescent="0.25">
      <c r="A177" s="533"/>
      <c r="B177" s="276"/>
      <c r="C177" s="276"/>
      <c r="D177" s="276"/>
      <c r="E177" s="276"/>
      <c r="F177" s="276"/>
      <c r="G177" s="353"/>
      <c r="H177" s="276"/>
      <c r="I177" s="276"/>
      <c r="J177" s="276"/>
      <c r="K177" s="276"/>
      <c r="L177" s="276"/>
      <c r="M177" s="276"/>
      <c r="N177" s="276"/>
      <c r="O177" s="276"/>
      <c r="P177" s="276"/>
      <c r="Q177" s="276"/>
      <c r="R177" s="276"/>
      <c r="S177" s="276"/>
      <c r="T177" s="276"/>
      <c r="U177" s="276"/>
      <c r="V177" s="276"/>
      <c r="W177" s="276"/>
      <c r="X177" s="354"/>
      <c r="Y177" s="276"/>
      <c r="Z177" s="276"/>
      <c r="AA177" s="276"/>
      <c r="AB177" s="276"/>
      <c r="AC177" s="276"/>
      <c r="AD177" s="276"/>
      <c r="AE177" s="276"/>
      <c r="AF177" s="276"/>
      <c r="AG177" s="276"/>
      <c r="AH177" s="276"/>
      <c r="AI177" s="276"/>
      <c r="AJ177" s="276"/>
      <c r="AK177" s="276"/>
    </row>
    <row r="178" spans="1:37" ht="15.75" customHeight="1" x14ac:dyDescent="0.25">
      <c r="A178" s="533"/>
      <c r="B178" s="276"/>
      <c r="C178" s="276"/>
      <c r="D178" s="276"/>
      <c r="E178" s="276"/>
      <c r="F178" s="276"/>
      <c r="G178" s="353"/>
      <c r="H178" s="276"/>
      <c r="I178" s="276"/>
      <c r="J178" s="276"/>
      <c r="K178" s="276"/>
      <c r="L178" s="276"/>
      <c r="M178" s="276"/>
      <c r="N178" s="276"/>
      <c r="O178" s="276"/>
      <c r="P178" s="276"/>
      <c r="Q178" s="276"/>
      <c r="R178" s="276"/>
      <c r="S178" s="276"/>
      <c r="T178" s="276"/>
      <c r="U178" s="276"/>
      <c r="V178" s="276"/>
      <c r="W178" s="276"/>
      <c r="X178" s="354"/>
      <c r="Y178" s="276"/>
      <c r="Z178" s="276"/>
      <c r="AA178" s="276"/>
      <c r="AB178" s="276"/>
      <c r="AC178" s="276"/>
      <c r="AD178" s="276"/>
      <c r="AE178" s="276"/>
      <c r="AF178" s="276"/>
      <c r="AG178" s="276"/>
      <c r="AH178" s="276"/>
      <c r="AI178" s="276"/>
      <c r="AJ178" s="276"/>
      <c r="AK178" s="276"/>
    </row>
    <row r="179" spans="1:37" ht="15.75" customHeight="1" x14ac:dyDescent="0.25">
      <c r="A179" s="533"/>
      <c r="B179" s="276"/>
      <c r="C179" s="276"/>
      <c r="D179" s="276"/>
      <c r="E179" s="276"/>
      <c r="F179" s="276"/>
      <c r="G179" s="353"/>
      <c r="H179" s="276"/>
      <c r="I179" s="276"/>
      <c r="J179" s="276"/>
      <c r="K179" s="276"/>
      <c r="L179" s="276"/>
      <c r="M179" s="276"/>
      <c r="N179" s="276"/>
      <c r="O179" s="276"/>
      <c r="P179" s="276"/>
      <c r="Q179" s="276"/>
      <c r="R179" s="276"/>
      <c r="S179" s="276"/>
      <c r="T179" s="276"/>
      <c r="U179" s="276"/>
      <c r="V179" s="276"/>
      <c r="W179" s="276"/>
      <c r="X179" s="354"/>
      <c r="Y179" s="276"/>
      <c r="Z179" s="276"/>
      <c r="AA179" s="276"/>
      <c r="AB179" s="276"/>
      <c r="AC179" s="276"/>
      <c r="AD179" s="276"/>
      <c r="AE179" s="276"/>
      <c r="AF179" s="276"/>
      <c r="AG179" s="276"/>
      <c r="AH179" s="276"/>
      <c r="AI179" s="276"/>
      <c r="AJ179" s="276"/>
      <c r="AK179" s="276"/>
    </row>
    <row r="180" spans="1:37" ht="15.75" customHeight="1" x14ac:dyDescent="0.25">
      <c r="A180" s="533"/>
      <c r="B180" s="276"/>
      <c r="C180" s="276"/>
      <c r="D180" s="276"/>
      <c r="E180" s="276"/>
      <c r="F180" s="276"/>
      <c r="G180" s="353"/>
      <c r="H180" s="276"/>
      <c r="I180" s="276"/>
      <c r="J180" s="276"/>
      <c r="K180" s="276"/>
      <c r="L180" s="276"/>
      <c r="M180" s="276"/>
      <c r="N180" s="276"/>
      <c r="O180" s="276"/>
      <c r="P180" s="276"/>
      <c r="Q180" s="276"/>
      <c r="R180" s="276"/>
      <c r="S180" s="276"/>
      <c r="T180" s="276"/>
      <c r="U180" s="276"/>
      <c r="V180" s="276"/>
      <c r="W180" s="276"/>
      <c r="X180" s="354"/>
      <c r="Y180" s="276"/>
      <c r="Z180" s="276"/>
      <c r="AA180" s="276"/>
      <c r="AB180" s="276"/>
      <c r="AC180" s="276"/>
      <c r="AD180" s="276"/>
      <c r="AE180" s="276"/>
      <c r="AF180" s="276"/>
      <c r="AG180" s="276"/>
      <c r="AH180" s="276"/>
      <c r="AI180" s="276"/>
      <c r="AJ180" s="276"/>
      <c r="AK180" s="276"/>
    </row>
    <row r="181" spans="1:37" ht="15.75" customHeight="1" x14ac:dyDescent="0.25">
      <c r="A181" s="533"/>
      <c r="B181" s="276"/>
      <c r="C181" s="276"/>
      <c r="D181" s="276"/>
      <c r="E181" s="276"/>
      <c r="F181" s="276"/>
      <c r="G181" s="353"/>
      <c r="H181" s="276"/>
      <c r="I181" s="276"/>
      <c r="J181" s="276"/>
      <c r="K181" s="276"/>
      <c r="L181" s="276"/>
      <c r="M181" s="276"/>
      <c r="N181" s="276"/>
      <c r="O181" s="276"/>
      <c r="P181" s="276"/>
      <c r="Q181" s="276"/>
      <c r="R181" s="276"/>
      <c r="S181" s="276"/>
      <c r="T181" s="276"/>
      <c r="U181" s="276"/>
      <c r="V181" s="276"/>
      <c r="W181" s="276"/>
      <c r="X181" s="354"/>
      <c r="Y181" s="276"/>
      <c r="Z181" s="276"/>
      <c r="AA181" s="276"/>
      <c r="AB181" s="276"/>
      <c r="AC181" s="276"/>
      <c r="AD181" s="276"/>
      <c r="AE181" s="276"/>
      <c r="AF181" s="276"/>
      <c r="AG181" s="276"/>
      <c r="AH181" s="276"/>
      <c r="AI181" s="276"/>
      <c r="AJ181" s="276"/>
      <c r="AK181" s="276"/>
    </row>
    <row r="182" spans="1:37" ht="15.75" customHeight="1" x14ac:dyDescent="0.25">
      <c r="A182" s="533"/>
      <c r="B182" s="276"/>
      <c r="C182" s="276"/>
      <c r="D182" s="276"/>
      <c r="E182" s="276"/>
      <c r="F182" s="276"/>
      <c r="G182" s="353"/>
      <c r="H182" s="276"/>
      <c r="I182" s="276"/>
      <c r="J182" s="276"/>
      <c r="K182" s="276"/>
      <c r="L182" s="276"/>
      <c r="M182" s="276"/>
      <c r="N182" s="276"/>
      <c r="O182" s="276"/>
      <c r="P182" s="276"/>
      <c r="Q182" s="276"/>
      <c r="R182" s="276"/>
      <c r="S182" s="276"/>
      <c r="T182" s="276"/>
      <c r="U182" s="276"/>
      <c r="V182" s="276"/>
      <c r="W182" s="276"/>
      <c r="X182" s="354"/>
      <c r="Y182" s="276"/>
      <c r="Z182" s="276"/>
      <c r="AA182" s="276"/>
      <c r="AB182" s="276"/>
      <c r="AC182" s="276"/>
      <c r="AD182" s="276"/>
      <c r="AE182" s="276"/>
      <c r="AF182" s="276"/>
      <c r="AG182" s="276"/>
      <c r="AH182" s="276"/>
      <c r="AI182" s="276"/>
      <c r="AJ182" s="276"/>
      <c r="AK182" s="276"/>
    </row>
    <row r="183" spans="1:37" ht="15.75" customHeight="1" x14ac:dyDescent="0.25">
      <c r="A183" s="533"/>
      <c r="B183" s="276"/>
      <c r="C183" s="276"/>
      <c r="D183" s="276"/>
      <c r="E183" s="276"/>
      <c r="F183" s="276"/>
      <c r="G183" s="353"/>
      <c r="H183" s="276"/>
      <c r="I183" s="276"/>
      <c r="J183" s="276"/>
      <c r="K183" s="276"/>
      <c r="L183" s="276"/>
      <c r="M183" s="276"/>
      <c r="N183" s="276"/>
      <c r="O183" s="276"/>
      <c r="P183" s="276"/>
      <c r="Q183" s="276"/>
      <c r="R183" s="276"/>
      <c r="S183" s="276"/>
      <c r="T183" s="276"/>
      <c r="U183" s="276"/>
      <c r="V183" s="276"/>
      <c r="W183" s="276"/>
      <c r="X183" s="354"/>
      <c r="Y183" s="276"/>
      <c r="Z183" s="276"/>
      <c r="AA183" s="276"/>
      <c r="AB183" s="276"/>
      <c r="AC183" s="276"/>
      <c r="AD183" s="276"/>
      <c r="AE183" s="276"/>
      <c r="AF183" s="276"/>
      <c r="AG183" s="276"/>
      <c r="AH183" s="276"/>
      <c r="AI183" s="276"/>
      <c r="AJ183" s="276"/>
      <c r="AK183" s="276"/>
    </row>
    <row r="184" spans="1:37" ht="15.75" customHeight="1" x14ac:dyDescent="0.25">
      <c r="A184" s="533"/>
      <c r="B184" s="276"/>
      <c r="C184" s="276"/>
      <c r="D184" s="276"/>
      <c r="E184" s="276"/>
      <c r="F184" s="276"/>
      <c r="G184" s="353"/>
      <c r="H184" s="276"/>
      <c r="I184" s="276"/>
      <c r="J184" s="276"/>
      <c r="K184" s="276"/>
      <c r="L184" s="276"/>
      <c r="M184" s="276"/>
      <c r="N184" s="276"/>
      <c r="O184" s="276"/>
      <c r="P184" s="276"/>
      <c r="Q184" s="276"/>
      <c r="R184" s="276"/>
      <c r="S184" s="276"/>
      <c r="T184" s="276"/>
      <c r="U184" s="276"/>
      <c r="V184" s="276"/>
      <c r="W184" s="276"/>
      <c r="X184" s="354"/>
      <c r="Y184" s="276"/>
      <c r="Z184" s="276"/>
      <c r="AA184" s="276"/>
      <c r="AB184" s="276"/>
      <c r="AC184" s="276"/>
      <c r="AD184" s="276"/>
      <c r="AE184" s="276"/>
      <c r="AF184" s="276"/>
      <c r="AG184" s="276"/>
      <c r="AH184" s="276"/>
      <c r="AI184" s="276"/>
      <c r="AJ184" s="276"/>
      <c r="AK184" s="276"/>
    </row>
    <row r="185" spans="1:37" ht="15.75" customHeight="1" x14ac:dyDescent="0.25">
      <c r="A185" s="533"/>
      <c r="B185" s="276"/>
      <c r="C185" s="276"/>
      <c r="D185" s="276"/>
      <c r="E185" s="276"/>
      <c r="F185" s="276"/>
      <c r="G185" s="353"/>
      <c r="H185" s="276"/>
      <c r="I185" s="276"/>
      <c r="J185" s="276"/>
      <c r="K185" s="276"/>
      <c r="L185" s="276"/>
      <c r="M185" s="276"/>
      <c r="N185" s="276"/>
      <c r="O185" s="276"/>
      <c r="P185" s="276"/>
      <c r="Q185" s="276"/>
      <c r="R185" s="276"/>
      <c r="S185" s="276"/>
      <c r="T185" s="276"/>
      <c r="U185" s="276"/>
      <c r="V185" s="276"/>
      <c r="W185" s="276"/>
      <c r="X185" s="354"/>
      <c r="Y185" s="276"/>
      <c r="Z185" s="276"/>
      <c r="AA185" s="276"/>
      <c r="AB185" s="276"/>
      <c r="AC185" s="276"/>
      <c r="AD185" s="276"/>
      <c r="AE185" s="276"/>
      <c r="AF185" s="276"/>
      <c r="AG185" s="276"/>
      <c r="AH185" s="276"/>
      <c r="AI185" s="276"/>
      <c r="AJ185" s="276"/>
      <c r="AK185" s="276"/>
    </row>
    <row r="186" spans="1:37" ht="15.75" customHeight="1" x14ac:dyDescent="0.25">
      <c r="A186" s="533"/>
      <c r="B186" s="276"/>
      <c r="C186" s="276"/>
      <c r="D186" s="276"/>
      <c r="E186" s="276"/>
      <c r="F186" s="276"/>
      <c r="G186" s="353"/>
      <c r="H186" s="276"/>
      <c r="I186" s="276"/>
      <c r="J186" s="276"/>
      <c r="K186" s="276"/>
      <c r="L186" s="276"/>
      <c r="M186" s="276"/>
      <c r="N186" s="276"/>
      <c r="O186" s="276"/>
      <c r="P186" s="276"/>
      <c r="Q186" s="276"/>
      <c r="R186" s="276"/>
      <c r="S186" s="276"/>
      <c r="T186" s="276"/>
      <c r="U186" s="276"/>
      <c r="V186" s="276"/>
      <c r="W186" s="276"/>
      <c r="X186" s="354"/>
      <c r="Y186" s="276"/>
      <c r="Z186" s="276"/>
      <c r="AA186" s="276"/>
      <c r="AB186" s="276"/>
      <c r="AC186" s="276"/>
      <c r="AD186" s="276"/>
      <c r="AE186" s="276"/>
      <c r="AF186" s="276"/>
      <c r="AG186" s="276"/>
      <c r="AH186" s="276"/>
      <c r="AI186" s="276"/>
      <c r="AJ186" s="276"/>
      <c r="AK186" s="276"/>
    </row>
    <row r="187" spans="1:37" ht="15.75" customHeight="1" x14ac:dyDescent="0.25">
      <c r="A187" s="533"/>
      <c r="B187" s="276"/>
      <c r="C187" s="276"/>
      <c r="D187" s="276"/>
      <c r="E187" s="276"/>
      <c r="F187" s="276"/>
      <c r="G187" s="353"/>
      <c r="H187" s="276"/>
      <c r="I187" s="276"/>
      <c r="J187" s="276"/>
      <c r="K187" s="276"/>
      <c r="L187" s="276"/>
      <c r="M187" s="276"/>
      <c r="N187" s="276"/>
      <c r="O187" s="276"/>
      <c r="P187" s="276"/>
      <c r="Q187" s="276"/>
      <c r="R187" s="276"/>
      <c r="S187" s="276"/>
      <c r="T187" s="276"/>
      <c r="U187" s="276"/>
      <c r="V187" s="276"/>
      <c r="W187" s="276"/>
      <c r="X187" s="354"/>
      <c r="Y187" s="276"/>
      <c r="Z187" s="276"/>
      <c r="AA187" s="276"/>
      <c r="AB187" s="276"/>
      <c r="AC187" s="276"/>
      <c r="AD187" s="276"/>
      <c r="AE187" s="276"/>
      <c r="AF187" s="276"/>
      <c r="AG187" s="276"/>
      <c r="AH187" s="276"/>
      <c r="AI187" s="276"/>
      <c r="AJ187" s="276"/>
      <c r="AK187" s="276"/>
    </row>
    <row r="188" spans="1:37" ht="15.75" customHeight="1" x14ac:dyDescent="0.25">
      <c r="A188" s="533"/>
      <c r="B188" s="276"/>
      <c r="C188" s="276"/>
      <c r="D188" s="276"/>
      <c r="E188" s="276"/>
      <c r="F188" s="276"/>
      <c r="G188" s="353"/>
      <c r="H188" s="276"/>
      <c r="I188" s="276"/>
      <c r="J188" s="276"/>
      <c r="K188" s="276"/>
      <c r="L188" s="276"/>
      <c r="M188" s="276"/>
      <c r="N188" s="276"/>
      <c r="O188" s="276"/>
      <c r="P188" s="276"/>
      <c r="Q188" s="276"/>
      <c r="R188" s="276"/>
      <c r="S188" s="276"/>
      <c r="T188" s="276"/>
      <c r="U188" s="276"/>
      <c r="V188" s="276"/>
      <c r="W188" s="276"/>
      <c r="X188" s="354"/>
      <c r="Y188" s="276"/>
      <c r="Z188" s="276"/>
      <c r="AA188" s="276"/>
      <c r="AB188" s="276"/>
      <c r="AC188" s="276"/>
      <c r="AD188" s="276"/>
      <c r="AE188" s="276"/>
      <c r="AF188" s="276"/>
      <c r="AG188" s="276"/>
      <c r="AH188" s="276"/>
      <c r="AI188" s="276"/>
      <c r="AJ188" s="276"/>
      <c r="AK188" s="276"/>
    </row>
    <row r="189" spans="1:37" ht="15.75" customHeight="1" x14ac:dyDescent="0.25">
      <c r="A189" s="533"/>
      <c r="B189" s="276"/>
      <c r="C189" s="276"/>
      <c r="D189" s="276"/>
      <c r="E189" s="276"/>
      <c r="F189" s="276"/>
      <c r="G189" s="353"/>
      <c r="H189" s="276"/>
      <c r="I189" s="276"/>
      <c r="J189" s="276"/>
      <c r="K189" s="276"/>
      <c r="L189" s="276"/>
      <c r="M189" s="276"/>
      <c r="N189" s="276"/>
      <c r="O189" s="276"/>
      <c r="P189" s="276"/>
      <c r="Q189" s="276"/>
      <c r="R189" s="276"/>
      <c r="S189" s="276"/>
      <c r="T189" s="276"/>
      <c r="U189" s="276"/>
      <c r="V189" s="276"/>
      <c r="W189" s="276"/>
      <c r="X189" s="354"/>
      <c r="Y189" s="276"/>
      <c r="Z189" s="276"/>
      <c r="AA189" s="276"/>
      <c r="AB189" s="276"/>
      <c r="AC189" s="276"/>
      <c r="AD189" s="276"/>
      <c r="AE189" s="276"/>
      <c r="AF189" s="276"/>
      <c r="AG189" s="276"/>
      <c r="AH189" s="276"/>
      <c r="AI189" s="276"/>
      <c r="AJ189" s="276"/>
      <c r="AK189" s="276"/>
    </row>
    <row r="190" spans="1:37" ht="15.75" customHeight="1" x14ac:dyDescent="0.25">
      <c r="A190" s="533"/>
      <c r="B190" s="276"/>
      <c r="C190" s="276"/>
      <c r="D190" s="276"/>
      <c r="E190" s="276"/>
      <c r="F190" s="276"/>
      <c r="G190" s="353"/>
      <c r="H190" s="276"/>
      <c r="I190" s="276"/>
      <c r="J190" s="276"/>
      <c r="K190" s="276"/>
      <c r="L190" s="276"/>
      <c r="M190" s="276"/>
      <c r="N190" s="276"/>
      <c r="O190" s="276"/>
      <c r="P190" s="276"/>
      <c r="Q190" s="276"/>
      <c r="R190" s="276"/>
      <c r="S190" s="276"/>
      <c r="T190" s="276"/>
      <c r="U190" s="276"/>
      <c r="V190" s="276"/>
      <c r="W190" s="276"/>
      <c r="X190" s="354"/>
      <c r="Y190" s="276"/>
      <c r="Z190" s="276"/>
      <c r="AA190" s="276"/>
      <c r="AB190" s="276"/>
      <c r="AC190" s="276"/>
      <c r="AD190" s="276"/>
      <c r="AE190" s="276"/>
      <c r="AF190" s="276"/>
      <c r="AG190" s="276"/>
      <c r="AH190" s="276"/>
      <c r="AI190" s="276"/>
      <c r="AJ190" s="276"/>
      <c r="AK190" s="276"/>
    </row>
    <row r="191" spans="1:37" ht="15.75" customHeight="1" x14ac:dyDescent="0.25">
      <c r="A191" s="533"/>
      <c r="B191" s="276"/>
      <c r="C191" s="276"/>
      <c r="D191" s="276"/>
      <c r="E191" s="276"/>
      <c r="F191" s="276"/>
      <c r="G191" s="353"/>
      <c r="H191" s="276"/>
      <c r="I191" s="276"/>
      <c r="J191" s="276"/>
      <c r="K191" s="276"/>
      <c r="L191" s="276"/>
      <c r="M191" s="276"/>
      <c r="N191" s="276"/>
      <c r="O191" s="276"/>
      <c r="P191" s="276"/>
      <c r="Q191" s="276"/>
      <c r="R191" s="276"/>
      <c r="S191" s="276"/>
      <c r="T191" s="276"/>
      <c r="U191" s="276"/>
      <c r="V191" s="276"/>
      <c r="W191" s="276"/>
      <c r="X191" s="354"/>
      <c r="Y191" s="276"/>
      <c r="Z191" s="276"/>
      <c r="AA191" s="276"/>
      <c r="AB191" s="276"/>
      <c r="AC191" s="276"/>
      <c r="AD191" s="276"/>
      <c r="AE191" s="276"/>
      <c r="AF191" s="276"/>
      <c r="AG191" s="276"/>
      <c r="AH191" s="276"/>
      <c r="AI191" s="276"/>
      <c r="AJ191" s="276"/>
      <c r="AK191" s="276"/>
    </row>
    <row r="192" spans="1:37" ht="15.75" customHeight="1" x14ac:dyDescent="0.25">
      <c r="A192" s="533"/>
      <c r="B192" s="276"/>
      <c r="C192" s="276"/>
      <c r="D192" s="276"/>
      <c r="E192" s="276"/>
      <c r="F192" s="276"/>
      <c r="G192" s="353"/>
      <c r="H192" s="276"/>
      <c r="I192" s="276"/>
      <c r="J192" s="276"/>
      <c r="K192" s="276"/>
      <c r="L192" s="276"/>
      <c r="M192" s="276"/>
      <c r="N192" s="276"/>
      <c r="O192" s="276"/>
      <c r="P192" s="276"/>
      <c r="Q192" s="276"/>
      <c r="R192" s="276"/>
      <c r="S192" s="276"/>
      <c r="T192" s="276"/>
      <c r="U192" s="276"/>
      <c r="V192" s="276"/>
      <c r="W192" s="276"/>
      <c r="X192" s="354"/>
      <c r="Y192" s="276"/>
      <c r="Z192" s="276"/>
      <c r="AA192" s="276"/>
      <c r="AB192" s="276"/>
      <c r="AC192" s="276"/>
      <c r="AD192" s="276"/>
      <c r="AE192" s="276"/>
      <c r="AF192" s="276"/>
      <c r="AG192" s="276"/>
      <c r="AH192" s="276"/>
      <c r="AI192" s="276"/>
      <c r="AJ192" s="276"/>
      <c r="AK192" s="276"/>
    </row>
    <row r="193" spans="1:37" ht="15.75" customHeight="1" x14ac:dyDescent="0.25">
      <c r="A193" s="533"/>
      <c r="B193" s="276"/>
      <c r="C193" s="276"/>
      <c r="D193" s="276"/>
      <c r="E193" s="276"/>
      <c r="F193" s="276"/>
      <c r="G193" s="353"/>
      <c r="H193" s="276"/>
      <c r="I193" s="276"/>
      <c r="J193" s="276"/>
      <c r="K193" s="276"/>
      <c r="L193" s="276"/>
      <c r="M193" s="276"/>
      <c r="N193" s="276"/>
      <c r="O193" s="276"/>
      <c r="P193" s="276"/>
      <c r="Q193" s="276"/>
      <c r="R193" s="276"/>
      <c r="S193" s="276"/>
      <c r="T193" s="276"/>
      <c r="U193" s="276"/>
      <c r="V193" s="276"/>
      <c r="W193" s="276"/>
      <c r="X193" s="354"/>
      <c r="Y193" s="276"/>
      <c r="Z193" s="276"/>
      <c r="AA193" s="276"/>
      <c r="AB193" s="276"/>
      <c r="AC193" s="276"/>
      <c r="AD193" s="276"/>
      <c r="AE193" s="276"/>
      <c r="AF193" s="276"/>
      <c r="AG193" s="276"/>
      <c r="AH193" s="276"/>
      <c r="AI193" s="276"/>
      <c r="AJ193" s="276"/>
      <c r="AK193" s="276"/>
    </row>
    <row r="194" spans="1:37" ht="15.75" customHeight="1" x14ac:dyDescent="0.25">
      <c r="A194" s="533"/>
      <c r="B194" s="276"/>
      <c r="C194" s="276"/>
      <c r="D194" s="276"/>
      <c r="E194" s="276"/>
      <c r="F194" s="276"/>
      <c r="G194" s="353"/>
      <c r="H194" s="276"/>
      <c r="I194" s="276"/>
      <c r="J194" s="276"/>
      <c r="K194" s="276"/>
      <c r="L194" s="276"/>
      <c r="M194" s="276"/>
      <c r="N194" s="276"/>
      <c r="O194" s="276"/>
      <c r="P194" s="276"/>
      <c r="Q194" s="276"/>
      <c r="R194" s="276"/>
      <c r="S194" s="276"/>
      <c r="T194" s="276"/>
      <c r="U194" s="276"/>
      <c r="V194" s="276"/>
      <c r="W194" s="276"/>
      <c r="X194" s="354"/>
      <c r="Y194" s="276"/>
      <c r="Z194" s="276"/>
      <c r="AA194" s="276"/>
      <c r="AB194" s="276"/>
      <c r="AC194" s="276"/>
      <c r="AD194" s="276"/>
      <c r="AE194" s="276"/>
      <c r="AF194" s="276"/>
      <c r="AG194" s="276"/>
      <c r="AH194" s="276"/>
      <c r="AI194" s="276"/>
      <c r="AJ194" s="276"/>
      <c r="AK194" s="276"/>
    </row>
    <row r="195" spans="1:37" ht="15.75" customHeight="1" x14ac:dyDescent="0.25">
      <c r="A195" s="533"/>
      <c r="B195" s="276"/>
      <c r="C195" s="276"/>
      <c r="D195" s="276"/>
      <c r="E195" s="276"/>
      <c r="F195" s="276"/>
      <c r="G195" s="353"/>
      <c r="H195" s="276"/>
      <c r="I195" s="276"/>
      <c r="J195" s="276"/>
      <c r="K195" s="276"/>
      <c r="L195" s="276"/>
      <c r="M195" s="276"/>
      <c r="N195" s="276"/>
      <c r="O195" s="276"/>
      <c r="P195" s="276"/>
      <c r="Q195" s="276"/>
      <c r="R195" s="276"/>
      <c r="S195" s="276"/>
      <c r="T195" s="276"/>
      <c r="U195" s="276"/>
      <c r="V195" s="276"/>
      <c r="W195" s="276"/>
      <c r="X195" s="354"/>
      <c r="Y195" s="276"/>
      <c r="Z195" s="276"/>
      <c r="AA195" s="276"/>
      <c r="AB195" s="276"/>
      <c r="AC195" s="276"/>
      <c r="AD195" s="276"/>
      <c r="AE195" s="276"/>
      <c r="AF195" s="276"/>
      <c r="AG195" s="276"/>
      <c r="AH195" s="276"/>
      <c r="AI195" s="276"/>
      <c r="AJ195" s="276"/>
      <c r="AK195" s="276"/>
    </row>
    <row r="196" spans="1:37" ht="15.75" customHeight="1" x14ac:dyDescent="0.25">
      <c r="A196" s="533"/>
      <c r="B196" s="276"/>
      <c r="C196" s="276"/>
      <c r="D196" s="276"/>
      <c r="E196" s="276"/>
      <c r="F196" s="276"/>
      <c r="G196" s="353"/>
      <c r="H196" s="276"/>
      <c r="I196" s="276"/>
      <c r="J196" s="276"/>
      <c r="K196" s="276"/>
      <c r="L196" s="276"/>
      <c r="M196" s="276"/>
      <c r="N196" s="276"/>
      <c r="O196" s="276"/>
      <c r="P196" s="276"/>
      <c r="Q196" s="276"/>
      <c r="R196" s="276"/>
      <c r="S196" s="276"/>
      <c r="T196" s="276"/>
      <c r="U196" s="276"/>
      <c r="V196" s="276"/>
      <c r="W196" s="276"/>
      <c r="X196" s="354"/>
      <c r="Y196" s="276"/>
      <c r="Z196" s="276"/>
      <c r="AA196" s="276"/>
      <c r="AB196" s="276"/>
      <c r="AC196" s="276"/>
      <c r="AD196" s="276"/>
      <c r="AE196" s="276"/>
      <c r="AF196" s="276"/>
      <c r="AG196" s="276"/>
      <c r="AH196" s="276"/>
      <c r="AI196" s="276"/>
      <c r="AJ196" s="276"/>
      <c r="AK196" s="276"/>
    </row>
    <row r="197" spans="1:37" ht="15.75" customHeight="1" x14ac:dyDescent="0.25">
      <c r="A197" s="533"/>
      <c r="B197" s="276"/>
      <c r="C197" s="276"/>
      <c r="D197" s="276"/>
      <c r="E197" s="276"/>
      <c r="F197" s="276"/>
      <c r="G197" s="353"/>
      <c r="H197" s="276"/>
      <c r="I197" s="276"/>
      <c r="J197" s="276"/>
      <c r="K197" s="276"/>
      <c r="L197" s="276"/>
      <c r="M197" s="276"/>
      <c r="N197" s="276"/>
      <c r="O197" s="276"/>
      <c r="P197" s="276"/>
      <c r="Q197" s="276"/>
      <c r="R197" s="276"/>
      <c r="S197" s="276"/>
      <c r="T197" s="276"/>
      <c r="U197" s="276"/>
      <c r="V197" s="276"/>
      <c r="W197" s="276"/>
      <c r="X197" s="354"/>
      <c r="Y197" s="276"/>
      <c r="Z197" s="276"/>
      <c r="AA197" s="276"/>
      <c r="AB197" s="276"/>
      <c r="AC197" s="276"/>
      <c r="AD197" s="276"/>
      <c r="AE197" s="276"/>
      <c r="AF197" s="276"/>
      <c r="AG197" s="276"/>
      <c r="AH197" s="276"/>
      <c r="AI197" s="276"/>
      <c r="AJ197" s="276"/>
      <c r="AK197" s="276"/>
    </row>
    <row r="198" spans="1:37" ht="15.75" customHeight="1" x14ac:dyDescent="0.25">
      <c r="A198" s="533"/>
      <c r="B198" s="276"/>
      <c r="C198" s="276"/>
      <c r="D198" s="276"/>
      <c r="E198" s="276"/>
      <c r="F198" s="276"/>
      <c r="G198" s="353"/>
      <c r="H198" s="276"/>
      <c r="I198" s="276"/>
      <c r="J198" s="276"/>
      <c r="K198" s="276"/>
      <c r="L198" s="276"/>
      <c r="M198" s="276"/>
      <c r="N198" s="276"/>
      <c r="O198" s="276"/>
      <c r="P198" s="276"/>
      <c r="Q198" s="276"/>
      <c r="R198" s="276"/>
      <c r="S198" s="276"/>
      <c r="T198" s="276"/>
      <c r="U198" s="276"/>
      <c r="V198" s="276"/>
      <c r="W198" s="276"/>
      <c r="X198" s="354"/>
      <c r="Y198" s="276"/>
      <c r="Z198" s="276"/>
      <c r="AA198" s="276"/>
      <c r="AB198" s="276"/>
      <c r="AC198" s="276"/>
      <c r="AD198" s="276"/>
      <c r="AE198" s="276"/>
      <c r="AF198" s="276"/>
      <c r="AG198" s="276"/>
      <c r="AH198" s="276"/>
      <c r="AI198" s="276"/>
      <c r="AJ198" s="276"/>
      <c r="AK198" s="276"/>
    </row>
    <row r="199" spans="1:37" ht="15.75" customHeight="1" x14ac:dyDescent="0.25">
      <c r="A199" s="533"/>
      <c r="B199" s="276"/>
      <c r="C199" s="276"/>
      <c r="D199" s="276"/>
      <c r="E199" s="276"/>
      <c r="F199" s="276"/>
      <c r="G199" s="353"/>
      <c r="H199" s="276"/>
      <c r="I199" s="276"/>
      <c r="J199" s="276"/>
      <c r="K199" s="276"/>
      <c r="L199" s="276"/>
      <c r="M199" s="276"/>
      <c r="N199" s="276"/>
      <c r="O199" s="276"/>
      <c r="P199" s="276"/>
      <c r="Q199" s="276"/>
      <c r="R199" s="276"/>
      <c r="S199" s="276"/>
      <c r="T199" s="276"/>
      <c r="U199" s="276"/>
      <c r="V199" s="276"/>
      <c r="W199" s="276"/>
      <c r="X199" s="354"/>
      <c r="Y199" s="276"/>
      <c r="Z199" s="276"/>
      <c r="AA199" s="276"/>
      <c r="AB199" s="276"/>
      <c r="AC199" s="276"/>
      <c r="AD199" s="276"/>
      <c r="AE199" s="276"/>
      <c r="AF199" s="276"/>
      <c r="AG199" s="276"/>
      <c r="AH199" s="276"/>
      <c r="AI199" s="276"/>
      <c r="AJ199" s="276"/>
      <c r="AK199" s="276"/>
    </row>
    <row r="200" spans="1:37" ht="15.75" customHeight="1" x14ac:dyDescent="0.25">
      <c r="A200" s="533"/>
      <c r="B200" s="276"/>
      <c r="C200" s="276"/>
      <c r="D200" s="276"/>
      <c r="E200" s="276"/>
      <c r="F200" s="276"/>
      <c r="G200" s="353"/>
      <c r="H200" s="276"/>
      <c r="I200" s="276"/>
      <c r="J200" s="276"/>
      <c r="K200" s="276"/>
      <c r="L200" s="276"/>
      <c r="M200" s="276"/>
      <c r="N200" s="276"/>
      <c r="O200" s="276"/>
      <c r="P200" s="276"/>
      <c r="Q200" s="276"/>
      <c r="R200" s="276"/>
      <c r="S200" s="276"/>
      <c r="T200" s="276"/>
      <c r="U200" s="276"/>
      <c r="V200" s="276"/>
      <c r="W200" s="276"/>
      <c r="X200" s="354"/>
      <c r="Y200" s="276"/>
      <c r="Z200" s="276"/>
      <c r="AA200" s="276"/>
      <c r="AB200" s="276"/>
      <c r="AC200" s="276"/>
      <c r="AD200" s="276"/>
      <c r="AE200" s="276"/>
      <c r="AF200" s="276"/>
      <c r="AG200" s="276"/>
      <c r="AH200" s="276"/>
      <c r="AI200" s="276"/>
      <c r="AJ200" s="276"/>
      <c r="AK200" s="276"/>
    </row>
    <row r="201" spans="1:37" ht="15.75" customHeight="1" x14ac:dyDescent="0.25">
      <c r="A201" s="533"/>
      <c r="B201" s="276"/>
      <c r="C201" s="276"/>
      <c r="D201" s="276"/>
      <c r="E201" s="276"/>
      <c r="F201" s="276"/>
      <c r="G201" s="353"/>
      <c r="H201" s="276"/>
      <c r="I201" s="276"/>
      <c r="J201" s="276"/>
      <c r="K201" s="276"/>
      <c r="L201" s="276"/>
      <c r="M201" s="276"/>
      <c r="N201" s="276"/>
      <c r="O201" s="276"/>
      <c r="P201" s="276"/>
      <c r="Q201" s="276"/>
      <c r="R201" s="276"/>
      <c r="S201" s="276"/>
      <c r="T201" s="276"/>
      <c r="U201" s="276"/>
      <c r="V201" s="276"/>
      <c r="W201" s="276"/>
      <c r="X201" s="354"/>
      <c r="Y201" s="276"/>
      <c r="Z201" s="276"/>
      <c r="AA201" s="276"/>
      <c r="AB201" s="276"/>
      <c r="AC201" s="276"/>
      <c r="AD201" s="276"/>
      <c r="AE201" s="276"/>
      <c r="AF201" s="276"/>
      <c r="AG201" s="276"/>
      <c r="AH201" s="276"/>
      <c r="AI201" s="276"/>
      <c r="AJ201" s="276"/>
      <c r="AK201" s="276"/>
    </row>
    <row r="202" spans="1:37" ht="15.75" customHeight="1" x14ac:dyDescent="0.25">
      <c r="A202" s="533"/>
      <c r="B202" s="276"/>
      <c r="C202" s="276"/>
      <c r="D202" s="276"/>
      <c r="E202" s="276"/>
      <c r="F202" s="276"/>
      <c r="G202" s="353"/>
      <c r="H202" s="276"/>
      <c r="I202" s="276"/>
      <c r="J202" s="276"/>
      <c r="K202" s="276"/>
      <c r="L202" s="276"/>
      <c r="M202" s="276"/>
      <c r="N202" s="276"/>
      <c r="O202" s="276"/>
      <c r="P202" s="276"/>
      <c r="Q202" s="276"/>
      <c r="R202" s="276"/>
      <c r="S202" s="276"/>
      <c r="T202" s="276"/>
      <c r="U202" s="276"/>
      <c r="V202" s="276"/>
      <c r="W202" s="276"/>
      <c r="X202" s="354"/>
      <c r="Y202" s="276"/>
      <c r="Z202" s="276"/>
      <c r="AA202" s="276"/>
      <c r="AB202" s="276"/>
      <c r="AC202" s="276"/>
      <c r="AD202" s="276"/>
      <c r="AE202" s="276"/>
      <c r="AF202" s="276"/>
      <c r="AG202" s="276"/>
      <c r="AH202" s="276"/>
      <c r="AI202" s="276"/>
      <c r="AJ202" s="276"/>
      <c r="AK202" s="276"/>
    </row>
    <row r="203" spans="1:37" ht="15.75" customHeight="1" x14ac:dyDescent="0.25">
      <c r="A203" s="533"/>
      <c r="B203" s="276"/>
      <c r="C203" s="276"/>
      <c r="D203" s="276"/>
      <c r="E203" s="276"/>
      <c r="F203" s="276"/>
      <c r="G203" s="353"/>
      <c r="H203" s="276"/>
      <c r="I203" s="276"/>
      <c r="J203" s="276"/>
      <c r="K203" s="276"/>
      <c r="L203" s="276"/>
      <c r="M203" s="276"/>
      <c r="N203" s="276"/>
      <c r="O203" s="276"/>
      <c r="P203" s="276"/>
      <c r="Q203" s="276"/>
      <c r="R203" s="276"/>
      <c r="S203" s="276"/>
      <c r="T203" s="276"/>
      <c r="U203" s="276"/>
      <c r="V203" s="276"/>
      <c r="W203" s="276"/>
      <c r="X203" s="354"/>
      <c r="Y203" s="276"/>
      <c r="Z203" s="276"/>
      <c r="AA203" s="276"/>
      <c r="AB203" s="276"/>
      <c r="AC203" s="276"/>
      <c r="AD203" s="276"/>
      <c r="AE203" s="276"/>
      <c r="AF203" s="276"/>
      <c r="AG203" s="276"/>
      <c r="AH203" s="276"/>
      <c r="AI203" s="276"/>
      <c r="AJ203" s="276"/>
      <c r="AK203" s="276"/>
    </row>
    <row r="204" spans="1:37" ht="15.75" customHeight="1" x14ac:dyDescent="0.25">
      <c r="A204" s="533"/>
      <c r="B204" s="276"/>
      <c r="C204" s="276"/>
      <c r="D204" s="276"/>
      <c r="E204" s="276"/>
      <c r="F204" s="276"/>
      <c r="G204" s="353"/>
      <c r="H204" s="276"/>
      <c r="I204" s="276"/>
      <c r="J204" s="276"/>
      <c r="K204" s="276"/>
      <c r="L204" s="276"/>
      <c r="M204" s="276"/>
      <c r="N204" s="276"/>
      <c r="O204" s="276"/>
      <c r="P204" s="276"/>
      <c r="Q204" s="276"/>
      <c r="R204" s="276"/>
      <c r="S204" s="276"/>
      <c r="T204" s="276"/>
      <c r="U204" s="276"/>
      <c r="V204" s="276"/>
      <c r="W204" s="276"/>
      <c r="X204" s="354"/>
      <c r="Y204" s="276"/>
      <c r="Z204" s="276"/>
      <c r="AA204" s="276"/>
      <c r="AB204" s="276"/>
      <c r="AC204" s="276"/>
      <c r="AD204" s="276"/>
      <c r="AE204" s="276"/>
      <c r="AF204" s="276"/>
      <c r="AG204" s="276"/>
      <c r="AH204" s="276"/>
      <c r="AI204" s="276"/>
      <c r="AJ204" s="276"/>
      <c r="AK204" s="276"/>
    </row>
    <row r="205" spans="1:37" ht="15.75" customHeight="1" x14ac:dyDescent="0.25">
      <c r="A205" s="533"/>
      <c r="B205" s="276"/>
      <c r="C205" s="276"/>
      <c r="D205" s="276"/>
      <c r="E205" s="276"/>
      <c r="F205" s="276"/>
      <c r="G205" s="353"/>
      <c r="H205" s="276"/>
      <c r="I205" s="276"/>
      <c r="J205" s="276"/>
      <c r="K205" s="276"/>
      <c r="L205" s="276"/>
      <c r="M205" s="276"/>
      <c r="N205" s="276"/>
      <c r="O205" s="276"/>
      <c r="P205" s="276"/>
      <c r="Q205" s="276"/>
      <c r="R205" s="276"/>
      <c r="S205" s="276"/>
      <c r="T205" s="276"/>
      <c r="U205" s="276"/>
      <c r="V205" s="276"/>
      <c r="W205" s="276"/>
      <c r="X205" s="354"/>
      <c r="Y205" s="276"/>
      <c r="Z205" s="276"/>
      <c r="AA205" s="276"/>
      <c r="AB205" s="276"/>
      <c r="AC205" s="276"/>
      <c r="AD205" s="276"/>
      <c r="AE205" s="276"/>
      <c r="AF205" s="276"/>
      <c r="AG205" s="276"/>
      <c r="AH205" s="276"/>
      <c r="AI205" s="276"/>
      <c r="AJ205" s="276"/>
      <c r="AK205" s="276"/>
    </row>
    <row r="206" spans="1:37" ht="15.75" customHeight="1" x14ac:dyDescent="0.25">
      <c r="A206" s="533"/>
      <c r="B206" s="276"/>
      <c r="C206" s="276"/>
      <c r="D206" s="276"/>
      <c r="E206" s="276"/>
      <c r="F206" s="276"/>
      <c r="G206" s="353"/>
      <c r="H206" s="276"/>
      <c r="I206" s="276"/>
      <c r="J206" s="276"/>
      <c r="K206" s="276"/>
      <c r="L206" s="276"/>
      <c r="M206" s="276"/>
      <c r="N206" s="276"/>
      <c r="O206" s="276"/>
      <c r="P206" s="276"/>
      <c r="Q206" s="276"/>
      <c r="R206" s="276"/>
      <c r="S206" s="276"/>
      <c r="T206" s="276"/>
      <c r="U206" s="276"/>
      <c r="V206" s="276"/>
      <c r="W206" s="276"/>
      <c r="X206" s="354"/>
      <c r="Y206" s="276"/>
      <c r="Z206" s="276"/>
      <c r="AA206" s="276"/>
      <c r="AB206" s="276"/>
      <c r="AC206" s="276"/>
      <c r="AD206" s="276"/>
      <c r="AE206" s="276"/>
      <c r="AF206" s="276"/>
      <c r="AG206" s="276"/>
      <c r="AH206" s="276"/>
      <c r="AI206" s="276"/>
      <c r="AJ206" s="276"/>
      <c r="AK206" s="276"/>
    </row>
    <row r="207" spans="1:37" ht="15.75" customHeight="1" x14ac:dyDescent="0.25">
      <c r="A207" s="533"/>
      <c r="B207" s="276"/>
      <c r="C207" s="276"/>
      <c r="D207" s="276"/>
      <c r="E207" s="276"/>
      <c r="F207" s="276"/>
      <c r="G207" s="353"/>
      <c r="H207" s="276"/>
      <c r="I207" s="276"/>
      <c r="J207" s="276"/>
      <c r="K207" s="276"/>
      <c r="L207" s="276"/>
      <c r="M207" s="276"/>
      <c r="N207" s="276"/>
      <c r="O207" s="276"/>
      <c r="P207" s="276"/>
      <c r="Q207" s="276"/>
      <c r="R207" s="276"/>
      <c r="S207" s="276"/>
      <c r="T207" s="276"/>
      <c r="U207" s="276"/>
      <c r="V207" s="276"/>
      <c r="W207" s="276"/>
      <c r="X207" s="354"/>
      <c r="Y207" s="276"/>
      <c r="Z207" s="276"/>
      <c r="AA207" s="276"/>
      <c r="AB207" s="276"/>
      <c r="AC207" s="276"/>
      <c r="AD207" s="276"/>
      <c r="AE207" s="276"/>
      <c r="AF207" s="276"/>
      <c r="AG207" s="276"/>
      <c r="AH207" s="276"/>
      <c r="AI207" s="276"/>
      <c r="AJ207" s="276"/>
      <c r="AK207" s="276"/>
    </row>
    <row r="208" spans="1:37" ht="15.75" customHeight="1" x14ac:dyDescent="0.25">
      <c r="A208" s="533"/>
      <c r="B208" s="276"/>
      <c r="C208" s="276"/>
      <c r="D208" s="276"/>
      <c r="E208" s="276"/>
      <c r="F208" s="276"/>
      <c r="G208" s="353"/>
      <c r="H208" s="276"/>
      <c r="I208" s="276"/>
      <c r="J208" s="276"/>
      <c r="K208" s="276"/>
      <c r="L208" s="276"/>
      <c r="M208" s="276"/>
      <c r="N208" s="276"/>
      <c r="O208" s="276"/>
      <c r="P208" s="276"/>
      <c r="Q208" s="276"/>
      <c r="R208" s="276"/>
      <c r="S208" s="276"/>
      <c r="T208" s="276"/>
      <c r="U208" s="276"/>
      <c r="V208" s="276"/>
      <c r="W208" s="276"/>
      <c r="X208" s="354"/>
      <c r="Y208" s="276"/>
      <c r="Z208" s="276"/>
      <c r="AA208" s="276"/>
      <c r="AB208" s="276"/>
      <c r="AC208" s="276"/>
      <c r="AD208" s="276"/>
      <c r="AE208" s="276"/>
      <c r="AF208" s="276"/>
      <c r="AG208" s="276"/>
      <c r="AH208" s="276"/>
      <c r="AI208" s="276"/>
      <c r="AJ208" s="276"/>
      <c r="AK208" s="276"/>
    </row>
    <row r="209" spans="1:37" ht="15.75" customHeight="1" x14ac:dyDescent="0.25">
      <c r="A209" s="533"/>
      <c r="B209" s="276"/>
      <c r="C209" s="276"/>
      <c r="D209" s="276"/>
      <c r="E209" s="276"/>
      <c r="F209" s="276"/>
      <c r="G209" s="353"/>
      <c r="H209" s="276"/>
      <c r="I209" s="276"/>
      <c r="J209" s="276"/>
      <c r="K209" s="276"/>
      <c r="L209" s="276"/>
      <c r="M209" s="276"/>
      <c r="N209" s="276"/>
      <c r="O209" s="276"/>
      <c r="P209" s="276"/>
      <c r="Q209" s="276"/>
      <c r="R209" s="276"/>
      <c r="S209" s="276"/>
      <c r="T209" s="276"/>
      <c r="U209" s="276"/>
      <c r="V209" s="276"/>
      <c r="W209" s="276"/>
      <c r="X209" s="354"/>
      <c r="Y209" s="276"/>
      <c r="Z209" s="276"/>
      <c r="AA209" s="276"/>
      <c r="AB209" s="276"/>
      <c r="AC209" s="276"/>
      <c r="AD209" s="276"/>
      <c r="AE209" s="276"/>
      <c r="AF209" s="276"/>
      <c r="AG209" s="276"/>
      <c r="AH209" s="276"/>
      <c r="AI209" s="276"/>
      <c r="AJ209" s="276"/>
      <c r="AK209" s="276"/>
    </row>
    <row r="210" spans="1:37" ht="15.75" customHeight="1" x14ac:dyDescent="0.25">
      <c r="A210" s="533"/>
      <c r="B210" s="276"/>
      <c r="C210" s="276"/>
      <c r="D210" s="276"/>
      <c r="E210" s="276"/>
      <c r="F210" s="276"/>
      <c r="G210" s="353"/>
      <c r="H210" s="276"/>
      <c r="I210" s="276"/>
      <c r="J210" s="276"/>
      <c r="K210" s="276"/>
      <c r="L210" s="276"/>
      <c r="M210" s="276"/>
      <c r="N210" s="276"/>
      <c r="O210" s="276"/>
      <c r="P210" s="276"/>
      <c r="Q210" s="276"/>
      <c r="R210" s="276"/>
      <c r="S210" s="276"/>
      <c r="T210" s="276"/>
      <c r="U210" s="276"/>
      <c r="V210" s="276"/>
      <c r="W210" s="276"/>
      <c r="X210" s="354"/>
      <c r="Y210" s="276"/>
      <c r="Z210" s="276"/>
      <c r="AA210" s="276"/>
      <c r="AB210" s="276"/>
      <c r="AC210" s="276"/>
      <c r="AD210" s="276"/>
      <c r="AE210" s="276"/>
      <c r="AF210" s="276"/>
      <c r="AG210" s="276"/>
      <c r="AH210" s="276"/>
      <c r="AI210" s="276"/>
      <c r="AJ210" s="276"/>
      <c r="AK210" s="276"/>
    </row>
    <row r="211" spans="1:37" ht="15.75" customHeight="1" x14ac:dyDescent="0.25">
      <c r="A211" s="533"/>
      <c r="B211" s="276"/>
      <c r="C211" s="276"/>
      <c r="D211" s="276"/>
      <c r="E211" s="276"/>
      <c r="F211" s="276"/>
      <c r="G211" s="353"/>
      <c r="H211" s="276"/>
      <c r="I211" s="276"/>
      <c r="J211" s="276"/>
      <c r="K211" s="276"/>
      <c r="L211" s="276"/>
      <c r="M211" s="276"/>
      <c r="N211" s="276"/>
      <c r="O211" s="276"/>
      <c r="P211" s="276"/>
      <c r="Q211" s="276"/>
      <c r="R211" s="276"/>
      <c r="S211" s="276"/>
      <c r="T211" s="276"/>
      <c r="U211" s="276"/>
      <c r="V211" s="276"/>
      <c r="W211" s="276"/>
      <c r="X211" s="354"/>
      <c r="Y211" s="276"/>
      <c r="Z211" s="276"/>
      <c r="AA211" s="276"/>
      <c r="AB211" s="276"/>
      <c r="AC211" s="276"/>
      <c r="AD211" s="276"/>
      <c r="AE211" s="276"/>
      <c r="AF211" s="276"/>
      <c r="AG211" s="276"/>
      <c r="AH211" s="276"/>
      <c r="AI211" s="276"/>
      <c r="AJ211" s="276"/>
      <c r="AK211" s="276"/>
    </row>
    <row r="212" spans="1:37" ht="15.75" customHeight="1" x14ac:dyDescent="0.25">
      <c r="A212" s="533"/>
      <c r="B212" s="276"/>
      <c r="C212" s="276"/>
      <c r="D212" s="276"/>
      <c r="E212" s="276"/>
      <c r="F212" s="276"/>
      <c r="G212" s="353"/>
      <c r="H212" s="276"/>
      <c r="I212" s="276"/>
      <c r="J212" s="276"/>
      <c r="K212" s="276"/>
      <c r="L212" s="276"/>
      <c r="M212" s="276"/>
      <c r="N212" s="276"/>
      <c r="O212" s="276"/>
      <c r="P212" s="276"/>
      <c r="Q212" s="276"/>
      <c r="R212" s="276"/>
      <c r="S212" s="276"/>
      <c r="T212" s="276"/>
      <c r="U212" s="276"/>
      <c r="V212" s="276"/>
      <c r="W212" s="276"/>
      <c r="X212" s="354"/>
      <c r="Y212" s="276"/>
      <c r="Z212" s="276"/>
      <c r="AA212" s="276"/>
      <c r="AB212" s="276"/>
      <c r="AC212" s="276"/>
      <c r="AD212" s="276"/>
      <c r="AE212" s="276"/>
      <c r="AF212" s="276"/>
      <c r="AG212" s="276"/>
      <c r="AH212" s="276"/>
      <c r="AI212" s="276"/>
      <c r="AJ212" s="276"/>
      <c r="AK212" s="276"/>
    </row>
    <row r="213" spans="1:37" ht="15.75" customHeight="1" x14ac:dyDescent="0.25">
      <c r="A213" s="533"/>
      <c r="B213" s="276"/>
      <c r="C213" s="276"/>
      <c r="D213" s="276"/>
      <c r="E213" s="276"/>
      <c r="F213" s="276"/>
      <c r="G213" s="353"/>
      <c r="H213" s="276"/>
      <c r="I213" s="276"/>
      <c r="J213" s="276"/>
      <c r="K213" s="276"/>
      <c r="L213" s="276"/>
      <c r="M213" s="276"/>
      <c r="N213" s="276"/>
      <c r="O213" s="276"/>
      <c r="P213" s="276"/>
      <c r="Q213" s="276"/>
      <c r="R213" s="276"/>
      <c r="S213" s="276"/>
      <c r="T213" s="276"/>
      <c r="U213" s="276"/>
      <c r="V213" s="276"/>
      <c r="W213" s="276"/>
      <c r="X213" s="354"/>
      <c r="Y213" s="276"/>
      <c r="Z213" s="276"/>
      <c r="AA213" s="276"/>
      <c r="AB213" s="276"/>
      <c r="AC213" s="276"/>
      <c r="AD213" s="276"/>
      <c r="AE213" s="276"/>
      <c r="AF213" s="276"/>
      <c r="AG213" s="276"/>
      <c r="AH213" s="276"/>
      <c r="AI213" s="276"/>
      <c r="AJ213" s="276"/>
      <c r="AK213" s="276"/>
    </row>
    <row r="214" spans="1:37" ht="15.75" customHeight="1" x14ac:dyDescent="0.25">
      <c r="A214" s="533"/>
      <c r="B214" s="276"/>
      <c r="C214" s="276"/>
      <c r="D214" s="276"/>
      <c r="E214" s="276"/>
      <c r="F214" s="276"/>
      <c r="G214" s="353"/>
      <c r="H214" s="276"/>
      <c r="I214" s="276"/>
      <c r="J214" s="276"/>
      <c r="K214" s="276"/>
      <c r="L214" s="276"/>
      <c r="M214" s="276"/>
      <c r="N214" s="276"/>
      <c r="O214" s="276"/>
      <c r="P214" s="276"/>
      <c r="Q214" s="276"/>
      <c r="R214" s="276"/>
      <c r="S214" s="276"/>
      <c r="T214" s="276"/>
      <c r="U214" s="276"/>
      <c r="V214" s="276"/>
      <c r="W214" s="276"/>
      <c r="X214" s="354"/>
      <c r="Y214" s="276"/>
      <c r="Z214" s="276"/>
      <c r="AA214" s="276"/>
      <c r="AB214" s="276"/>
      <c r="AC214" s="276"/>
      <c r="AD214" s="276"/>
      <c r="AE214" s="276"/>
      <c r="AF214" s="276"/>
      <c r="AG214" s="276"/>
      <c r="AH214" s="276"/>
      <c r="AI214" s="276"/>
      <c r="AJ214" s="276"/>
      <c r="AK214" s="276"/>
    </row>
    <row r="215" spans="1:37" ht="15.75" customHeight="1" x14ac:dyDescent="0.25">
      <c r="A215" s="533"/>
      <c r="B215" s="276"/>
      <c r="C215" s="276"/>
      <c r="D215" s="276"/>
      <c r="E215" s="276"/>
      <c r="F215" s="276"/>
      <c r="G215" s="353"/>
      <c r="H215" s="276"/>
      <c r="I215" s="276"/>
      <c r="J215" s="276"/>
      <c r="K215" s="276"/>
      <c r="L215" s="276"/>
      <c r="M215" s="276"/>
      <c r="N215" s="276"/>
      <c r="O215" s="276"/>
      <c r="P215" s="276"/>
      <c r="Q215" s="276"/>
      <c r="R215" s="276"/>
      <c r="S215" s="276"/>
      <c r="T215" s="276"/>
      <c r="U215" s="276"/>
      <c r="V215" s="276"/>
      <c r="W215" s="276"/>
      <c r="X215" s="354"/>
      <c r="Y215" s="276"/>
      <c r="Z215" s="276"/>
      <c r="AA215" s="276"/>
      <c r="AB215" s="276"/>
      <c r="AC215" s="276"/>
      <c r="AD215" s="276"/>
      <c r="AE215" s="276"/>
      <c r="AF215" s="276"/>
      <c r="AG215" s="276"/>
      <c r="AH215" s="276"/>
      <c r="AI215" s="276"/>
      <c r="AJ215" s="276"/>
      <c r="AK215" s="276"/>
    </row>
    <row r="216" spans="1:37" ht="15.75" customHeight="1" x14ac:dyDescent="0.25">
      <c r="A216" s="533"/>
      <c r="B216" s="276"/>
      <c r="C216" s="276"/>
      <c r="D216" s="276"/>
      <c r="E216" s="276"/>
      <c r="F216" s="276"/>
      <c r="G216" s="353"/>
      <c r="H216" s="276"/>
      <c r="I216" s="276"/>
      <c r="J216" s="276"/>
      <c r="K216" s="276"/>
      <c r="L216" s="276"/>
      <c r="M216" s="276"/>
      <c r="N216" s="276"/>
      <c r="O216" s="276"/>
      <c r="P216" s="276"/>
      <c r="Q216" s="276"/>
      <c r="R216" s="276"/>
      <c r="S216" s="276"/>
      <c r="T216" s="276"/>
      <c r="U216" s="276"/>
      <c r="V216" s="276"/>
      <c r="W216" s="276"/>
      <c r="X216" s="354"/>
      <c r="Y216" s="276"/>
      <c r="Z216" s="276"/>
      <c r="AA216" s="276"/>
      <c r="AB216" s="276"/>
      <c r="AC216" s="276"/>
      <c r="AD216" s="276"/>
      <c r="AE216" s="276"/>
      <c r="AF216" s="276"/>
      <c r="AG216" s="276"/>
      <c r="AH216" s="276"/>
      <c r="AI216" s="276"/>
      <c r="AJ216" s="276"/>
      <c r="AK216" s="276"/>
    </row>
    <row r="217" spans="1:37" ht="15.75" customHeight="1" x14ac:dyDescent="0.25">
      <c r="A217" s="533"/>
      <c r="B217" s="276"/>
      <c r="C217" s="276"/>
      <c r="D217" s="276"/>
      <c r="E217" s="276"/>
      <c r="F217" s="276"/>
      <c r="G217" s="353"/>
      <c r="H217" s="276"/>
      <c r="I217" s="276"/>
      <c r="J217" s="276"/>
      <c r="K217" s="276"/>
      <c r="L217" s="276"/>
      <c r="M217" s="276"/>
      <c r="N217" s="276"/>
      <c r="O217" s="276"/>
      <c r="P217" s="276"/>
      <c r="Q217" s="276"/>
      <c r="R217" s="276"/>
      <c r="S217" s="276"/>
      <c r="T217" s="276"/>
      <c r="U217" s="276"/>
      <c r="V217" s="276"/>
      <c r="W217" s="276"/>
      <c r="X217" s="354"/>
      <c r="Y217" s="276"/>
      <c r="Z217" s="276"/>
      <c r="AA217" s="276"/>
      <c r="AB217" s="276"/>
      <c r="AC217" s="276"/>
      <c r="AD217" s="276"/>
      <c r="AE217" s="276"/>
      <c r="AF217" s="276"/>
      <c r="AG217" s="276"/>
      <c r="AH217" s="276"/>
      <c r="AI217" s="276"/>
      <c r="AJ217" s="276"/>
      <c r="AK217" s="276"/>
    </row>
    <row r="218" spans="1:37" ht="15.75" customHeight="1" x14ac:dyDescent="0.25">
      <c r="A218" s="533"/>
      <c r="B218" s="276"/>
      <c r="C218" s="276"/>
      <c r="D218" s="276"/>
      <c r="E218" s="276"/>
      <c r="F218" s="276"/>
      <c r="G218" s="353"/>
      <c r="H218" s="276"/>
      <c r="I218" s="276"/>
      <c r="J218" s="276"/>
      <c r="K218" s="276"/>
      <c r="L218" s="276"/>
      <c r="M218" s="276"/>
      <c r="N218" s="276"/>
      <c r="O218" s="276"/>
      <c r="P218" s="276"/>
      <c r="Q218" s="276"/>
      <c r="R218" s="276"/>
      <c r="S218" s="276"/>
      <c r="T218" s="276"/>
      <c r="U218" s="276"/>
      <c r="V218" s="276"/>
      <c r="W218" s="276"/>
      <c r="X218" s="354"/>
      <c r="Y218" s="276"/>
      <c r="Z218" s="276"/>
      <c r="AA218" s="276"/>
      <c r="AB218" s="276"/>
      <c r="AC218" s="276"/>
      <c r="AD218" s="276"/>
      <c r="AE218" s="276"/>
      <c r="AF218" s="276"/>
      <c r="AG218" s="276"/>
      <c r="AH218" s="276"/>
      <c r="AI218" s="276"/>
      <c r="AJ218" s="276"/>
      <c r="AK218" s="276"/>
    </row>
    <row r="219" spans="1:37" ht="15.75" customHeight="1" x14ac:dyDescent="0.25">
      <c r="A219" s="533"/>
      <c r="B219" s="276"/>
      <c r="C219" s="276"/>
      <c r="D219" s="276"/>
      <c r="E219" s="276"/>
      <c r="F219" s="276"/>
      <c r="G219" s="353"/>
      <c r="H219" s="276"/>
      <c r="I219" s="276"/>
      <c r="J219" s="276"/>
      <c r="K219" s="276"/>
      <c r="L219" s="276"/>
      <c r="M219" s="276"/>
      <c r="N219" s="276"/>
      <c r="O219" s="276"/>
      <c r="P219" s="276"/>
      <c r="Q219" s="276"/>
      <c r="R219" s="276"/>
      <c r="S219" s="276"/>
      <c r="T219" s="276"/>
      <c r="U219" s="276"/>
      <c r="V219" s="276"/>
      <c r="W219" s="276"/>
      <c r="X219" s="354"/>
      <c r="Y219" s="276"/>
      <c r="Z219" s="276"/>
      <c r="AA219" s="276"/>
      <c r="AB219" s="276"/>
      <c r="AC219" s="276"/>
      <c r="AD219" s="276"/>
      <c r="AE219" s="276"/>
      <c r="AF219" s="276"/>
      <c r="AG219" s="276"/>
      <c r="AH219" s="276"/>
      <c r="AI219" s="276"/>
      <c r="AJ219" s="276"/>
      <c r="AK219" s="276"/>
    </row>
    <row r="220" spans="1:37" ht="15.75" customHeight="1" x14ac:dyDescent="0.25">
      <c r="A220" s="533"/>
      <c r="B220" s="276"/>
      <c r="C220" s="276"/>
      <c r="D220" s="276"/>
      <c r="E220" s="276"/>
      <c r="F220" s="276"/>
      <c r="G220" s="353"/>
      <c r="H220" s="276"/>
      <c r="I220" s="276"/>
      <c r="J220" s="276"/>
      <c r="K220" s="276"/>
      <c r="L220" s="276"/>
      <c r="M220" s="276"/>
      <c r="N220" s="276"/>
      <c r="O220" s="276"/>
      <c r="P220" s="276"/>
      <c r="Q220" s="276"/>
      <c r="R220" s="276"/>
      <c r="S220" s="276"/>
      <c r="T220" s="276"/>
      <c r="U220" s="276"/>
      <c r="V220" s="276"/>
      <c r="W220" s="276"/>
      <c r="X220" s="354"/>
      <c r="Y220" s="276"/>
      <c r="Z220" s="276"/>
      <c r="AA220" s="276"/>
      <c r="AB220" s="276"/>
      <c r="AC220" s="276"/>
      <c r="AD220" s="276"/>
      <c r="AE220" s="276"/>
      <c r="AF220" s="276"/>
      <c r="AG220" s="276"/>
      <c r="AH220" s="276"/>
      <c r="AI220" s="276"/>
      <c r="AJ220" s="276"/>
      <c r="AK220" s="276"/>
    </row>
    <row r="221" spans="1:37" ht="15.75" customHeight="1" x14ac:dyDescent="0.25">
      <c r="A221" s="533"/>
      <c r="B221" s="276"/>
      <c r="C221" s="276"/>
      <c r="D221" s="276"/>
      <c r="E221" s="276"/>
      <c r="F221" s="276"/>
      <c r="G221" s="353"/>
      <c r="H221" s="276"/>
      <c r="I221" s="276"/>
      <c r="J221" s="276"/>
      <c r="K221" s="276"/>
      <c r="L221" s="276"/>
      <c r="M221" s="276"/>
      <c r="N221" s="276"/>
      <c r="O221" s="276"/>
      <c r="P221" s="276"/>
      <c r="Q221" s="276"/>
      <c r="R221" s="276"/>
      <c r="S221" s="276"/>
      <c r="T221" s="276"/>
      <c r="U221" s="276"/>
      <c r="V221" s="276"/>
      <c r="W221" s="276"/>
      <c r="X221" s="354"/>
      <c r="Y221" s="276"/>
      <c r="Z221" s="276"/>
      <c r="AA221" s="276"/>
      <c r="AB221" s="276"/>
      <c r="AC221" s="276"/>
      <c r="AD221" s="276"/>
      <c r="AE221" s="276"/>
      <c r="AF221" s="276"/>
      <c r="AG221" s="276"/>
      <c r="AH221" s="276"/>
      <c r="AI221" s="276"/>
      <c r="AJ221" s="276"/>
      <c r="AK221" s="276"/>
    </row>
    <row r="222" spans="1:37" ht="15.75" customHeight="1" x14ac:dyDescent="0.25">
      <c r="A222" s="533"/>
      <c r="B222" s="276"/>
      <c r="C222" s="276"/>
      <c r="D222" s="276"/>
      <c r="E222" s="276"/>
      <c r="F222" s="276"/>
      <c r="G222" s="353"/>
      <c r="H222" s="276"/>
      <c r="I222" s="276"/>
      <c r="J222" s="276"/>
      <c r="K222" s="276"/>
      <c r="L222" s="276"/>
      <c r="M222" s="276"/>
      <c r="N222" s="276"/>
      <c r="O222" s="276"/>
      <c r="P222" s="276"/>
      <c r="Q222" s="276"/>
      <c r="R222" s="276"/>
      <c r="S222" s="276"/>
      <c r="T222" s="276"/>
      <c r="U222" s="276"/>
      <c r="V222" s="276"/>
      <c r="W222" s="276"/>
      <c r="X222" s="354"/>
      <c r="Y222" s="276"/>
      <c r="Z222" s="276"/>
      <c r="AA222" s="276"/>
      <c r="AB222" s="276"/>
      <c r="AC222" s="276"/>
      <c r="AD222" s="276"/>
      <c r="AE222" s="276"/>
      <c r="AF222" s="276"/>
      <c r="AG222" s="276"/>
      <c r="AH222" s="276"/>
      <c r="AI222" s="276"/>
      <c r="AJ222" s="276"/>
      <c r="AK222" s="276"/>
    </row>
    <row r="223" spans="1:37" ht="15.75" customHeight="1" x14ac:dyDescent="0.25">
      <c r="A223" s="533"/>
      <c r="B223" s="276"/>
      <c r="C223" s="276"/>
      <c r="D223" s="276"/>
      <c r="E223" s="276"/>
      <c r="F223" s="276"/>
      <c r="G223" s="353"/>
      <c r="H223" s="276"/>
      <c r="I223" s="276"/>
      <c r="J223" s="276"/>
      <c r="K223" s="276"/>
      <c r="L223" s="276"/>
      <c r="M223" s="276"/>
      <c r="N223" s="276"/>
      <c r="O223" s="276"/>
      <c r="P223" s="276"/>
      <c r="Q223" s="276"/>
      <c r="R223" s="276"/>
      <c r="S223" s="276"/>
      <c r="T223" s="276"/>
      <c r="U223" s="276"/>
      <c r="V223" s="276"/>
      <c r="W223" s="276"/>
      <c r="X223" s="354"/>
      <c r="Y223" s="276"/>
      <c r="Z223" s="276"/>
      <c r="AA223" s="276"/>
      <c r="AB223" s="276"/>
      <c r="AC223" s="276"/>
      <c r="AD223" s="276"/>
      <c r="AE223" s="276"/>
      <c r="AF223" s="276"/>
      <c r="AG223" s="276"/>
      <c r="AH223" s="276"/>
      <c r="AI223" s="276"/>
      <c r="AJ223" s="276"/>
      <c r="AK223" s="276"/>
    </row>
    <row r="224" spans="1:37" ht="15.75" customHeight="1" x14ac:dyDescent="0.25">
      <c r="A224" s="533"/>
      <c r="B224" s="276"/>
      <c r="C224" s="276"/>
      <c r="D224" s="276"/>
      <c r="E224" s="276"/>
      <c r="F224" s="276"/>
      <c r="G224" s="353"/>
      <c r="H224" s="276"/>
      <c r="I224" s="276"/>
      <c r="J224" s="276"/>
      <c r="K224" s="276"/>
      <c r="L224" s="276"/>
      <c r="M224" s="276"/>
      <c r="N224" s="276"/>
      <c r="O224" s="276"/>
      <c r="P224" s="276"/>
      <c r="Q224" s="276"/>
      <c r="R224" s="276"/>
      <c r="S224" s="276"/>
      <c r="T224" s="276"/>
      <c r="U224" s="276"/>
      <c r="V224" s="276"/>
      <c r="W224" s="276"/>
      <c r="X224" s="354"/>
      <c r="Y224" s="276"/>
      <c r="Z224" s="276"/>
      <c r="AA224" s="276"/>
      <c r="AB224" s="276"/>
      <c r="AC224" s="276"/>
      <c r="AD224" s="276"/>
      <c r="AE224" s="276"/>
      <c r="AF224" s="276"/>
      <c r="AG224" s="276"/>
      <c r="AH224" s="276"/>
      <c r="AI224" s="276"/>
      <c r="AJ224" s="276"/>
      <c r="AK224" s="276"/>
    </row>
    <row r="225" spans="1:37" ht="15.75" customHeight="1" x14ac:dyDescent="0.25">
      <c r="A225" s="533"/>
      <c r="B225" s="276"/>
      <c r="C225" s="276"/>
      <c r="D225" s="276"/>
      <c r="E225" s="276"/>
      <c r="F225" s="276"/>
      <c r="G225" s="353"/>
      <c r="H225" s="276"/>
      <c r="I225" s="276"/>
      <c r="J225" s="276"/>
      <c r="K225" s="276"/>
      <c r="L225" s="276"/>
      <c r="M225" s="276"/>
      <c r="N225" s="276"/>
      <c r="O225" s="276"/>
      <c r="P225" s="276"/>
      <c r="Q225" s="276"/>
      <c r="R225" s="276"/>
      <c r="S225" s="276"/>
      <c r="T225" s="276"/>
      <c r="U225" s="276"/>
      <c r="V225" s="276"/>
      <c r="W225" s="276"/>
      <c r="X225" s="354"/>
      <c r="Y225" s="276"/>
      <c r="Z225" s="276"/>
      <c r="AA225" s="276"/>
      <c r="AB225" s="276"/>
      <c r="AC225" s="276"/>
      <c r="AD225" s="276"/>
      <c r="AE225" s="276"/>
      <c r="AF225" s="276"/>
      <c r="AG225" s="276"/>
      <c r="AH225" s="276"/>
      <c r="AI225" s="276"/>
      <c r="AJ225" s="276"/>
      <c r="AK225" s="276"/>
    </row>
    <row r="226" spans="1:37" ht="15.75" customHeight="1" x14ac:dyDescent="0.25">
      <c r="A226" s="534"/>
      <c r="B226" s="271"/>
      <c r="C226" s="271"/>
      <c r="D226" s="271"/>
      <c r="E226" s="271"/>
      <c r="F226" s="271"/>
      <c r="G226" s="271"/>
      <c r="H226" s="271"/>
      <c r="I226" s="271"/>
      <c r="J226" s="271"/>
      <c r="K226" s="271"/>
      <c r="L226" s="271"/>
      <c r="M226" s="271"/>
      <c r="N226" s="271"/>
      <c r="O226" s="271"/>
      <c r="P226" s="271"/>
      <c r="Q226" s="271"/>
      <c r="R226" s="271"/>
      <c r="S226" s="271"/>
      <c r="T226" s="271"/>
      <c r="U226" s="271"/>
      <c r="V226" s="271"/>
      <c r="W226" s="271"/>
      <c r="X226" s="271"/>
      <c r="Y226" s="271"/>
      <c r="Z226" s="271"/>
      <c r="AA226" s="271"/>
      <c r="AB226" s="271"/>
      <c r="AC226" s="271"/>
      <c r="AD226" s="271"/>
      <c r="AE226" s="271"/>
      <c r="AF226" s="271"/>
      <c r="AG226" s="271"/>
      <c r="AH226" s="271"/>
      <c r="AI226" s="271"/>
      <c r="AJ226" s="271"/>
      <c r="AK226" s="271"/>
    </row>
    <row r="227" spans="1:37" ht="15.75" customHeight="1" x14ac:dyDescent="0.25">
      <c r="A227" s="534"/>
      <c r="B227" s="271"/>
      <c r="C227" s="271"/>
      <c r="D227" s="271"/>
      <c r="E227" s="271"/>
      <c r="F227" s="271"/>
      <c r="G227" s="271"/>
      <c r="H227" s="271"/>
      <c r="I227" s="271"/>
      <c r="J227" s="271"/>
      <c r="K227" s="271"/>
      <c r="L227" s="271"/>
      <c r="M227" s="271"/>
      <c r="N227" s="271"/>
      <c r="O227" s="271"/>
      <c r="P227" s="271"/>
      <c r="Q227" s="271"/>
      <c r="R227" s="271"/>
      <c r="S227" s="271"/>
      <c r="T227" s="271"/>
      <c r="U227" s="271"/>
      <c r="V227" s="271"/>
      <c r="W227" s="271"/>
      <c r="X227" s="271"/>
      <c r="Y227" s="271"/>
      <c r="Z227" s="271"/>
      <c r="AA227" s="271"/>
      <c r="AB227" s="271"/>
      <c r="AC227" s="271"/>
      <c r="AD227" s="271"/>
      <c r="AE227" s="271"/>
      <c r="AF227" s="271"/>
      <c r="AG227" s="271"/>
      <c r="AH227" s="271"/>
      <c r="AI227" s="271"/>
      <c r="AJ227" s="271"/>
      <c r="AK227" s="271"/>
    </row>
    <row r="228" spans="1:37" ht="15.75" customHeight="1" x14ac:dyDescent="0.25">
      <c r="A228" s="534"/>
      <c r="B228" s="271"/>
      <c r="C228" s="271"/>
      <c r="D228" s="271"/>
      <c r="E228" s="271"/>
      <c r="F228" s="271"/>
      <c r="G228" s="271"/>
      <c r="H228" s="271"/>
      <c r="I228" s="271"/>
      <c r="J228" s="271"/>
      <c r="K228" s="271"/>
      <c r="L228" s="271"/>
      <c r="M228" s="271"/>
      <c r="N228" s="271"/>
      <c r="O228" s="271"/>
      <c r="P228" s="271"/>
      <c r="Q228" s="271"/>
      <c r="R228" s="271"/>
      <c r="S228" s="271"/>
      <c r="T228" s="271"/>
      <c r="U228" s="271"/>
      <c r="V228" s="271"/>
      <c r="W228" s="271"/>
      <c r="X228" s="271"/>
      <c r="Y228" s="271"/>
      <c r="Z228" s="271"/>
      <c r="AA228" s="271"/>
      <c r="AB228" s="271"/>
      <c r="AC228" s="271"/>
      <c r="AD228" s="271"/>
      <c r="AE228" s="271"/>
      <c r="AF228" s="271"/>
      <c r="AG228" s="271"/>
      <c r="AH228" s="271"/>
      <c r="AI228" s="271"/>
      <c r="AJ228" s="271"/>
      <c r="AK228" s="271"/>
    </row>
    <row r="229" spans="1:37" ht="15.75" customHeight="1" x14ac:dyDescent="0.25">
      <c r="A229" s="534"/>
      <c r="B229" s="271"/>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c r="Z229" s="271"/>
      <c r="AA229" s="271"/>
      <c r="AB229" s="271"/>
      <c r="AC229" s="271"/>
      <c r="AD229" s="271"/>
      <c r="AE229" s="271"/>
      <c r="AF229" s="271"/>
      <c r="AG229" s="271"/>
      <c r="AH229" s="271"/>
      <c r="AI229" s="271"/>
      <c r="AJ229" s="271"/>
      <c r="AK229" s="271"/>
    </row>
    <row r="230" spans="1:37" ht="15.75" customHeight="1" x14ac:dyDescent="0.25">
      <c r="A230" s="534"/>
      <c r="B230" s="271"/>
      <c r="C230" s="271"/>
      <c r="D230" s="271"/>
      <c r="E230" s="271"/>
      <c r="F230" s="271"/>
      <c r="G230" s="271"/>
      <c r="H230" s="271"/>
      <c r="I230" s="271"/>
      <c r="J230" s="271"/>
      <c r="K230" s="271"/>
      <c r="L230" s="271"/>
      <c r="M230" s="271"/>
      <c r="N230" s="271"/>
      <c r="O230" s="271"/>
      <c r="P230" s="271"/>
      <c r="Q230" s="271"/>
      <c r="R230" s="271"/>
      <c r="S230" s="271"/>
      <c r="T230" s="271"/>
      <c r="U230" s="271"/>
      <c r="V230" s="271"/>
      <c r="W230" s="271"/>
      <c r="X230" s="271"/>
      <c r="Y230" s="271"/>
      <c r="Z230" s="271"/>
      <c r="AA230" s="271"/>
      <c r="AB230" s="271"/>
      <c r="AC230" s="271"/>
      <c r="AD230" s="271"/>
      <c r="AE230" s="271"/>
      <c r="AF230" s="271"/>
      <c r="AG230" s="271"/>
      <c r="AH230" s="271"/>
      <c r="AI230" s="271"/>
      <c r="AJ230" s="271"/>
      <c r="AK230" s="271"/>
    </row>
    <row r="231" spans="1:37" ht="15.75" customHeight="1" x14ac:dyDescent="0.25">
      <c r="A231" s="534"/>
      <c r="B231" s="271"/>
      <c r="C231" s="271"/>
      <c r="D231" s="271"/>
      <c r="E231" s="271"/>
      <c r="F231" s="271"/>
      <c r="G231" s="271"/>
      <c r="H231" s="271"/>
      <c r="I231" s="271"/>
      <c r="J231" s="271"/>
      <c r="K231" s="271"/>
      <c r="L231" s="271"/>
      <c r="M231" s="271"/>
      <c r="N231" s="271"/>
      <c r="O231" s="271"/>
      <c r="P231" s="271"/>
      <c r="Q231" s="271"/>
      <c r="R231" s="271"/>
      <c r="S231" s="271"/>
      <c r="T231" s="271"/>
      <c r="U231" s="271"/>
      <c r="V231" s="271"/>
      <c r="W231" s="271"/>
      <c r="X231" s="271"/>
      <c r="Y231" s="271"/>
      <c r="Z231" s="271"/>
      <c r="AA231" s="271"/>
      <c r="AB231" s="271"/>
      <c r="AC231" s="271"/>
      <c r="AD231" s="271"/>
      <c r="AE231" s="271"/>
      <c r="AF231" s="271"/>
      <c r="AG231" s="271"/>
      <c r="AH231" s="271"/>
      <c r="AI231" s="271"/>
      <c r="AJ231" s="271"/>
      <c r="AK231" s="271"/>
    </row>
    <row r="232" spans="1:37" ht="15.75" customHeight="1" x14ac:dyDescent="0.25">
      <c r="A232" s="534"/>
      <c r="B232" s="271"/>
      <c r="C232" s="271"/>
      <c r="D232" s="271"/>
      <c r="E232" s="271"/>
      <c r="F232" s="271"/>
      <c r="G232" s="271"/>
      <c r="H232" s="271"/>
      <c r="I232" s="271"/>
      <c r="J232" s="271"/>
      <c r="K232" s="271"/>
      <c r="L232" s="271"/>
      <c r="M232" s="271"/>
      <c r="N232" s="271"/>
      <c r="O232" s="271"/>
      <c r="P232" s="271"/>
      <c r="Q232" s="271"/>
      <c r="R232" s="271"/>
      <c r="S232" s="271"/>
      <c r="T232" s="271"/>
      <c r="U232" s="271"/>
      <c r="V232" s="271"/>
      <c r="W232" s="271"/>
      <c r="X232" s="271"/>
      <c r="Y232" s="271"/>
      <c r="Z232" s="271"/>
      <c r="AA232" s="271"/>
      <c r="AB232" s="271"/>
      <c r="AC232" s="271"/>
      <c r="AD232" s="271"/>
      <c r="AE232" s="271"/>
      <c r="AF232" s="271"/>
      <c r="AG232" s="271"/>
      <c r="AH232" s="271"/>
      <c r="AI232" s="271"/>
      <c r="AJ232" s="271"/>
      <c r="AK232" s="271"/>
    </row>
    <row r="233" spans="1:37" ht="15.75" customHeight="1" x14ac:dyDescent="0.25">
      <c r="A233" s="534"/>
      <c r="B233" s="271"/>
      <c r="C233" s="271"/>
      <c r="D233" s="271"/>
      <c r="E233" s="271"/>
      <c r="F233" s="271"/>
      <c r="G233" s="271"/>
      <c r="H233" s="271"/>
      <c r="I233" s="271"/>
      <c r="J233" s="271"/>
      <c r="K233" s="271"/>
      <c r="L233" s="271"/>
      <c r="M233" s="271"/>
      <c r="N233" s="271"/>
      <c r="O233" s="271"/>
      <c r="P233" s="271"/>
      <c r="Q233" s="271"/>
      <c r="R233" s="271"/>
      <c r="S233" s="271"/>
      <c r="T233" s="271"/>
      <c r="U233" s="271"/>
      <c r="V233" s="271"/>
      <c r="W233" s="271"/>
      <c r="X233" s="271"/>
      <c r="Y233" s="271"/>
      <c r="Z233" s="271"/>
      <c r="AA233" s="271"/>
      <c r="AB233" s="271"/>
      <c r="AC233" s="271"/>
      <c r="AD233" s="271"/>
      <c r="AE233" s="271"/>
      <c r="AF233" s="271"/>
      <c r="AG233" s="271"/>
      <c r="AH233" s="271"/>
      <c r="AI233" s="271"/>
      <c r="AJ233" s="271"/>
      <c r="AK233" s="271"/>
    </row>
    <row r="234" spans="1:37" ht="15.75" customHeight="1" x14ac:dyDescent="0.25">
      <c r="A234" s="534"/>
      <c r="B234" s="271"/>
      <c r="C234" s="271"/>
      <c r="D234" s="271"/>
      <c r="E234" s="271"/>
      <c r="F234" s="271"/>
      <c r="G234" s="271"/>
      <c r="H234" s="271"/>
      <c r="I234" s="271"/>
      <c r="J234" s="271"/>
      <c r="K234" s="271"/>
      <c r="L234" s="271"/>
      <c r="M234" s="271"/>
      <c r="N234" s="271"/>
      <c r="O234" s="271"/>
      <c r="P234" s="271"/>
      <c r="Q234" s="271"/>
      <c r="R234" s="271"/>
      <c r="S234" s="271"/>
      <c r="T234" s="271"/>
      <c r="U234" s="271"/>
      <c r="V234" s="271"/>
      <c r="W234" s="271"/>
      <c r="X234" s="271"/>
      <c r="Y234" s="271"/>
      <c r="Z234" s="271"/>
      <c r="AA234" s="271"/>
      <c r="AB234" s="271"/>
      <c r="AC234" s="271"/>
      <c r="AD234" s="271"/>
      <c r="AE234" s="271"/>
      <c r="AF234" s="271"/>
      <c r="AG234" s="271"/>
      <c r="AH234" s="271"/>
      <c r="AI234" s="271"/>
      <c r="AJ234" s="271"/>
      <c r="AK234" s="271"/>
    </row>
    <row r="235" spans="1:37" ht="15.75" customHeight="1" x14ac:dyDescent="0.25">
      <c r="A235" s="534"/>
      <c r="B235" s="271"/>
      <c r="C235" s="271"/>
      <c r="D235" s="271"/>
      <c r="E235" s="271"/>
      <c r="F235" s="271"/>
      <c r="G235" s="271"/>
      <c r="H235" s="271"/>
      <c r="I235" s="271"/>
      <c r="J235" s="271"/>
      <c r="K235" s="271"/>
      <c r="L235" s="271"/>
      <c r="M235" s="271"/>
      <c r="N235" s="271"/>
      <c r="O235" s="271"/>
      <c r="P235" s="271"/>
      <c r="Q235" s="271"/>
      <c r="R235" s="271"/>
      <c r="S235" s="271"/>
      <c r="T235" s="271"/>
      <c r="U235" s="271"/>
      <c r="V235" s="271"/>
      <c r="W235" s="271"/>
      <c r="X235" s="271"/>
      <c r="Y235" s="271"/>
      <c r="Z235" s="271"/>
      <c r="AA235" s="271"/>
      <c r="AB235" s="271"/>
      <c r="AC235" s="271"/>
      <c r="AD235" s="271"/>
      <c r="AE235" s="271"/>
      <c r="AF235" s="271"/>
      <c r="AG235" s="271"/>
      <c r="AH235" s="271"/>
      <c r="AI235" s="271"/>
      <c r="AJ235" s="271"/>
      <c r="AK235" s="271"/>
    </row>
    <row r="236" spans="1:37" ht="15.75" customHeight="1" x14ac:dyDescent="0.25">
      <c r="A236" s="534"/>
      <c r="B236" s="271"/>
      <c r="C236" s="271"/>
      <c r="D236" s="271"/>
      <c r="E236" s="271"/>
      <c r="F236" s="271"/>
      <c r="G236" s="271"/>
      <c r="H236" s="271"/>
      <c r="I236" s="271"/>
      <c r="J236" s="271"/>
      <c r="K236" s="271"/>
      <c r="L236" s="271"/>
      <c r="M236" s="271"/>
      <c r="N236" s="271"/>
      <c r="O236" s="271"/>
      <c r="P236" s="271"/>
      <c r="Q236" s="271"/>
      <c r="R236" s="271"/>
      <c r="S236" s="271"/>
      <c r="T236" s="271"/>
      <c r="U236" s="271"/>
      <c r="V236" s="271"/>
      <c r="W236" s="271"/>
      <c r="X236" s="271"/>
      <c r="Y236" s="271"/>
      <c r="Z236" s="271"/>
      <c r="AA236" s="271"/>
      <c r="AB236" s="271"/>
      <c r="AC236" s="271"/>
      <c r="AD236" s="271"/>
      <c r="AE236" s="271"/>
      <c r="AF236" s="271"/>
      <c r="AG236" s="271"/>
      <c r="AH236" s="271"/>
      <c r="AI236" s="271"/>
      <c r="AJ236" s="271"/>
      <c r="AK236" s="271"/>
    </row>
    <row r="237" spans="1:37" ht="15.75" customHeight="1" x14ac:dyDescent="0.25">
      <c r="A237" s="534"/>
      <c r="B237" s="271"/>
      <c r="C237" s="271"/>
      <c r="D237" s="271"/>
      <c r="E237" s="271"/>
      <c r="F237" s="271"/>
      <c r="G237" s="271"/>
      <c r="H237" s="271"/>
      <c r="I237" s="271"/>
      <c r="J237" s="271"/>
      <c r="K237" s="271"/>
      <c r="L237" s="271"/>
      <c r="M237" s="271"/>
      <c r="N237" s="271"/>
      <c r="O237" s="271"/>
      <c r="P237" s="271"/>
      <c r="Q237" s="271"/>
      <c r="R237" s="271"/>
      <c r="S237" s="271"/>
      <c r="T237" s="271"/>
      <c r="U237" s="271"/>
      <c r="V237" s="271"/>
      <c r="W237" s="271"/>
      <c r="X237" s="271"/>
      <c r="Y237" s="271"/>
      <c r="Z237" s="271"/>
      <c r="AA237" s="271"/>
      <c r="AB237" s="271"/>
      <c r="AC237" s="271"/>
      <c r="AD237" s="271"/>
      <c r="AE237" s="271"/>
      <c r="AF237" s="271"/>
      <c r="AG237" s="271"/>
      <c r="AH237" s="271"/>
      <c r="AI237" s="271"/>
      <c r="AJ237" s="271"/>
      <c r="AK237" s="271"/>
    </row>
    <row r="238" spans="1:37" ht="15.75" customHeight="1" x14ac:dyDescent="0.25">
      <c r="A238" s="534"/>
      <c r="B238" s="271"/>
      <c r="C238" s="271"/>
      <c r="D238" s="271"/>
      <c r="E238" s="271"/>
      <c r="F238" s="271"/>
      <c r="G238" s="271"/>
      <c r="H238" s="271"/>
      <c r="I238" s="271"/>
      <c r="J238" s="271"/>
      <c r="K238" s="271"/>
      <c r="L238" s="271"/>
      <c r="M238" s="271"/>
      <c r="N238" s="271"/>
      <c r="O238" s="271"/>
      <c r="P238" s="271"/>
      <c r="Q238" s="271"/>
      <c r="R238" s="271"/>
      <c r="S238" s="271"/>
      <c r="T238" s="271"/>
      <c r="U238" s="271"/>
      <c r="V238" s="271"/>
      <c r="W238" s="271"/>
      <c r="X238" s="271"/>
      <c r="Y238" s="271"/>
      <c r="Z238" s="271"/>
      <c r="AA238" s="271"/>
      <c r="AB238" s="271"/>
      <c r="AC238" s="271"/>
      <c r="AD238" s="271"/>
      <c r="AE238" s="271"/>
      <c r="AF238" s="271"/>
      <c r="AG238" s="271"/>
      <c r="AH238" s="271"/>
      <c r="AI238" s="271"/>
      <c r="AJ238" s="271"/>
      <c r="AK238" s="271"/>
    </row>
    <row r="239" spans="1:37" ht="15.75" customHeight="1" x14ac:dyDescent="0.25">
      <c r="A239" s="534"/>
      <c r="B239" s="271"/>
      <c r="C239" s="271"/>
      <c r="D239" s="271"/>
      <c r="E239" s="271"/>
      <c r="F239" s="271"/>
      <c r="G239" s="271"/>
      <c r="H239" s="271"/>
      <c r="I239" s="271"/>
      <c r="J239" s="271"/>
      <c r="K239" s="271"/>
      <c r="L239" s="271"/>
      <c r="M239" s="271"/>
      <c r="N239" s="271"/>
      <c r="O239" s="271"/>
      <c r="P239" s="271"/>
      <c r="Q239" s="271"/>
      <c r="R239" s="271"/>
      <c r="S239" s="271"/>
      <c r="T239" s="271"/>
      <c r="U239" s="271"/>
      <c r="V239" s="271"/>
      <c r="W239" s="271"/>
      <c r="X239" s="271"/>
      <c r="Y239" s="271"/>
      <c r="Z239" s="271"/>
      <c r="AA239" s="271"/>
      <c r="AB239" s="271"/>
      <c r="AC239" s="271"/>
      <c r="AD239" s="271"/>
      <c r="AE239" s="271"/>
      <c r="AF239" s="271"/>
      <c r="AG239" s="271"/>
      <c r="AH239" s="271"/>
      <c r="AI239" s="271"/>
      <c r="AJ239" s="271"/>
      <c r="AK239" s="271"/>
    </row>
    <row r="240" spans="1:37" ht="15.75" customHeight="1" x14ac:dyDescent="0.25">
      <c r="A240" s="534"/>
      <c r="B240" s="271"/>
      <c r="C240" s="271"/>
      <c r="D240" s="271"/>
      <c r="E240" s="271"/>
      <c r="F240" s="271"/>
      <c r="G240" s="271"/>
      <c r="H240" s="271"/>
      <c r="I240" s="271"/>
      <c r="J240" s="271"/>
      <c r="K240" s="271"/>
      <c r="L240" s="271"/>
      <c r="M240" s="271"/>
      <c r="N240" s="271"/>
      <c r="O240" s="271"/>
      <c r="P240" s="271"/>
      <c r="Q240" s="271"/>
      <c r="R240" s="271"/>
      <c r="S240" s="271"/>
      <c r="T240" s="271"/>
      <c r="U240" s="271"/>
      <c r="V240" s="271"/>
      <c r="W240" s="271"/>
      <c r="X240" s="271"/>
      <c r="Y240" s="271"/>
      <c r="Z240" s="271"/>
      <c r="AA240" s="271"/>
      <c r="AB240" s="271"/>
      <c r="AC240" s="271"/>
      <c r="AD240" s="271"/>
      <c r="AE240" s="271"/>
      <c r="AF240" s="271"/>
      <c r="AG240" s="271"/>
      <c r="AH240" s="271"/>
      <c r="AI240" s="271"/>
      <c r="AJ240" s="271"/>
      <c r="AK240" s="271"/>
    </row>
    <row r="241" spans="1:37" ht="15.75" customHeight="1" x14ac:dyDescent="0.25">
      <c r="A241" s="534"/>
      <c r="B241" s="271"/>
      <c r="C241" s="271"/>
      <c r="D241" s="271"/>
      <c r="E241" s="271"/>
      <c r="F241" s="271"/>
      <c r="G241" s="271"/>
      <c r="H241" s="271"/>
      <c r="I241" s="271"/>
      <c r="J241" s="271"/>
      <c r="K241" s="271"/>
      <c r="L241" s="271"/>
      <c r="M241" s="271"/>
      <c r="N241" s="271"/>
      <c r="O241" s="271"/>
      <c r="P241" s="271"/>
      <c r="Q241" s="271"/>
      <c r="R241" s="271"/>
      <c r="S241" s="271"/>
      <c r="T241" s="271"/>
      <c r="U241" s="271"/>
      <c r="V241" s="271"/>
      <c r="W241" s="271"/>
      <c r="X241" s="271"/>
      <c r="Y241" s="271"/>
      <c r="Z241" s="271"/>
      <c r="AA241" s="271"/>
      <c r="AB241" s="271"/>
      <c r="AC241" s="271"/>
      <c r="AD241" s="271"/>
      <c r="AE241" s="271"/>
      <c r="AF241" s="271"/>
      <c r="AG241" s="271"/>
      <c r="AH241" s="271"/>
      <c r="AI241" s="271"/>
      <c r="AJ241" s="271"/>
      <c r="AK241" s="271"/>
    </row>
    <row r="242" spans="1:37" ht="15.75" customHeight="1" x14ac:dyDescent="0.25">
      <c r="A242" s="534"/>
      <c r="B242" s="271"/>
      <c r="C242" s="271"/>
      <c r="D242" s="271"/>
      <c r="E242" s="271"/>
      <c r="F242" s="271"/>
      <c r="G242" s="271"/>
      <c r="H242" s="271"/>
      <c r="I242" s="271"/>
      <c r="J242" s="271"/>
      <c r="K242" s="271"/>
      <c r="L242" s="271"/>
      <c r="M242" s="271"/>
      <c r="N242" s="271"/>
      <c r="O242" s="271"/>
      <c r="P242" s="271"/>
      <c r="Q242" s="271"/>
      <c r="R242" s="271"/>
      <c r="S242" s="271"/>
      <c r="T242" s="271"/>
      <c r="U242" s="271"/>
      <c r="V242" s="271"/>
      <c r="W242" s="271"/>
      <c r="X242" s="271"/>
      <c r="Y242" s="271"/>
      <c r="Z242" s="271"/>
      <c r="AA242" s="271"/>
      <c r="AB242" s="271"/>
      <c r="AC242" s="271"/>
      <c r="AD242" s="271"/>
      <c r="AE242" s="271"/>
      <c r="AF242" s="271"/>
      <c r="AG242" s="271"/>
      <c r="AH242" s="271"/>
      <c r="AI242" s="271"/>
      <c r="AJ242" s="271"/>
      <c r="AK242" s="271"/>
    </row>
    <row r="243" spans="1:37" ht="15.75" customHeight="1" x14ac:dyDescent="0.25">
      <c r="A243" s="534"/>
      <c r="B243" s="271"/>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c r="Z243" s="271"/>
      <c r="AA243" s="271"/>
      <c r="AB243" s="271"/>
      <c r="AC243" s="271"/>
      <c r="AD243" s="271"/>
      <c r="AE243" s="271"/>
      <c r="AF243" s="271"/>
      <c r="AG243" s="271"/>
      <c r="AH243" s="271"/>
      <c r="AI243" s="271"/>
      <c r="AJ243" s="271"/>
      <c r="AK243" s="271"/>
    </row>
    <row r="244" spans="1:37" ht="15.75" customHeight="1" x14ac:dyDescent="0.25">
      <c r="A244" s="534"/>
      <c r="B244" s="271"/>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c r="Z244" s="271"/>
      <c r="AA244" s="271"/>
      <c r="AB244" s="271"/>
      <c r="AC244" s="271"/>
      <c r="AD244" s="271"/>
      <c r="AE244" s="271"/>
      <c r="AF244" s="271"/>
      <c r="AG244" s="271"/>
      <c r="AH244" s="271"/>
      <c r="AI244" s="271"/>
      <c r="AJ244" s="271"/>
      <c r="AK244" s="271"/>
    </row>
    <row r="245" spans="1:37" ht="15.75" customHeight="1" x14ac:dyDescent="0.25">
      <c r="A245" s="534"/>
      <c r="B245" s="271"/>
      <c r="C245" s="271"/>
      <c r="D245" s="271"/>
      <c r="E245" s="271"/>
      <c r="F245" s="271"/>
      <c r="G245" s="271"/>
      <c r="H245" s="271"/>
      <c r="I245" s="271"/>
      <c r="J245" s="271"/>
      <c r="K245" s="271"/>
      <c r="L245" s="271"/>
      <c r="M245" s="271"/>
      <c r="N245" s="271"/>
      <c r="O245" s="271"/>
      <c r="P245" s="271"/>
      <c r="Q245" s="271"/>
      <c r="R245" s="271"/>
      <c r="S245" s="271"/>
      <c r="T245" s="271"/>
      <c r="U245" s="271"/>
      <c r="V245" s="271"/>
      <c r="W245" s="271"/>
      <c r="X245" s="271"/>
      <c r="Y245" s="271"/>
      <c r="Z245" s="271"/>
      <c r="AA245" s="271"/>
      <c r="AB245" s="271"/>
      <c r="AC245" s="271"/>
      <c r="AD245" s="271"/>
      <c r="AE245" s="271"/>
      <c r="AF245" s="271"/>
      <c r="AG245" s="271"/>
      <c r="AH245" s="271"/>
      <c r="AI245" s="271"/>
      <c r="AJ245" s="271"/>
      <c r="AK245" s="271"/>
    </row>
    <row r="246" spans="1:37" ht="15.75" customHeight="1" x14ac:dyDescent="0.25">
      <c r="A246" s="534"/>
      <c r="B246" s="271"/>
      <c r="C246" s="271"/>
      <c r="D246" s="271"/>
      <c r="E246" s="271"/>
      <c r="F246" s="271"/>
      <c r="G246" s="271"/>
      <c r="H246" s="271"/>
      <c r="I246" s="271"/>
      <c r="J246" s="271"/>
      <c r="K246" s="271"/>
      <c r="L246" s="271"/>
      <c r="M246" s="271"/>
      <c r="N246" s="271"/>
      <c r="O246" s="271"/>
      <c r="P246" s="271"/>
      <c r="Q246" s="271"/>
      <c r="R246" s="271"/>
      <c r="S246" s="271"/>
      <c r="T246" s="271"/>
      <c r="U246" s="271"/>
      <c r="V246" s="271"/>
      <c r="W246" s="271"/>
      <c r="X246" s="271"/>
      <c r="Y246" s="271"/>
      <c r="Z246" s="271"/>
      <c r="AA246" s="271"/>
      <c r="AB246" s="271"/>
      <c r="AC246" s="271"/>
      <c r="AD246" s="271"/>
      <c r="AE246" s="271"/>
      <c r="AF246" s="271"/>
      <c r="AG246" s="271"/>
      <c r="AH246" s="271"/>
      <c r="AI246" s="271"/>
      <c r="AJ246" s="271"/>
      <c r="AK246" s="271"/>
    </row>
    <row r="247" spans="1:37" ht="15.75" customHeight="1" x14ac:dyDescent="0.25">
      <c r="A247" s="534"/>
      <c r="B247" s="271"/>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c r="Z247" s="271"/>
      <c r="AA247" s="271"/>
      <c r="AB247" s="271"/>
      <c r="AC247" s="271"/>
      <c r="AD247" s="271"/>
      <c r="AE247" s="271"/>
      <c r="AF247" s="271"/>
      <c r="AG247" s="271"/>
      <c r="AH247" s="271"/>
      <c r="AI247" s="271"/>
      <c r="AJ247" s="271"/>
      <c r="AK247" s="271"/>
    </row>
    <row r="248" spans="1:37" ht="15.75" customHeight="1" x14ac:dyDescent="0.25">
      <c r="A248" s="534"/>
      <c r="B248" s="271"/>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c r="Z248" s="271"/>
      <c r="AA248" s="271"/>
      <c r="AB248" s="271"/>
      <c r="AC248" s="271"/>
      <c r="AD248" s="271"/>
      <c r="AE248" s="271"/>
      <c r="AF248" s="271"/>
      <c r="AG248" s="271"/>
      <c r="AH248" s="271"/>
      <c r="AI248" s="271"/>
      <c r="AJ248" s="271"/>
      <c r="AK248" s="271"/>
    </row>
    <row r="249" spans="1:37" ht="15.75" customHeight="1" x14ac:dyDescent="0.25">
      <c r="A249" s="534"/>
      <c r="B249" s="271"/>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c r="Z249" s="271"/>
      <c r="AA249" s="271"/>
      <c r="AB249" s="271"/>
      <c r="AC249" s="271"/>
      <c r="AD249" s="271"/>
      <c r="AE249" s="271"/>
      <c r="AF249" s="271"/>
      <c r="AG249" s="271"/>
      <c r="AH249" s="271"/>
      <c r="AI249" s="271"/>
      <c r="AJ249" s="271"/>
      <c r="AK249" s="271"/>
    </row>
    <row r="250" spans="1:37" ht="15.75" customHeight="1" x14ac:dyDescent="0.25">
      <c r="A250" s="534"/>
      <c r="B250" s="271"/>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c r="AA250" s="271"/>
      <c r="AB250" s="271"/>
      <c r="AC250" s="271"/>
      <c r="AD250" s="271"/>
      <c r="AE250" s="271"/>
      <c r="AF250" s="271"/>
      <c r="AG250" s="271"/>
      <c r="AH250" s="271"/>
      <c r="AI250" s="271"/>
      <c r="AJ250" s="271"/>
      <c r="AK250" s="271"/>
    </row>
    <row r="251" spans="1:37" ht="15.75" customHeight="1" x14ac:dyDescent="0.25">
      <c r="A251" s="534"/>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row>
    <row r="252" spans="1:37" ht="15.75" customHeight="1" x14ac:dyDescent="0.25">
      <c r="A252" s="534"/>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row>
    <row r="253" spans="1:37" ht="15.75" customHeight="1" x14ac:dyDescent="0.25">
      <c r="A253" s="534"/>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row>
    <row r="254" spans="1:37" ht="15.75" customHeight="1" x14ac:dyDescent="0.25">
      <c r="A254" s="534"/>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row>
    <row r="255" spans="1:37" ht="15.75" customHeight="1" x14ac:dyDescent="0.25">
      <c r="A255" s="534"/>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row>
    <row r="256" spans="1:37" ht="15.75" customHeight="1" x14ac:dyDescent="0.25">
      <c r="A256" s="534"/>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row>
    <row r="257" spans="1:37" ht="15.75" customHeight="1" x14ac:dyDescent="0.25">
      <c r="A257" s="534"/>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row>
    <row r="258" spans="1:37" ht="15.75" customHeight="1" x14ac:dyDescent="0.25">
      <c r="A258" s="534"/>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row>
    <row r="259" spans="1:37" ht="15.75" customHeight="1" x14ac:dyDescent="0.25">
      <c r="A259" s="534"/>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row>
    <row r="260" spans="1:37" ht="15.75" customHeight="1" x14ac:dyDescent="0.25">
      <c r="A260" s="534"/>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row>
    <row r="261" spans="1:37" ht="15.75" customHeight="1" x14ac:dyDescent="0.25">
      <c r="A261" s="534"/>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row>
    <row r="262" spans="1:37" ht="15.75" customHeight="1" x14ac:dyDescent="0.25">
      <c r="A262" s="534"/>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row>
    <row r="263" spans="1:37" ht="15.75" customHeight="1" x14ac:dyDescent="0.25">
      <c r="A263" s="534"/>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row>
    <row r="264" spans="1:37" ht="15.75" customHeight="1" x14ac:dyDescent="0.25">
      <c r="A264" s="534"/>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row>
    <row r="265" spans="1:37" ht="15.75" customHeight="1" x14ac:dyDescent="0.25">
      <c r="A265" s="534"/>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row>
    <row r="266" spans="1:37" ht="15.75" customHeight="1" x14ac:dyDescent="0.25">
      <c r="A266" s="534"/>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row>
    <row r="267" spans="1:37" ht="15.75" customHeight="1" x14ac:dyDescent="0.25">
      <c r="A267" s="534"/>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row>
    <row r="268" spans="1:37" ht="15.75" customHeight="1" x14ac:dyDescent="0.25">
      <c r="A268" s="534"/>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row>
    <row r="269" spans="1:37" ht="15.75" customHeight="1" x14ac:dyDescent="0.25">
      <c r="A269" s="534"/>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row>
    <row r="270" spans="1:37" ht="15.75" customHeight="1" x14ac:dyDescent="0.25">
      <c r="A270" s="534"/>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row>
    <row r="271" spans="1:37" ht="15.75" customHeight="1" x14ac:dyDescent="0.25">
      <c r="A271" s="534"/>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row>
    <row r="272" spans="1:37" ht="15.75" customHeight="1" x14ac:dyDescent="0.25">
      <c r="A272" s="534"/>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row>
    <row r="273" spans="1:37" ht="15.75" customHeight="1" x14ac:dyDescent="0.25">
      <c r="A273" s="534"/>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row>
    <row r="274" spans="1:37" ht="15.75" customHeight="1" x14ac:dyDescent="0.25">
      <c r="A274" s="534"/>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row>
    <row r="275" spans="1:37" ht="15.75" customHeight="1" x14ac:dyDescent="0.25">
      <c r="A275" s="534"/>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row>
    <row r="276" spans="1:37" ht="15.75" customHeight="1" x14ac:dyDescent="0.25">
      <c r="A276" s="534"/>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row>
    <row r="277" spans="1:37" ht="15.75" customHeight="1" x14ac:dyDescent="0.25">
      <c r="A277" s="534"/>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row>
    <row r="278" spans="1:37" ht="15.75" customHeight="1" x14ac:dyDescent="0.25">
      <c r="A278" s="534"/>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row>
    <row r="279" spans="1:37" ht="15.75" customHeight="1" x14ac:dyDescent="0.25">
      <c r="A279" s="534"/>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row>
    <row r="280" spans="1:37" ht="15.75" customHeight="1" x14ac:dyDescent="0.25">
      <c r="A280" s="534"/>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row>
    <row r="281" spans="1:37" ht="15.75" customHeight="1" x14ac:dyDescent="0.25">
      <c r="A281" s="534"/>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row>
    <row r="282" spans="1:37" ht="15.75" customHeight="1" x14ac:dyDescent="0.25">
      <c r="A282" s="534"/>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row>
    <row r="283" spans="1:37" ht="15.75" customHeight="1" x14ac:dyDescent="0.25">
      <c r="A283" s="534"/>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row>
    <row r="284" spans="1:37" ht="15.75" customHeight="1" x14ac:dyDescent="0.25">
      <c r="A284" s="534"/>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row>
    <row r="285" spans="1:37" ht="15.75" customHeight="1" x14ac:dyDescent="0.25">
      <c r="A285" s="534"/>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row>
    <row r="286" spans="1:37" ht="15.75" customHeight="1" x14ac:dyDescent="0.25">
      <c r="A286" s="534"/>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row>
    <row r="287" spans="1:37" ht="15.75" customHeight="1" x14ac:dyDescent="0.25">
      <c r="A287" s="534"/>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row>
    <row r="288" spans="1:37" ht="15.75" customHeight="1" x14ac:dyDescent="0.25">
      <c r="A288" s="534"/>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row>
    <row r="289" spans="1:37" ht="15.75" customHeight="1" x14ac:dyDescent="0.25">
      <c r="A289" s="534"/>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row>
    <row r="290" spans="1:37" ht="15.75" customHeight="1" x14ac:dyDescent="0.25">
      <c r="A290" s="534"/>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row>
    <row r="291" spans="1:37" ht="15.75" customHeight="1" x14ac:dyDescent="0.25">
      <c r="A291" s="534"/>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row>
    <row r="292" spans="1:37" ht="15.75" customHeight="1" x14ac:dyDescent="0.25">
      <c r="A292" s="534"/>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row>
    <row r="293" spans="1:37" ht="15.75" customHeight="1" x14ac:dyDescent="0.25">
      <c r="A293" s="534"/>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row>
    <row r="294" spans="1:37" ht="15.75" customHeight="1" x14ac:dyDescent="0.25">
      <c r="A294" s="534"/>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row>
    <row r="295" spans="1:37" ht="15.75" customHeight="1" x14ac:dyDescent="0.25">
      <c r="A295" s="534"/>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row>
    <row r="296" spans="1:37" ht="15.75" customHeight="1" x14ac:dyDescent="0.25">
      <c r="A296" s="534"/>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row>
    <row r="297" spans="1:37" ht="15.75" customHeight="1" x14ac:dyDescent="0.25">
      <c r="A297" s="534"/>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row>
    <row r="298" spans="1:37" ht="15.75" customHeight="1" x14ac:dyDescent="0.25">
      <c r="A298" s="534"/>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row>
    <row r="299" spans="1:37" ht="15.75" customHeight="1" x14ac:dyDescent="0.25">
      <c r="A299" s="534"/>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row>
    <row r="300" spans="1:37" ht="15.75" customHeight="1" x14ac:dyDescent="0.25">
      <c r="A300" s="534"/>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row>
    <row r="301" spans="1:37" ht="15.75" customHeight="1" x14ac:dyDescent="0.25">
      <c r="A301" s="534"/>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row>
    <row r="302" spans="1:37" ht="15.75" customHeight="1" x14ac:dyDescent="0.25">
      <c r="A302" s="534"/>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row>
    <row r="303" spans="1:37" ht="15.75" customHeight="1" x14ac:dyDescent="0.25">
      <c r="A303" s="534"/>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row>
    <row r="304" spans="1:37" ht="15.75" customHeight="1" x14ac:dyDescent="0.25">
      <c r="A304" s="534"/>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row>
    <row r="305" spans="1:37" ht="15.75" customHeight="1" x14ac:dyDescent="0.25">
      <c r="A305" s="534"/>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row>
    <row r="306" spans="1:37" ht="15.75" customHeight="1" x14ac:dyDescent="0.25">
      <c r="A306" s="534"/>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row>
    <row r="307" spans="1:37" ht="15.75" customHeight="1" x14ac:dyDescent="0.25">
      <c r="A307" s="534"/>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row>
    <row r="308" spans="1:37" ht="15.75" customHeight="1" x14ac:dyDescent="0.25">
      <c r="A308" s="534"/>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row>
    <row r="309" spans="1:37" ht="15.75" customHeight="1" x14ac:dyDescent="0.25">
      <c r="A309" s="534"/>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row>
    <row r="310" spans="1:37" ht="15.75" customHeight="1" x14ac:dyDescent="0.25">
      <c r="A310" s="534"/>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row>
    <row r="311" spans="1:37" ht="15.75" customHeight="1" x14ac:dyDescent="0.25">
      <c r="A311" s="534"/>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row>
    <row r="312" spans="1:37" ht="15.75" customHeight="1" x14ac:dyDescent="0.25">
      <c r="A312" s="534"/>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row>
    <row r="313" spans="1:37" ht="15.75" customHeight="1" x14ac:dyDescent="0.25">
      <c r="A313" s="534"/>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row>
    <row r="314" spans="1:37" ht="15.75" customHeight="1" x14ac:dyDescent="0.25">
      <c r="A314" s="534"/>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row>
    <row r="315" spans="1:37" ht="15.75" customHeight="1" x14ac:dyDescent="0.25">
      <c r="A315" s="534"/>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row>
    <row r="316" spans="1:37" ht="15.75" customHeight="1" x14ac:dyDescent="0.25">
      <c r="A316" s="534"/>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row>
    <row r="317" spans="1:37" ht="15.75" customHeight="1" x14ac:dyDescent="0.25">
      <c r="A317" s="534"/>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row>
    <row r="318" spans="1:37" ht="15.75" customHeight="1" x14ac:dyDescent="0.25">
      <c r="A318" s="534"/>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row>
    <row r="319" spans="1:37" ht="15.75" customHeight="1" x14ac:dyDescent="0.25">
      <c r="A319" s="534"/>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row>
    <row r="320" spans="1:37" ht="15.75" customHeight="1" x14ac:dyDescent="0.25">
      <c r="A320" s="534"/>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row>
    <row r="321" spans="1:37" ht="15.75" customHeight="1" x14ac:dyDescent="0.25">
      <c r="A321" s="534"/>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row>
    <row r="322" spans="1:37" ht="15.75" customHeight="1" x14ac:dyDescent="0.25">
      <c r="A322" s="534"/>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row>
    <row r="323" spans="1:37" ht="15.75" customHeight="1" x14ac:dyDescent="0.25">
      <c r="A323" s="534"/>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row>
    <row r="324" spans="1:37" ht="15.75" customHeight="1" x14ac:dyDescent="0.25">
      <c r="A324" s="534"/>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row>
    <row r="325" spans="1:37" ht="15.75" customHeight="1" x14ac:dyDescent="0.25">
      <c r="A325" s="534"/>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row>
    <row r="326" spans="1:37" ht="15.75" customHeight="1" x14ac:dyDescent="0.25">
      <c r="A326" s="534"/>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row>
    <row r="327" spans="1:37" ht="15.75" customHeight="1" x14ac:dyDescent="0.25">
      <c r="A327" s="534"/>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row>
    <row r="328" spans="1:37" ht="15.75" customHeight="1" x14ac:dyDescent="0.25">
      <c r="A328" s="534"/>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row>
    <row r="329" spans="1:37" ht="15.75" customHeight="1" x14ac:dyDescent="0.25">
      <c r="A329" s="534"/>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row>
    <row r="330" spans="1:37" ht="15.75" customHeight="1" x14ac:dyDescent="0.25">
      <c r="A330" s="534"/>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row>
    <row r="331" spans="1:37" ht="15.75" customHeight="1" x14ac:dyDescent="0.25">
      <c r="A331" s="534"/>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row>
    <row r="332" spans="1:37" ht="15.75" customHeight="1" x14ac:dyDescent="0.25">
      <c r="A332" s="534"/>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row>
    <row r="333" spans="1:37" ht="15.75" customHeight="1" x14ac:dyDescent="0.25">
      <c r="A333" s="534"/>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row>
    <row r="334" spans="1:37" ht="15.75" customHeight="1" x14ac:dyDescent="0.25">
      <c r="A334" s="534"/>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row>
    <row r="335" spans="1:37" ht="15.75" customHeight="1" x14ac:dyDescent="0.25">
      <c r="A335" s="534"/>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row>
    <row r="336" spans="1:37" ht="15.75" customHeight="1" x14ac:dyDescent="0.25">
      <c r="A336" s="534"/>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row>
    <row r="337" spans="1:37" ht="15.75" customHeight="1" x14ac:dyDescent="0.25">
      <c r="A337" s="534"/>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row>
    <row r="338" spans="1:37" ht="15.75" customHeight="1" x14ac:dyDescent="0.25">
      <c r="A338" s="534"/>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row>
    <row r="339" spans="1:37" ht="15.75" customHeight="1" x14ac:dyDescent="0.25">
      <c r="A339" s="534"/>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row>
    <row r="340" spans="1:37" ht="15.75" customHeight="1" x14ac:dyDescent="0.25">
      <c r="A340" s="534"/>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row>
    <row r="341" spans="1:37" ht="15.75" customHeight="1" x14ac:dyDescent="0.25">
      <c r="A341" s="534"/>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row>
    <row r="342" spans="1:37" ht="15.75" customHeight="1" x14ac:dyDescent="0.25">
      <c r="A342" s="534"/>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row>
    <row r="343" spans="1:37" ht="15.75" customHeight="1" x14ac:dyDescent="0.25">
      <c r="A343" s="534"/>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row>
    <row r="344" spans="1:37" ht="15.75" customHeight="1" x14ac:dyDescent="0.25">
      <c r="A344" s="534"/>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row>
    <row r="345" spans="1:37" ht="15.75" customHeight="1" x14ac:dyDescent="0.25">
      <c r="A345" s="534"/>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row>
    <row r="346" spans="1:37" ht="15.75" customHeight="1" x14ac:dyDescent="0.25">
      <c r="A346" s="534"/>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row>
    <row r="347" spans="1:37" ht="15.75" customHeight="1" x14ac:dyDescent="0.25">
      <c r="A347" s="534"/>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row>
    <row r="348" spans="1:37" ht="15.75" customHeight="1" x14ac:dyDescent="0.25">
      <c r="A348" s="534"/>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row>
    <row r="349" spans="1:37" ht="15.75" customHeight="1" x14ac:dyDescent="0.25">
      <c r="A349" s="534"/>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row>
    <row r="350" spans="1:37" ht="15.75" customHeight="1" x14ac:dyDescent="0.25">
      <c r="A350" s="534"/>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row>
    <row r="351" spans="1:37" ht="15.75" customHeight="1" x14ac:dyDescent="0.25">
      <c r="A351" s="534"/>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row>
    <row r="352" spans="1:37" ht="15.75" customHeight="1" x14ac:dyDescent="0.25">
      <c r="A352" s="534"/>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row>
    <row r="353" spans="1:37" ht="15.75" customHeight="1" x14ac:dyDescent="0.25">
      <c r="A353" s="534"/>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row>
    <row r="354" spans="1:37" ht="15.75" customHeight="1" x14ac:dyDescent="0.25">
      <c r="A354" s="534"/>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row>
    <row r="355" spans="1:37" ht="15.75" customHeight="1" x14ac:dyDescent="0.25">
      <c r="A355" s="534"/>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row>
    <row r="356" spans="1:37" ht="15.75" customHeight="1" x14ac:dyDescent="0.25">
      <c r="A356" s="534"/>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row>
    <row r="357" spans="1:37" ht="15.75" customHeight="1" x14ac:dyDescent="0.25">
      <c r="A357" s="534"/>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row>
    <row r="358" spans="1:37" ht="15.75" customHeight="1" x14ac:dyDescent="0.25">
      <c r="A358" s="534"/>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row>
    <row r="359" spans="1:37" ht="15.75" customHeight="1" x14ac:dyDescent="0.25">
      <c r="A359" s="534"/>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row>
    <row r="360" spans="1:37" ht="15.75" customHeight="1" x14ac:dyDescent="0.25">
      <c r="A360" s="534"/>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row>
    <row r="361" spans="1:37" ht="15.75" customHeight="1" x14ac:dyDescent="0.25">
      <c r="A361" s="534"/>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row>
    <row r="362" spans="1:37" ht="15.75" customHeight="1" x14ac:dyDescent="0.25">
      <c r="A362" s="534"/>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row>
    <row r="363" spans="1:37" ht="15.75" customHeight="1" x14ac:dyDescent="0.25">
      <c r="A363" s="534"/>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row>
    <row r="364" spans="1:37" ht="15.75" customHeight="1" x14ac:dyDescent="0.25">
      <c r="A364" s="534"/>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row>
    <row r="365" spans="1:37" ht="15.75" customHeight="1" x14ac:dyDescent="0.25">
      <c r="A365" s="534"/>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row>
    <row r="366" spans="1:37" ht="15.75" customHeight="1" x14ac:dyDescent="0.25">
      <c r="A366" s="534"/>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row>
    <row r="367" spans="1:37" ht="15.75" customHeight="1" x14ac:dyDescent="0.25">
      <c r="A367" s="534"/>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row>
    <row r="368" spans="1:37" ht="15.75" customHeight="1" x14ac:dyDescent="0.25">
      <c r="A368" s="534"/>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row>
    <row r="369" spans="1:37" ht="15.75" customHeight="1" x14ac:dyDescent="0.25">
      <c r="A369" s="534"/>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row>
    <row r="370" spans="1:37" ht="15.75" customHeight="1" x14ac:dyDescent="0.25">
      <c r="A370" s="534"/>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row>
    <row r="371" spans="1:37" ht="15.75" customHeight="1" x14ac:dyDescent="0.25">
      <c r="A371" s="534"/>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row>
    <row r="372" spans="1:37" ht="15.75" customHeight="1" x14ac:dyDescent="0.25">
      <c r="A372" s="534"/>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row>
    <row r="373" spans="1:37" ht="15.75" customHeight="1" x14ac:dyDescent="0.25">
      <c r="A373" s="534"/>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row>
    <row r="374" spans="1:37" ht="15.75" customHeight="1" x14ac:dyDescent="0.25">
      <c r="A374" s="534"/>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row>
    <row r="375" spans="1:37" ht="15.75" customHeight="1" x14ac:dyDescent="0.25">
      <c r="A375" s="534"/>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row>
    <row r="376" spans="1:37" ht="15.75" customHeight="1" x14ac:dyDescent="0.25">
      <c r="A376" s="534"/>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row>
    <row r="377" spans="1:37" ht="15.75" customHeight="1" x14ac:dyDescent="0.25">
      <c r="A377" s="534"/>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row>
    <row r="378" spans="1:37" ht="15.75" customHeight="1" x14ac:dyDescent="0.25">
      <c r="A378" s="534"/>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row>
    <row r="379" spans="1:37" ht="15.75" customHeight="1" x14ac:dyDescent="0.25">
      <c r="A379" s="534"/>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row>
    <row r="380" spans="1:37" ht="15.75" customHeight="1" x14ac:dyDescent="0.25">
      <c r="A380" s="534"/>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row>
    <row r="381" spans="1:37" ht="15.75" customHeight="1" x14ac:dyDescent="0.25">
      <c r="A381" s="534"/>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row>
    <row r="382" spans="1:37" ht="15.75" customHeight="1" x14ac:dyDescent="0.25">
      <c r="A382" s="534"/>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row>
    <row r="383" spans="1:37" ht="15.75" customHeight="1" x14ac:dyDescent="0.25">
      <c r="A383" s="534"/>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row>
    <row r="384" spans="1:37" ht="15.75" customHeight="1" x14ac:dyDescent="0.25">
      <c r="A384" s="534"/>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row>
    <row r="385" spans="1:37" ht="15.75" customHeight="1" x14ac:dyDescent="0.25">
      <c r="A385" s="534"/>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row>
    <row r="386" spans="1:37" ht="15.75" customHeight="1" x14ac:dyDescent="0.25">
      <c r="A386" s="534"/>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row>
    <row r="387" spans="1:37" ht="15.75" customHeight="1" x14ac:dyDescent="0.25">
      <c r="A387" s="534"/>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row>
    <row r="388" spans="1:37" ht="15.75" customHeight="1" x14ac:dyDescent="0.25">
      <c r="A388" s="534"/>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row>
    <row r="389" spans="1:37" ht="15.75" customHeight="1" x14ac:dyDescent="0.25">
      <c r="A389" s="534"/>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row>
    <row r="390" spans="1:37" ht="15.75" customHeight="1" x14ac:dyDescent="0.25">
      <c r="A390" s="534"/>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row>
    <row r="391" spans="1:37" ht="15.75" customHeight="1" x14ac:dyDescent="0.25">
      <c r="A391" s="534"/>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row>
    <row r="392" spans="1:37" ht="15.75" customHeight="1" x14ac:dyDescent="0.25">
      <c r="A392" s="534"/>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row>
    <row r="393" spans="1:37" ht="15.75" customHeight="1" x14ac:dyDescent="0.25">
      <c r="A393" s="534"/>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row>
    <row r="394" spans="1:37" ht="15.75" customHeight="1" x14ac:dyDescent="0.25">
      <c r="A394" s="534"/>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row>
    <row r="395" spans="1:37" ht="15.75" customHeight="1" x14ac:dyDescent="0.25">
      <c r="A395" s="534"/>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row>
    <row r="396" spans="1:37" ht="15.75" customHeight="1" x14ac:dyDescent="0.25">
      <c r="A396" s="534"/>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row>
    <row r="397" spans="1:37" ht="15.75" customHeight="1" x14ac:dyDescent="0.25">
      <c r="A397" s="534"/>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row>
    <row r="398" spans="1:37" ht="15.75" customHeight="1" x14ac:dyDescent="0.25">
      <c r="A398" s="534"/>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row>
    <row r="399" spans="1:37" ht="15.75" customHeight="1" x14ac:dyDescent="0.25">
      <c r="A399" s="534"/>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row>
    <row r="400" spans="1:37" ht="15.75" customHeight="1" x14ac:dyDescent="0.25">
      <c r="A400" s="534"/>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row>
    <row r="401" spans="1:37" ht="15.75" customHeight="1" x14ac:dyDescent="0.25">
      <c r="A401" s="534"/>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row>
    <row r="402" spans="1:37" ht="15.75" customHeight="1" x14ac:dyDescent="0.25">
      <c r="A402" s="534"/>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row>
    <row r="403" spans="1:37" ht="15.75" customHeight="1" x14ac:dyDescent="0.25">
      <c r="A403" s="534"/>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row>
    <row r="404" spans="1:37" ht="15.75" customHeight="1" x14ac:dyDescent="0.25">
      <c r="A404" s="534"/>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row>
    <row r="405" spans="1:37" ht="15.75" customHeight="1" x14ac:dyDescent="0.25">
      <c r="A405" s="534"/>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row>
    <row r="406" spans="1:37" ht="15.75" customHeight="1" x14ac:dyDescent="0.25">
      <c r="A406" s="534"/>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row>
    <row r="407" spans="1:37" ht="15.75" customHeight="1" x14ac:dyDescent="0.25">
      <c r="A407" s="534"/>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row>
    <row r="408" spans="1:37" ht="15.75" customHeight="1" x14ac:dyDescent="0.25">
      <c r="A408" s="534"/>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row>
    <row r="409" spans="1:37" ht="15.75" customHeight="1" x14ac:dyDescent="0.25">
      <c r="A409" s="534"/>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row>
    <row r="410" spans="1:37" ht="15.75" customHeight="1" x14ac:dyDescent="0.25">
      <c r="A410" s="534"/>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row>
    <row r="411" spans="1:37" ht="15.75" customHeight="1" x14ac:dyDescent="0.25">
      <c r="A411" s="534"/>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row>
    <row r="412" spans="1:37" ht="15.75" customHeight="1" x14ac:dyDescent="0.25">
      <c r="A412" s="534"/>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row>
    <row r="413" spans="1:37" ht="15.75" customHeight="1" x14ac:dyDescent="0.25">
      <c r="A413" s="534"/>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row>
    <row r="414" spans="1:37" ht="15.75" customHeight="1" x14ac:dyDescent="0.25">
      <c r="A414" s="534"/>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row>
    <row r="415" spans="1:37" ht="15.75" customHeight="1" x14ac:dyDescent="0.25">
      <c r="A415" s="534"/>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row>
    <row r="416" spans="1:37" ht="15.75" customHeight="1" x14ac:dyDescent="0.25">
      <c r="A416" s="534"/>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row>
    <row r="417" spans="1:37" ht="15.75" customHeight="1" x14ac:dyDescent="0.25">
      <c r="A417" s="534"/>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row>
    <row r="418" spans="1:37" ht="15.75" customHeight="1" x14ac:dyDescent="0.25">
      <c r="A418" s="534"/>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row>
    <row r="419" spans="1:37" ht="15.75" customHeight="1" x14ac:dyDescent="0.25">
      <c r="A419" s="534"/>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row>
    <row r="420" spans="1:37" ht="15.75" customHeight="1" x14ac:dyDescent="0.25">
      <c r="A420" s="534"/>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row>
    <row r="421" spans="1:37" ht="15.75" customHeight="1" x14ac:dyDescent="0.25">
      <c r="A421" s="534"/>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row>
    <row r="422" spans="1:37" ht="15.75" customHeight="1" x14ac:dyDescent="0.25">
      <c r="A422" s="534"/>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row>
    <row r="423" spans="1:37" ht="15.75" customHeight="1" x14ac:dyDescent="0.25">
      <c r="A423" s="534"/>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row>
    <row r="424" spans="1:37" ht="15.75" customHeight="1" x14ac:dyDescent="0.25">
      <c r="A424" s="534"/>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row>
    <row r="425" spans="1:37" ht="15.75" customHeight="1" x14ac:dyDescent="0.25">
      <c r="A425" s="534"/>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row>
    <row r="426" spans="1:37" ht="15.75" customHeight="1" x14ac:dyDescent="0.25">
      <c r="A426" s="534"/>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row>
    <row r="427" spans="1:37" ht="15.75" customHeight="1" x14ac:dyDescent="0.25">
      <c r="A427" s="534"/>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row>
    <row r="428" spans="1:37" ht="15.75" customHeight="1" x14ac:dyDescent="0.25">
      <c r="A428" s="534"/>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row>
    <row r="429" spans="1:37" ht="15.75" customHeight="1" x14ac:dyDescent="0.25">
      <c r="A429" s="534"/>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row>
    <row r="430" spans="1:37" ht="15.75" customHeight="1" x14ac:dyDescent="0.25">
      <c r="A430" s="534"/>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row>
    <row r="431" spans="1:37" ht="15.75" customHeight="1" x14ac:dyDescent="0.25">
      <c r="A431" s="534"/>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row>
    <row r="432" spans="1:37" ht="15.75" customHeight="1" x14ac:dyDescent="0.25">
      <c r="A432" s="534"/>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row>
    <row r="433" spans="1:37" ht="15.75" customHeight="1" x14ac:dyDescent="0.25">
      <c r="A433" s="534"/>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row>
    <row r="434" spans="1:37" ht="15.75" customHeight="1" x14ac:dyDescent="0.25">
      <c r="A434" s="534"/>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row>
    <row r="435" spans="1:37" ht="15.75" customHeight="1" x14ac:dyDescent="0.25">
      <c r="A435" s="534"/>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row>
    <row r="436" spans="1:37" ht="15.75" customHeight="1" x14ac:dyDescent="0.25">
      <c r="A436" s="534"/>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row>
    <row r="437" spans="1:37" ht="15.75" customHeight="1" x14ac:dyDescent="0.25">
      <c r="A437" s="534"/>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row>
    <row r="438" spans="1:37" ht="15.75" customHeight="1" x14ac:dyDescent="0.25">
      <c r="A438" s="534"/>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row>
    <row r="439" spans="1:37" ht="15.75" customHeight="1" x14ac:dyDescent="0.25">
      <c r="A439" s="534"/>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row>
    <row r="440" spans="1:37" ht="15.75" customHeight="1" x14ac:dyDescent="0.25">
      <c r="A440" s="534"/>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row>
    <row r="441" spans="1:37" ht="15.75" customHeight="1" x14ac:dyDescent="0.25">
      <c r="A441" s="534"/>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row>
    <row r="442" spans="1:37" ht="15.75" customHeight="1" x14ac:dyDescent="0.25">
      <c r="A442" s="534"/>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row>
    <row r="443" spans="1:37" ht="15.75" customHeight="1" x14ac:dyDescent="0.25">
      <c r="A443" s="534"/>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row>
    <row r="444" spans="1:37" ht="15.75" customHeight="1" x14ac:dyDescent="0.25">
      <c r="A444" s="534"/>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row>
    <row r="445" spans="1:37" ht="15.75" customHeight="1" x14ac:dyDescent="0.25">
      <c r="A445" s="534"/>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row>
    <row r="446" spans="1:37" ht="15.75" customHeight="1" x14ac:dyDescent="0.25">
      <c r="A446" s="534"/>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row>
    <row r="447" spans="1:37" ht="15.75" customHeight="1" x14ac:dyDescent="0.25">
      <c r="A447" s="534"/>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row>
    <row r="448" spans="1:37" ht="15.75" customHeight="1" x14ac:dyDescent="0.25">
      <c r="A448" s="534"/>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row>
    <row r="449" spans="1:37" ht="15.75" customHeight="1" x14ac:dyDescent="0.25">
      <c r="A449" s="534"/>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row>
    <row r="450" spans="1:37" ht="15.75" customHeight="1" x14ac:dyDescent="0.25">
      <c r="A450" s="534"/>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row>
    <row r="451" spans="1:37" ht="15.75" customHeight="1" x14ac:dyDescent="0.25">
      <c r="A451" s="534"/>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row>
    <row r="452" spans="1:37" ht="15.75" customHeight="1" x14ac:dyDescent="0.25">
      <c r="A452" s="534"/>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row>
    <row r="453" spans="1:37" ht="15.75" customHeight="1" x14ac:dyDescent="0.25">
      <c r="A453" s="534"/>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row>
    <row r="454" spans="1:37" ht="15.75" customHeight="1" x14ac:dyDescent="0.25">
      <c r="A454" s="534"/>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row>
    <row r="455" spans="1:37" ht="15.75" customHeight="1" x14ac:dyDescent="0.25">
      <c r="A455" s="534"/>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row>
    <row r="456" spans="1:37" ht="15.75" customHeight="1" x14ac:dyDescent="0.25">
      <c r="A456" s="534"/>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row>
    <row r="457" spans="1:37" ht="15.75" customHeight="1" x14ac:dyDescent="0.25">
      <c r="A457" s="534"/>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row>
    <row r="458" spans="1:37" ht="15.75" customHeight="1" x14ac:dyDescent="0.25">
      <c r="A458" s="534"/>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row>
    <row r="459" spans="1:37" ht="15.75" customHeight="1" x14ac:dyDescent="0.25">
      <c r="A459" s="534"/>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row>
    <row r="460" spans="1:37" ht="15.75" customHeight="1" x14ac:dyDescent="0.25">
      <c r="A460" s="534"/>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row>
    <row r="461" spans="1:37" ht="15.75" customHeight="1" x14ac:dyDescent="0.25">
      <c r="A461" s="534"/>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row>
    <row r="462" spans="1:37" ht="15.75" customHeight="1" x14ac:dyDescent="0.25">
      <c r="A462" s="534"/>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row>
    <row r="463" spans="1:37" ht="15.75" customHeight="1" x14ac:dyDescent="0.25">
      <c r="A463" s="534"/>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row>
    <row r="464" spans="1:37" ht="15.75" customHeight="1" x14ac:dyDescent="0.25">
      <c r="A464" s="534"/>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row>
    <row r="465" spans="1:37" ht="15.75" customHeight="1" x14ac:dyDescent="0.25">
      <c r="A465" s="534"/>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row>
    <row r="466" spans="1:37" ht="15.75" customHeight="1" x14ac:dyDescent="0.25">
      <c r="A466" s="534"/>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row>
    <row r="467" spans="1:37" ht="15.75" customHeight="1" x14ac:dyDescent="0.25">
      <c r="A467" s="534"/>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row>
    <row r="468" spans="1:37" ht="15.75" customHeight="1" x14ac:dyDescent="0.25">
      <c r="A468" s="534"/>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row>
    <row r="469" spans="1:37" ht="15.75" customHeight="1" x14ac:dyDescent="0.25">
      <c r="A469" s="534"/>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row>
    <row r="470" spans="1:37" ht="15.75" customHeight="1" x14ac:dyDescent="0.25">
      <c r="A470" s="534"/>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row>
    <row r="471" spans="1:37" ht="15.75" customHeight="1" x14ac:dyDescent="0.25">
      <c r="A471" s="534"/>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row>
    <row r="472" spans="1:37" ht="15.75" customHeight="1" x14ac:dyDescent="0.25">
      <c r="A472" s="534"/>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row>
    <row r="473" spans="1:37" ht="15.75" customHeight="1" x14ac:dyDescent="0.25">
      <c r="A473" s="534"/>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row>
    <row r="474" spans="1:37" ht="15.75" customHeight="1" x14ac:dyDescent="0.25">
      <c r="A474" s="534"/>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row>
    <row r="475" spans="1:37" ht="15.75" customHeight="1" x14ac:dyDescent="0.25">
      <c r="A475" s="534"/>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row>
    <row r="476" spans="1:37" ht="15.75" customHeight="1" x14ac:dyDescent="0.25">
      <c r="A476" s="534"/>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row>
    <row r="477" spans="1:37" ht="15.75" customHeight="1" x14ac:dyDescent="0.25">
      <c r="A477" s="534"/>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row>
    <row r="478" spans="1:37" ht="15.75" customHeight="1" x14ac:dyDescent="0.25">
      <c r="A478" s="534"/>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row>
    <row r="479" spans="1:37" ht="15.75" customHeight="1" x14ac:dyDescent="0.25">
      <c r="A479" s="534"/>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row>
    <row r="480" spans="1:37" ht="15.75" customHeight="1" x14ac:dyDescent="0.25">
      <c r="A480" s="534"/>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row>
    <row r="481" spans="1:37" ht="15.75" customHeight="1" x14ac:dyDescent="0.25">
      <c r="A481" s="534"/>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row>
    <row r="482" spans="1:37" ht="15.75" customHeight="1" x14ac:dyDescent="0.25">
      <c r="A482" s="534"/>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row>
    <row r="483" spans="1:37" ht="15.75" customHeight="1" x14ac:dyDescent="0.25">
      <c r="A483" s="534"/>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row>
    <row r="484" spans="1:37" ht="15.75" customHeight="1" x14ac:dyDescent="0.25">
      <c r="A484" s="534"/>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row>
    <row r="485" spans="1:37" ht="15.75" customHeight="1" x14ac:dyDescent="0.25">
      <c r="A485" s="534"/>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row>
    <row r="486" spans="1:37" ht="15.75" customHeight="1" x14ac:dyDescent="0.25">
      <c r="A486" s="534"/>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row>
    <row r="487" spans="1:37" ht="15.75" customHeight="1" x14ac:dyDescent="0.25">
      <c r="A487" s="534"/>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row>
    <row r="488" spans="1:37" ht="15.75" customHeight="1" x14ac:dyDescent="0.25">
      <c r="A488" s="534"/>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row>
    <row r="489" spans="1:37" ht="15.75" customHeight="1" x14ac:dyDescent="0.25">
      <c r="A489" s="534"/>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row>
    <row r="490" spans="1:37" ht="15.75" customHeight="1" x14ac:dyDescent="0.25">
      <c r="A490" s="534"/>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row>
    <row r="491" spans="1:37" ht="15.75" customHeight="1" x14ac:dyDescent="0.25">
      <c r="A491" s="534"/>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row>
    <row r="492" spans="1:37" ht="15.75" customHeight="1" x14ac:dyDescent="0.25">
      <c r="A492" s="534"/>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row>
    <row r="493" spans="1:37" ht="15.75" customHeight="1" x14ac:dyDescent="0.25">
      <c r="A493" s="534"/>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row>
    <row r="494" spans="1:37" ht="15.75" customHeight="1" x14ac:dyDescent="0.25">
      <c r="A494" s="534"/>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row>
    <row r="495" spans="1:37" ht="15.75" customHeight="1" x14ac:dyDescent="0.25">
      <c r="A495" s="534"/>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row>
    <row r="496" spans="1:37" ht="15.75" customHeight="1" x14ac:dyDescent="0.25">
      <c r="A496" s="534"/>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row>
    <row r="497" spans="1:37" ht="15.75" customHeight="1" x14ac:dyDescent="0.25">
      <c r="A497" s="534"/>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row>
    <row r="498" spans="1:37" ht="15.75" customHeight="1" x14ac:dyDescent="0.25">
      <c r="A498" s="534"/>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row>
    <row r="499" spans="1:37" ht="15.75" customHeight="1" x14ac:dyDescent="0.25">
      <c r="A499" s="534"/>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row>
    <row r="500" spans="1:37" ht="15.75" customHeight="1" x14ac:dyDescent="0.25">
      <c r="A500" s="534"/>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row>
    <row r="501" spans="1:37" ht="15.75" customHeight="1" x14ac:dyDescent="0.25">
      <c r="A501" s="534"/>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row>
    <row r="502" spans="1:37" ht="15.75" customHeight="1" x14ac:dyDescent="0.25">
      <c r="A502" s="534"/>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row>
    <row r="503" spans="1:37" ht="15.75" customHeight="1" x14ac:dyDescent="0.25">
      <c r="A503" s="534"/>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row>
    <row r="504" spans="1:37" ht="15.75" customHeight="1" x14ac:dyDescent="0.25">
      <c r="A504" s="534"/>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row>
    <row r="505" spans="1:37" ht="15.75" customHeight="1" x14ac:dyDescent="0.25">
      <c r="A505" s="534"/>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row>
    <row r="506" spans="1:37" ht="15.75" customHeight="1" x14ac:dyDescent="0.25">
      <c r="A506" s="534"/>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row>
    <row r="507" spans="1:37" ht="15.75" customHeight="1" x14ac:dyDescent="0.25">
      <c r="A507" s="534"/>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row>
    <row r="508" spans="1:37" ht="15.75" customHeight="1" x14ac:dyDescent="0.25">
      <c r="A508" s="534"/>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row>
    <row r="509" spans="1:37" ht="15.75" customHeight="1" x14ac:dyDescent="0.25">
      <c r="A509" s="534"/>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row>
    <row r="510" spans="1:37" ht="15.75" customHeight="1" x14ac:dyDescent="0.25">
      <c r="A510" s="534"/>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row>
    <row r="511" spans="1:37" ht="15.75" customHeight="1" x14ac:dyDescent="0.25">
      <c r="A511" s="534"/>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row>
    <row r="512" spans="1:37" ht="15.75" customHeight="1" x14ac:dyDescent="0.25">
      <c r="A512" s="534"/>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row>
    <row r="513" spans="1:37" ht="15.75" customHeight="1" x14ac:dyDescent="0.25">
      <c r="A513" s="534"/>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row>
    <row r="514" spans="1:37" ht="15.75" customHeight="1" x14ac:dyDescent="0.25">
      <c r="A514" s="534"/>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row>
    <row r="515" spans="1:37" ht="15.75" customHeight="1" x14ac:dyDescent="0.25">
      <c r="A515" s="534"/>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row>
    <row r="516" spans="1:37" ht="15.75" customHeight="1" x14ac:dyDescent="0.25">
      <c r="A516" s="534"/>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row>
    <row r="517" spans="1:37" ht="15.75" customHeight="1" x14ac:dyDescent="0.25">
      <c r="A517" s="534"/>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row>
    <row r="518" spans="1:37" ht="15.75" customHeight="1" x14ac:dyDescent="0.25">
      <c r="A518" s="534"/>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row>
    <row r="519" spans="1:37" ht="15.75" customHeight="1" x14ac:dyDescent="0.25">
      <c r="A519" s="534"/>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row>
    <row r="520" spans="1:37" ht="15.75" customHeight="1" x14ac:dyDescent="0.25">
      <c r="A520" s="534"/>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row>
    <row r="521" spans="1:37" ht="15.75" customHeight="1" x14ac:dyDescent="0.25">
      <c r="A521" s="534"/>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row>
    <row r="522" spans="1:37" ht="15.75" customHeight="1" x14ac:dyDescent="0.25">
      <c r="A522" s="534"/>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row>
    <row r="523" spans="1:37" ht="15.75" customHeight="1" x14ac:dyDescent="0.25">
      <c r="A523" s="534"/>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row>
    <row r="524" spans="1:37" ht="15.75" customHeight="1" x14ac:dyDescent="0.25">
      <c r="A524" s="534"/>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row>
    <row r="525" spans="1:37" ht="15.75" customHeight="1" x14ac:dyDescent="0.25">
      <c r="A525" s="534"/>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row>
    <row r="526" spans="1:37" ht="15.75" customHeight="1" x14ac:dyDescent="0.25">
      <c r="A526" s="534"/>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row>
    <row r="527" spans="1:37" ht="15.75" customHeight="1" x14ac:dyDescent="0.25">
      <c r="A527" s="534"/>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row>
    <row r="528" spans="1:37" ht="15.75" customHeight="1" x14ac:dyDescent="0.25">
      <c r="A528" s="534"/>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row>
    <row r="529" spans="1:37" ht="15.75" customHeight="1" x14ac:dyDescent="0.25">
      <c r="A529" s="534"/>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row>
    <row r="530" spans="1:37" ht="15.75" customHeight="1" x14ac:dyDescent="0.25">
      <c r="A530" s="534"/>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row>
    <row r="531" spans="1:37" ht="15.75" customHeight="1" x14ac:dyDescent="0.25">
      <c r="A531" s="534"/>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row>
    <row r="532" spans="1:37" ht="15.75" customHeight="1" x14ac:dyDescent="0.25">
      <c r="A532" s="534"/>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row>
    <row r="533" spans="1:37" ht="15.75" customHeight="1" x14ac:dyDescent="0.25">
      <c r="A533" s="534"/>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row>
    <row r="534" spans="1:37" ht="15.75" customHeight="1" x14ac:dyDescent="0.25">
      <c r="A534" s="534"/>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row>
    <row r="535" spans="1:37" ht="15.75" customHeight="1" x14ac:dyDescent="0.25">
      <c r="A535" s="534"/>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row>
    <row r="536" spans="1:37" ht="15.75" customHeight="1" x14ac:dyDescent="0.25">
      <c r="A536" s="534"/>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row>
    <row r="537" spans="1:37" ht="15.75" customHeight="1" x14ac:dyDescent="0.25">
      <c r="A537" s="534"/>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row>
    <row r="538" spans="1:37" ht="15.75" customHeight="1" x14ac:dyDescent="0.25">
      <c r="A538" s="534"/>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row>
    <row r="539" spans="1:37" ht="15.75" customHeight="1" x14ac:dyDescent="0.25">
      <c r="A539" s="534"/>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row>
    <row r="540" spans="1:37" ht="15.75" customHeight="1" x14ac:dyDescent="0.25">
      <c r="A540" s="534"/>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row>
    <row r="541" spans="1:37" ht="15.75" customHeight="1" x14ac:dyDescent="0.25">
      <c r="A541" s="534"/>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row>
    <row r="542" spans="1:37" ht="15.75" customHeight="1" x14ac:dyDescent="0.25">
      <c r="A542" s="534"/>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row>
    <row r="543" spans="1:37" ht="15.75" customHeight="1" x14ac:dyDescent="0.25">
      <c r="A543" s="534"/>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row>
    <row r="544" spans="1:37" ht="15.75" customHeight="1" x14ac:dyDescent="0.25">
      <c r="A544" s="534"/>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row>
    <row r="545" spans="1:37" ht="15.75" customHeight="1" x14ac:dyDescent="0.25">
      <c r="A545" s="534"/>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row>
    <row r="546" spans="1:37" ht="15.75" customHeight="1" x14ac:dyDescent="0.25">
      <c r="A546" s="534"/>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row>
    <row r="547" spans="1:37" ht="15.75" customHeight="1" x14ac:dyDescent="0.25">
      <c r="A547" s="534"/>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row>
    <row r="548" spans="1:37" ht="15.75" customHeight="1" x14ac:dyDescent="0.25">
      <c r="A548" s="534"/>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row>
    <row r="549" spans="1:37" ht="15.75" customHeight="1" x14ac:dyDescent="0.25">
      <c r="A549" s="534"/>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row>
    <row r="550" spans="1:37" ht="15.75" customHeight="1" x14ac:dyDescent="0.25">
      <c r="A550" s="534"/>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row>
    <row r="551" spans="1:37" ht="15.75" customHeight="1" x14ac:dyDescent="0.25">
      <c r="A551" s="534"/>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row>
    <row r="552" spans="1:37" ht="15.75" customHeight="1" x14ac:dyDescent="0.25">
      <c r="A552" s="534"/>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row>
    <row r="553" spans="1:37" ht="15.75" customHeight="1" x14ac:dyDescent="0.25">
      <c r="A553" s="534"/>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row>
    <row r="554" spans="1:37" ht="15.75" customHeight="1" x14ac:dyDescent="0.25">
      <c r="A554" s="534"/>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row>
    <row r="555" spans="1:37" ht="15.75" customHeight="1" x14ac:dyDescent="0.25">
      <c r="A555" s="534"/>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row>
    <row r="556" spans="1:37" ht="15.75" customHeight="1" x14ac:dyDescent="0.25">
      <c r="A556" s="534"/>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row>
    <row r="557" spans="1:37" ht="15.75" customHeight="1" x14ac:dyDescent="0.25">
      <c r="A557" s="534"/>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row>
    <row r="558" spans="1:37" ht="15.75" customHeight="1" x14ac:dyDescent="0.25">
      <c r="A558" s="534"/>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row>
    <row r="559" spans="1:37" ht="15.75" customHeight="1" x14ac:dyDescent="0.25">
      <c r="A559" s="534"/>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row>
    <row r="560" spans="1:37" ht="15.75" customHeight="1" x14ac:dyDescent="0.25">
      <c r="A560" s="534"/>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row>
    <row r="561" spans="1:37" ht="15.75" customHeight="1" x14ac:dyDescent="0.25">
      <c r="A561" s="534"/>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row>
    <row r="562" spans="1:37" ht="15.75" customHeight="1" x14ac:dyDescent="0.25">
      <c r="A562" s="534"/>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row>
    <row r="563" spans="1:37" ht="15.75" customHeight="1" x14ac:dyDescent="0.25">
      <c r="A563" s="534"/>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row>
    <row r="564" spans="1:37" ht="15.75" customHeight="1" x14ac:dyDescent="0.25">
      <c r="A564" s="534"/>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row>
    <row r="565" spans="1:37" ht="15.75" customHeight="1" x14ac:dyDescent="0.25">
      <c r="A565" s="534"/>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row>
    <row r="566" spans="1:37" ht="15.75" customHeight="1" x14ac:dyDescent="0.25">
      <c r="A566" s="534"/>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row>
    <row r="567" spans="1:37" ht="15.75" customHeight="1" x14ac:dyDescent="0.25">
      <c r="A567" s="534"/>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row>
    <row r="568" spans="1:37" ht="15.75" customHeight="1" x14ac:dyDescent="0.25">
      <c r="A568" s="534"/>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row>
    <row r="569" spans="1:37" ht="15.75" customHeight="1" x14ac:dyDescent="0.25">
      <c r="A569" s="534"/>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row>
    <row r="570" spans="1:37" ht="15.75" customHeight="1" x14ac:dyDescent="0.25">
      <c r="A570" s="534"/>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row>
    <row r="571" spans="1:37" ht="15.75" customHeight="1" x14ac:dyDescent="0.25">
      <c r="A571" s="534"/>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row>
    <row r="572" spans="1:37" ht="15.75" customHeight="1" x14ac:dyDescent="0.25">
      <c r="A572" s="534"/>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row>
    <row r="573" spans="1:37" ht="15.75" customHeight="1" x14ac:dyDescent="0.25">
      <c r="A573" s="534"/>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row>
    <row r="574" spans="1:37" ht="15.75" customHeight="1" x14ac:dyDescent="0.25">
      <c r="A574" s="534"/>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row>
    <row r="575" spans="1:37" ht="15.75" customHeight="1" x14ac:dyDescent="0.25">
      <c r="A575" s="534"/>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row>
    <row r="576" spans="1:37" ht="15.75" customHeight="1" x14ac:dyDescent="0.25">
      <c r="A576" s="534"/>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row>
    <row r="577" spans="1:37" ht="15.75" customHeight="1" x14ac:dyDescent="0.25">
      <c r="A577" s="534"/>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row>
    <row r="578" spans="1:37" ht="15.75" customHeight="1" x14ac:dyDescent="0.25">
      <c r="A578" s="534"/>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row>
    <row r="579" spans="1:37" ht="15.75" customHeight="1" x14ac:dyDescent="0.25">
      <c r="A579" s="534"/>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row>
    <row r="580" spans="1:37" ht="15.75" customHeight="1" x14ac:dyDescent="0.25">
      <c r="A580" s="534"/>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row>
    <row r="581" spans="1:37" ht="15.75" customHeight="1" x14ac:dyDescent="0.25">
      <c r="A581" s="534"/>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row>
    <row r="582" spans="1:37" ht="15.75" customHeight="1" x14ac:dyDescent="0.25">
      <c r="A582" s="534"/>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row>
    <row r="583" spans="1:37" ht="15.75" customHeight="1" x14ac:dyDescent="0.25">
      <c r="A583" s="534"/>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row>
    <row r="584" spans="1:37" ht="15.75" customHeight="1" x14ac:dyDescent="0.25">
      <c r="A584" s="534"/>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row>
    <row r="585" spans="1:37" ht="15.75" customHeight="1" x14ac:dyDescent="0.25">
      <c r="A585" s="534"/>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row>
    <row r="586" spans="1:37" ht="15.75" customHeight="1" x14ac:dyDescent="0.25">
      <c r="A586" s="534"/>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row>
    <row r="587" spans="1:37" ht="15.75" customHeight="1" x14ac:dyDescent="0.25">
      <c r="A587" s="534"/>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row>
    <row r="588" spans="1:37" ht="15.75" customHeight="1" x14ac:dyDescent="0.25">
      <c r="A588" s="534"/>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row>
    <row r="589" spans="1:37" ht="15.75" customHeight="1" x14ac:dyDescent="0.25">
      <c r="A589" s="534"/>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row>
    <row r="590" spans="1:37" ht="15.75" customHeight="1" x14ac:dyDescent="0.25">
      <c r="A590" s="534"/>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row>
    <row r="591" spans="1:37" ht="15.75" customHeight="1" x14ac:dyDescent="0.25">
      <c r="A591" s="534"/>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row>
    <row r="592" spans="1:37" ht="15.75" customHeight="1" x14ac:dyDescent="0.25">
      <c r="A592" s="534"/>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row>
    <row r="593" spans="1:37" ht="15.75" customHeight="1" x14ac:dyDescent="0.25">
      <c r="A593" s="534"/>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row>
    <row r="594" spans="1:37" ht="15.75" customHeight="1" x14ac:dyDescent="0.25">
      <c r="A594" s="534"/>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row>
    <row r="595" spans="1:37" ht="15.75" customHeight="1" x14ac:dyDescent="0.25">
      <c r="A595" s="534"/>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row>
    <row r="596" spans="1:37" ht="15.75" customHeight="1" x14ac:dyDescent="0.25">
      <c r="A596" s="534"/>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row>
    <row r="597" spans="1:37" ht="15.75" customHeight="1" x14ac:dyDescent="0.25">
      <c r="A597" s="534"/>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row>
    <row r="598" spans="1:37" ht="15.75" customHeight="1" x14ac:dyDescent="0.25">
      <c r="A598" s="534"/>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row>
    <row r="599" spans="1:37" ht="15.75" customHeight="1" x14ac:dyDescent="0.25">
      <c r="A599" s="534"/>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row>
    <row r="600" spans="1:37" ht="15.75" customHeight="1" x14ac:dyDescent="0.25">
      <c r="A600" s="534"/>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row>
    <row r="601" spans="1:37" ht="15.75" customHeight="1" x14ac:dyDescent="0.25">
      <c r="A601" s="534"/>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row>
    <row r="602" spans="1:37" ht="15.75" customHeight="1" x14ac:dyDescent="0.25">
      <c r="A602" s="534"/>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row>
    <row r="603" spans="1:37" ht="15.75" customHeight="1" x14ac:dyDescent="0.25">
      <c r="A603" s="534"/>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row>
    <row r="604" spans="1:37" ht="15.75" customHeight="1" x14ac:dyDescent="0.25">
      <c r="A604" s="534"/>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row>
    <row r="605" spans="1:37" ht="15.75" customHeight="1" x14ac:dyDescent="0.25">
      <c r="A605" s="534"/>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row>
    <row r="606" spans="1:37" ht="15.75" customHeight="1" x14ac:dyDescent="0.25">
      <c r="A606" s="534"/>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row>
    <row r="607" spans="1:37" ht="15.75" customHeight="1" x14ac:dyDescent="0.25">
      <c r="A607" s="534"/>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row>
    <row r="608" spans="1:37" ht="15.75" customHeight="1" x14ac:dyDescent="0.25">
      <c r="A608" s="534"/>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row>
    <row r="609" spans="1:37" ht="15.75" customHeight="1" x14ac:dyDescent="0.25">
      <c r="A609" s="534"/>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row>
    <row r="610" spans="1:37" ht="15.75" customHeight="1" x14ac:dyDescent="0.25">
      <c r="A610" s="534"/>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row>
    <row r="611" spans="1:37" ht="15.75" customHeight="1" x14ac:dyDescent="0.25">
      <c r="A611" s="534"/>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row>
    <row r="612" spans="1:37" ht="15.75" customHeight="1" x14ac:dyDescent="0.25">
      <c r="A612" s="534"/>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row>
    <row r="613" spans="1:37" ht="15.75" customHeight="1" x14ac:dyDescent="0.25">
      <c r="A613" s="534"/>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row>
    <row r="614" spans="1:37" ht="15.75" customHeight="1" x14ac:dyDescent="0.25">
      <c r="A614" s="534"/>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row>
    <row r="615" spans="1:37" ht="15.75" customHeight="1" x14ac:dyDescent="0.25">
      <c r="A615" s="534"/>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row>
    <row r="616" spans="1:37" ht="15.75" customHeight="1" x14ac:dyDescent="0.25">
      <c r="A616" s="534"/>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row>
    <row r="617" spans="1:37" ht="15.75" customHeight="1" x14ac:dyDescent="0.25">
      <c r="A617" s="534"/>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row>
    <row r="618" spans="1:37" ht="15.75" customHeight="1" x14ac:dyDescent="0.25">
      <c r="A618" s="534"/>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row>
    <row r="619" spans="1:37" ht="15.75" customHeight="1" x14ac:dyDescent="0.25">
      <c r="A619" s="534"/>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row>
    <row r="620" spans="1:37" ht="15.75" customHeight="1" x14ac:dyDescent="0.25">
      <c r="A620" s="534"/>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row>
    <row r="621" spans="1:37" ht="15.75" customHeight="1" x14ac:dyDescent="0.25">
      <c r="A621" s="534"/>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row>
    <row r="622" spans="1:37" ht="15.75" customHeight="1" x14ac:dyDescent="0.25">
      <c r="A622" s="534"/>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row>
    <row r="623" spans="1:37" ht="15.75" customHeight="1" x14ac:dyDescent="0.25">
      <c r="A623" s="534"/>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row>
    <row r="624" spans="1:37" ht="15.75" customHeight="1" x14ac:dyDescent="0.25">
      <c r="A624" s="534"/>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row>
    <row r="625" spans="1:37" ht="15.75" customHeight="1" x14ac:dyDescent="0.25">
      <c r="A625" s="534"/>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row>
    <row r="626" spans="1:37" ht="15.75" customHeight="1" x14ac:dyDescent="0.25">
      <c r="A626" s="534"/>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row>
    <row r="627" spans="1:37" ht="15.75" customHeight="1" x14ac:dyDescent="0.25">
      <c r="A627" s="534"/>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row>
    <row r="628" spans="1:37" ht="15.75" customHeight="1" x14ac:dyDescent="0.25">
      <c r="A628" s="534"/>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row>
    <row r="629" spans="1:37" ht="15.75" customHeight="1" x14ac:dyDescent="0.25">
      <c r="A629" s="534"/>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row>
    <row r="630" spans="1:37" ht="15.75" customHeight="1" x14ac:dyDescent="0.25">
      <c r="A630" s="534"/>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row>
    <row r="631" spans="1:37" ht="15.75" customHeight="1" x14ac:dyDescent="0.25">
      <c r="A631" s="534"/>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row>
    <row r="632" spans="1:37" ht="15.75" customHeight="1" x14ac:dyDescent="0.25">
      <c r="A632" s="534"/>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row>
    <row r="633" spans="1:37" ht="15.75" customHeight="1" x14ac:dyDescent="0.25">
      <c r="A633" s="534"/>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row>
    <row r="634" spans="1:37" ht="15.75" customHeight="1" x14ac:dyDescent="0.25">
      <c r="A634" s="534"/>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row>
    <row r="635" spans="1:37" ht="15.75" customHeight="1" x14ac:dyDescent="0.25">
      <c r="A635" s="534"/>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row>
    <row r="636" spans="1:37" ht="15.75" customHeight="1" x14ac:dyDescent="0.25">
      <c r="A636" s="534"/>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row>
    <row r="637" spans="1:37" ht="15.75" customHeight="1" x14ac:dyDescent="0.25">
      <c r="A637" s="534"/>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row>
    <row r="638" spans="1:37" ht="15.75" customHeight="1" x14ac:dyDescent="0.25">
      <c r="A638" s="534"/>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row>
    <row r="639" spans="1:37" ht="15.75" customHeight="1" x14ac:dyDescent="0.25">
      <c r="A639" s="534"/>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row>
    <row r="640" spans="1:37" ht="15.75" customHeight="1" x14ac:dyDescent="0.25">
      <c r="A640" s="534"/>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row>
    <row r="641" spans="1:37" ht="15.75" customHeight="1" x14ac:dyDescent="0.25">
      <c r="A641" s="534"/>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row>
    <row r="642" spans="1:37" ht="15.75" customHeight="1" x14ac:dyDescent="0.25">
      <c r="A642" s="534"/>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row>
    <row r="643" spans="1:37" ht="15.75" customHeight="1" x14ac:dyDescent="0.25">
      <c r="A643" s="534"/>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row>
    <row r="644" spans="1:37" ht="15.75" customHeight="1" x14ac:dyDescent="0.25">
      <c r="A644" s="534"/>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row>
    <row r="645" spans="1:37" ht="15.75" customHeight="1" x14ac:dyDescent="0.25">
      <c r="A645" s="534"/>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row>
    <row r="646" spans="1:37" ht="15.75" customHeight="1" x14ac:dyDescent="0.25">
      <c r="A646" s="534"/>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row>
    <row r="647" spans="1:37" ht="15.75" customHeight="1" x14ac:dyDescent="0.25">
      <c r="A647" s="534"/>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row>
    <row r="648" spans="1:37" ht="15.75" customHeight="1" x14ac:dyDescent="0.25">
      <c r="A648" s="534"/>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row>
    <row r="649" spans="1:37" ht="15.75" customHeight="1" x14ac:dyDescent="0.25">
      <c r="A649" s="534"/>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row>
    <row r="650" spans="1:37" ht="15.75" customHeight="1" x14ac:dyDescent="0.25">
      <c r="A650" s="534"/>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row>
    <row r="651" spans="1:37" ht="15.75" customHeight="1" x14ac:dyDescent="0.25">
      <c r="A651" s="534"/>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row>
    <row r="652" spans="1:37" ht="15.75" customHeight="1" x14ac:dyDescent="0.25">
      <c r="A652" s="534"/>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row>
    <row r="653" spans="1:37" ht="15.75" customHeight="1" x14ac:dyDescent="0.25">
      <c r="A653" s="534"/>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row>
    <row r="654" spans="1:37" ht="15.75" customHeight="1" x14ac:dyDescent="0.25">
      <c r="A654" s="534"/>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row>
    <row r="655" spans="1:37" ht="15.75" customHeight="1" x14ac:dyDescent="0.25">
      <c r="A655" s="534"/>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row>
    <row r="656" spans="1:37" ht="15.75" customHeight="1" x14ac:dyDescent="0.25">
      <c r="A656" s="534"/>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row>
    <row r="657" spans="1:37" ht="15.75" customHeight="1" x14ac:dyDescent="0.25">
      <c r="A657" s="534"/>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row>
    <row r="658" spans="1:37" ht="15.75" customHeight="1" x14ac:dyDescent="0.25">
      <c r="A658" s="534"/>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row>
    <row r="659" spans="1:37" ht="15.75" customHeight="1" x14ac:dyDescent="0.25">
      <c r="A659" s="534"/>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row>
    <row r="660" spans="1:37" ht="15.75" customHeight="1" x14ac:dyDescent="0.25">
      <c r="A660" s="534"/>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row>
    <row r="661" spans="1:37" ht="15.75" customHeight="1" x14ac:dyDescent="0.25">
      <c r="A661" s="534"/>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row>
    <row r="662" spans="1:37" ht="15.75" customHeight="1" x14ac:dyDescent="0.25">
      <c r="A662" s="534"/>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row>
    <row r="663" spans="1:37" ht="15.75" customHeight="1" x14ac:dyDescent="0.25">
      <c r="A663" s="534"/>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row>
    <row r="664" spans="1:37" ht="15.75" customHeight="1" x14ac:dyDescent="0.25">
      <c r="A664" s="534"/>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row>
    <row r="665" spans="1:37" ht="15.75" customHeight="1" x14ac:dyDescent="0.25">
      <c r="A665" s="534"/>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row>
    <row r="666" spans="1:37" ht="15.75" customHeight="1" x14ac:dyDescent="0.25">
      <c r="A666" s="534"/>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row>
    <row r="667" spans="1:37" ht="15.75" customHeight="1" x14ac:dyDescent="0.25">
      <c r="A667" s="534"/>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row>
    <row r="668" spans="1:37" ht="15.75" customHeight="1" x14ac:dyDescent="0.25">
      <c r="A668" s="534"/>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row>
    <row r="669" spans="1:37" ht="15.75" customHeight="1" x14ac:dyDescent="0.25">
      <c r="A669" s="534"/>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row>
    <row r="670" spans="1:37" ht="15.75" customHeight="1" x14ac:dyDescent="0.25">
      <c r="A670" s="534"/>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row>
    <row r="671" spans="1:37" ht="15.75" customHeight="1" x14ac:dyDescent="0.25">
      <c r="A671" s="534"/>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row>
    <row r="672" spans="1:37" ht="15.75" customHeight="1" x14ac:dyDescent="0.25">
      <c r="A672" s="534"/>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row>
    <row r="673" spans="1:37" ht="15.75" customHeight="1" x14ac:dyDescent="0.25">
      <c r="A673" s="534"/>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row>
    <row r="674" spans="1:37" ht="15.75" customHeight="1" x14ac:dyDescent="0.25">
      <c r="A674" s="534"/>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row>
    <row r="675" spans="1:37" ht="15.75" customHeight="1" x14ac:dyDescent="0.25">
      <c r="A675" s="534"/>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row>
    <row r="676" spans="1:37" ht="15.75" customHeight="1" x14ac:dyDescent="0.25">
      <c r="A676" s="534"/>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row>
    <row r="677" spans="1:37" ht="15.75" customHeight="1" x14ac:dyDescent="0.25">
      <c r="A677" s="534"/>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row>
    <row r="678" spans="1:37" ht="15.75" customHeight="1" x14ac:dyDescent="0.25">
      <c r="A678" s="534"/>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row>
    <row r="679" spans="1:37" ht="15.75" customHeight="1" x14ac:dyDescent="0.25">
      <c r="A679" s="534"/>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row>
    <row r="680" spans="1:37" ht="15.75" customHeight="1" x14ac:dyDescent="0.25">
      <c r="A680" s="534"/>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row>
    <row r="681" spans="1:37" ht="15.75" customHeight="1" x14ac:dyDescent="0.25">
      <c r="A681" s="534"/>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row>
    <row r="682" spans="1:37" ht="15.75" customHeight="1" x14ac:dyDescent="0.25">
      <c r="A682" s="534"/>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row>
    <row r="683" spans="1:37" ht="15.75" customHeight="1" x14ac:dyDescent="0.25">
      <c r="A683" s="534"/>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row>
    <row r="684" spans="1:37" ht="15.75" customHeight="1" x14ac:dyDescent="0.25">
      <c r="A684" s="534"/>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row>
    <row r="685" spans="1:37" ht="15.75" customHeight="1" x14ac:dyDescent="0.25">
      <c r="A685" s="534"/>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row>
    <row r="686" spans="1:37" ht="15.75" customHeight="1" x14ac:dyDescent="0.25">
      <c r="A686" s="534"/>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row>
    <row r="687" spans="1:37" ht="15.75" customHeight="1" x14ac:dyDescent="0.25">
      <c r="A687" s="534"/>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row>
    <row r="688" spans="1:37" ht="15.75" customHeight="1" x14ac:dyDescent="0.25">
      <c r="A688" s="534"/>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row>
    <row r="689" spans="1:37" ht="15.75" customHeight="1" x14ac:dyDescent="0.25">
      <c r="A689" s="534"/>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row>
    <row r="690" spans="1:37" ht="15.75" customHeight="1" x14ac:dyDescent="0.25">
      <c r="A690" s="534"/>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row>
    <row r="691" spans="1:37" ht="15.75" customHeight="1" x14ac:dyDescent="0.25">
      <c r="A691" s="534"/>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row>
    <row r="692" spans="1:37" ht="15.75" customHeight="1" x14ac:dyDescent="0.25">
      <c r="A692" s="534"/>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row>
    <row r="693" spans="1:37" ht="15.75" customHeight="1" x14ac:dyDescent="0.25">
      <c r="A693" s="534"/>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row>
    <row r="694" spans="1:37" ht="15.75" customHeight="1" x14ac:dyDescent="0.25">
      <c r="A694" s="534"/>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row>
    <row r="695" spans="1:37" ht="15.75" customHeight="1" x14ac:dyDescent="0.25">
      <c r="A695" s="534"/>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row>
    <row r="696" spans="1:37" ht="15.75" customHeight="1" x14ac:dyDescent="0.25">
      <c r="A696" s="534"/>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row>
    <row r="697" spans="1:37" ht="15.75" customHeight="1" x14ac:dyDescent="0.25">
      <c r="A697" s="534"/>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row>
    <row r="698" spans="1:37" ht="15.75" customHeight="1" x14ac:dyDescent="0.25">
      <c r="A698" s="534"/>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row>
    <row r="699" spans="1:37" ht="15.75" customHeight="1" x14ac:dyDescent="0.25">
      <c r="A699" s="534"/>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row>
    <row r="700" spans="1:37" ht="15.75" customHeight="1" x14ac:dyDescent="0.25">
      <c r="A700" s="534"/>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row>
    <row r="701" spans="1:37" ht="15.75" customHeight="1" x14ac:dyDescent="0.25">
      <c r="A701" s="534"/>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row>
    <row r="702" spans="1:37" ht="15.75" customHeight="1" x14ac:dyDescent="0.25">
      <c r="A702" s="534"/>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row>
    <row r="703" spans="1:37" ht="15.75" customHeight="1" x14ac:dyDescent="0.25">
      <c r="A703" s="534"/>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row>
    <row r="704" spans="1:37" ht="15.75" customHeight="1" x14ac:dyDescent="0.25">
      <c r="A704" s="534"/>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row>
    <row r="705" spans="1:37" ht="15.75" customHeight="1" x14ac:dyDescent="0.25">
      <c r="A705" s="534"/>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row>
    <row r="706" spans="1:37" ht="15.75" customHeight="1" x14ac:dyDescent="0.25">
      <c r="A706" s="534"/>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row>
    <row r="707" spans="1:37" ht="15.75" customHeight="1" x14ac:dyDescent="0.25">
      <c r="A707" s="534"/>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row>
    <row r="708" spans="1:37" ht="15.75" customHeight="1" x14ac:dyDescent="0.25">
      <c r="A708" s="534"/>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row>
    <row r="709" spans="1:37" ht="15.75" customHeight="1" x14ac:dyDescent="0.25">
      <c r="A709" s="534"/>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row>
    <row r="710" spans="1:37" ht="15.75" customHeight="1" x14ac:dyDescent="0.25">
      <c r="A710" s="534"/>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row>
    <row r="711" spans="1:37" ht="15.75" customHeight="1" x14ac:dyDescent="0.25">
      <c r="A711" s="534"/>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row>
    <row r="712" spans="1:37" ht="15.75" customHeight="1" x14ac:dyDescent="0.25">
      <c r="A712" s="534"/>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row>
    <row r="713" spans="1:37" ht="15.75" customHeight="1" x14ac:dyDescent="0.25">
      <c r="A713" s="534"/>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row>
    <row r="714" spans="1:37" ht="15.75" customHeight="1" x14ac:dyDescent="0.25">
      <c r="A714" s="534"/>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row>
    <row r="715" spans="1:37" ht="15.75" customHeight="1" x14ac:dyDescent="0.25">
      <c r="A715" s="534"/>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row>
    <row r="716" spans="1:37" ht="15.75" customHeight="1" x14ac:dyDescent="0.25">
      <c r="A716" s="534"/>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row>
    <row r="717" spans="1:37" ht="15.75" customHeight="1" x14ac:dyDescent="0.25">
      <c r="A717" s="534"/>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row>
    <row r="718" spans="1:37" ht="15.75" customHeight="1" x14ac:dyDescent="0.25">
      <c r="A718" s="534"/>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row>
    <row r="719" spans="1:37" ht="15.75" customHeight="1" x14ac:dyDescent="0.25">
      <c r="A719" s="534"/>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row>
    <row r="720" spans="1:37" ht="15.75" customHeight="1" x14ac:dyDescent="0.25">
      <c r="A720" s="534"/>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row>
    <row r="721" spans="1:37" ht="15.75" customHeight="1" x14ac:dyDescent="0.25">
      <c r="A721" s="534"/>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row>
    <row r="722" spans="1:37" ht="15.75" customHeight="1" x14ac:dyDescent="0.25">
      <c r="A722" s="534"/>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row>
    <row r="723" spans="1:37" ht="15.75" customHeight="1" x14ac:dyDescent="0.25">
      <c r="A723" s="534"/>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row>
    <row r="724" spans="1:37" ht="15.75" customHeight="1" x14ac:dyDescent="0.25">
      <c r="A724" s="534"/>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row>
    <row r="725" spans="1:37" ht="15.75" customHeight="1" x14ac:dyDescent="0.25">
      <c r="A725" s="534"/>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row>
    <row r="726" spans="1:37" ht="15.75" customHeight="1" x14ac:dyDescent="0.25">
      <c r="A726" s="534"/>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row>
    <row r="727" spans="1:37" ht="15.75" customHeight="1" x14ac:dyDescent="0.25">
      <c r="A727" s="534"/>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row>
    <row r="728" spans="1:37" ht="15.75" customHeight="1" x14ac:dyDescent="0.25">
      <c r="A728" s="534"/>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row>
    <row r="729" spans="1:37" ht="15.75" customHeight="1" x14ac:dyDescent="0.25">
      <c r="A729" s="534"/>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row>
    <row r="730" spans="1:37" ht="15.75" customHeight="1" x14ac:dyDescent="0.25">
      <c r="A730" s="534"/>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row>
    <row r="731" spans="1:37" ht="15.75" customHeight="1" x14ac:dyDescent="0.25">
      <c r="A731" s="534"/>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row>
    <row r="732" spans="1:37" ht="15.75" customHeight="1" x14ac:dyDescent="0.25">
      <c r="A732" s="534"/>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row>
    <row r="733" spans="1:37" ht="15.75" customHeight="1" x14ac:dyDescent="0.25">
      <c r="A733" s="534"/>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row>
    <row r="734" spans="1:37" ht="15.75" customHeight="1" x14ac:dyDescent="0.25">
      <c r="A734" s="534"/>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row>
    <row r="735" spans="1:37" ht="15.75" customHeight="1" x14ac:dyDescent="0.25">
      <c r="A735" s="534"/>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row>
    <row r="736" spans="1:37" ht="15.75" customHeight="1" x14ac:dyDescent="0.25">
      <c r="A736" s="534"/>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row>
    <row r="737" spans="1:37" ht="15.75" customHeight="1" x14ac:dyDescent="0.25">
      <c r="A737" s="534"/>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row>
    <row r="738" spans="1:37" ht="15.75" customHeight="1" x14ac:dyDescent="0.25">
      <c r="A738" s="534"/>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row>
    <row r="739" spans="1:37" ht="15.75" customHeight="1" x14ac:dyDescent="0.25">
      <c r="A739" s="534"/>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row>
    <row r="740" spans="1:37" ht="15.75" customHeight="1" x14ac:dyDescent="0.25">
      <c r="A740" s="534"/>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row>
    <row r="741" spans="1:37" ht="15.75" customHeight="1" x14ac:dyDescent="0.25">
      <c r="A741" s="534"/>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row>
    <row r="742" spans="1:37" ht="15.75" customHeight="1" x14ac:dyDescent="0.25">
      <c r="A742" s="534"/>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row>
    <row r="743" spans="1:37" ht="15.75" customHeight="1" x14ac:dyDescent="0.25">
      <c r="A743" s="534"/>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row>
    <row r="744" spans="1:37" ht="15.75" customHeight="1" x14ac:dyDescent="0.25">
      <c r="A744" s="534"/>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row>
    <row r="745" spans="1:37" ht="15.75" customHeight="1" x14ac:dyDescent="0.25">
      <c r="A745" s="534"/>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row>
    <row r="746" spans="1:37" ht="15.75" customHeight="1" x14ac:dyDescent="0.25">
      <c r="A746" s="534"/>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row>
    <row r="747" spans="1:37" ht="15.75" customHeight="1" x14ac:dyDescent="0.25">
      <c r="A747" s="534"/>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row>
    <row r="748" spans="1:37" ht="15.75" customHeight="1" x14ac:dyDescent="0.25">
      <c r="A748" s="534"/>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row>
    <row r="749" spans="1:37" ht="15.75" customHeight="1" x14ac:dyDescent="0.25">
      <c r="A749" s="534"/>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row>
    <row r="750" spans="1:37" ht="15.75" customHeight="1" x14ac:dyDescent="0.25">
      <c r="A750" s="534"/>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row>
    <row r="751" spans="1:37" ht="15.75" customHeight="1" x14ac:dyDescent="0.25">
      <c r="A751" s="534"/>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row>
    <row r="752" spans="1:37" ht="15.75" customHeight="1" x14ac:dyDescent="0.25">
      <c r="A752" s="534"/>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row>
    <row r="753" spans="1:37" ht="15.75" customHeight="1" x14ac:dyDescent="0.25">
      <c r="A753" s="534"/>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row>
    <row r="754" spans="1:37" ht="15.75" customHeight="1" x14ac:dyDescent="0.25">
      <c r="A754" s="534"/>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row>
    <row r="755" spans="1:37" ht="15.75" customHeight="1" x14ac:dyDescent="0.25">
      <c r="A755" s="534"/>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row>
    <row r="756" spans="1:37" ht="15.75" customHeight="1" x14ac:dyDescent="0.25">
      <c r="A756" s="534"/>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row>
    <row r="757" spans="1:37" ht="15.75" customHeight="1" x14ac:dyDescent="0.25">
      <c r="A757" s="534"/>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row>
    <row r="758" spans="1:37" ht="15.75" customHeight="1" x14ac:dyDescent="0.25">
      <c r="A758" s="534"/>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row>
    <row r="759" spans="1:37" ht="15.75" customHeight="1" x14ac:dyDescent="0.25">
      <c r="A759" s="534"/>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row>
    <row r="760" spans="1:37" ht="15.75" customHeight="1" x14ac:dyDescent="0.25">
      <c r="A760" s="534"/>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row>
    <row r="761" spans="1:37" ht="15.75" customHeight="1" x14ac:dyDescent="0.25">
      <c r="A761" s="534"/>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row>
    <row r="762" spans="1:37" ht="15.75" customHeight="1" x14ac:dyDescent="0.25">
      <c r="A762" s="534"/>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row>
    <row r="763" spans="1:37" ht="15.75" customHeight="1" x14ac:dyDescent="0.25">
      <c r="A763" s="534"/>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row>
    <row r="764" spans="1:37" ht="15.75" customHeight="1" x14ac:dyDescent="0.25">
      <c r="A764" s="534"/>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row>
    <row r="765" spans="1:37" ht="15.75" customHeight="1" x14ac:dyDescent="0.25">
      <c r="A765" s="534"/>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row>
    <row r="766" spans="1:37" ht="15.75" customHeight="1" x14ac:dyDescent="0.25">
      <c r="A766" s="534"/>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row>
    <row r="767" spans="1:37" ht="15.75" customHeight="1" x14ac:dyDescent="0.25">
      <c r="A767" s="534"/>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row>
    <row r="768" spans="1:37" ht="15.75" customHeight="1" x14ac:dyDescent="0.25">
      <c r="A768" s="534"/>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row>
    <row r="769" spans="1:37" ht="15.75" customHeight="1" x14ac:dyDescent="0.25">
      <c r="A769" s="534"/>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row>
    <row r="770" spans="1:37" ht="15.75" customHeight="1" x14ac:dyDescent="0.25">
      <c r="A770" s="534"/>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row>
    <row r="771" spans="1:37" ht="15.75" customHeight="1" x14ac:dyDescent="0.25">
      <c r="A771" s="534"/>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row>
    <row r="772" spans="1:37" ht="15.75" customHeight="1" x14ac:dyDescent="0.25">
      <c r="A772" s="534"/>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row>
    <row r="773" spans="1:37" ht="15.75" customHeight="1" x14ac:dyDescent="0.25">
      <c r="A773" s="534"/>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row>
    <row r="774" spans="1:37" ht="15.75" customHeight="1" x14ac:dyDescent="0.25">
      <c r="A774" s="534"/>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row>
    <row r="775" spans="1:37" ht="15.75" customHeight="1" x14ac:dyDescent="0.25">
      <c r="A775" s="534"/>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row>
    <row r="776" spans="1:37" ht="15.75" customHeight="1" x14ac:dyDescent="0.25">
      <c r="A776" s="534"/>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row>
    <row r="777" spans="1:37" ht="15.75" customHeight="1" x14ac:dyDescent="0.25">
      <c r="A777" s="534"/>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row>
    <row r="778" spans="1:37" ht="15.75" customHeight="1" x14ac:dyDescent="0.25">
      <c r="A778" s="534"/>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row>
    <row r="779" spans="1:37" ht="15.75" customHeight="1" x14ac:dyDescent="0.25">
      <c r="A779" s="534"/>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row>
    <row r="780" spans="1:37" ht="15.75" customHeight="1" x14ac:dyDescent="0.25">
      <c r="A780" s="534"/>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row>
    <row r="781" spans="1:37" ht="15.75" customHeight="1" x14ac:dyDescent="0.25">
      <c r="A781" s="534"/>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row>
    <row r="782" spans="1:37" ht="15.75" customHeight="1" x14ac:dyDescent="0.25">
      <c r="A782" s="534"/>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row>
    <row r="783" spans="1:37" ht="15.75" customHeight="1" x14ac:dyDescent="0.25">
      <c r="A783" s="534"/>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row>
    <row r="784" spans="1:37" ht="15.75" customHeight="1" x14ac:dyDescent="0.25">
      <c r="A784" s="534"/>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row>
    <row r="785" spans="1:37" ht="15.75" customHeight="1" x14ac:dyDescent="0.25">
      <c r="A785" s="534"/>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row>
    <row r="786" spans="1:37" ht="15.75" customHeight="1" x14ac:dyDescent="0.25">
      <c r="A786" s="534"/>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row>
    <row r="787" spans="1:37" ht="15.75" customHeight="1" x14ac:dyDescent="0.25">
      <c r="A787" s="534"/>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row>
    <row r="788" spans="1:37" ht="15.75" customHeight="1" x14ac:dyDescent="0.25">
      <c r="A788" s="534"/>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row>
    <row r="789" spans="1:37" ht="15.75" customHeight="1" x14ac:dyDescent="0.25">
      <c r="A789" s="534"/>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row>
    <row r="790" spans="1:37" ht="15.75" customHeight="1" x14ac:dyDescent="0.25">
      <c r="A790" s="534"/>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row>
    <row r="791" spans="1:37" ht="15.75" customHeight="1" x14ac:dyDescent="0.25">
      <c r="A791" s="534"/>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row>
    <row r="792" spans="1:37" ht="15.75" customHeight="1" x14ac:dyDescent="0.25">
      <c r="A792" s="534"/>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row>
    <row r="793" spans="1:37" ht="15.75" customHeight="1" x14ac:dyDescent="0.25">
      <c r="A793" s="534"/>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row>
    <row r="794" spans="1:37" ht="15.75" customHeight="1" x14ac:dyDescent="0.25">
      <c r="A794" s="534"/>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row>
    <row r="795" spans="1:37" ht="15.75" customHeight="1" x14ac:dyDescent="0.25">
      <c r="A795" s="534"/>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row>
    <row r="796" spans="1:37" ht="15.75" customHeight="1" x14ac:dyDescent="0.25">
      <c r="A796" s="534"/>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row>
    <row r="797" spans="1:37" ht="15.75" customHeight="1" x14ac:dyDescent="0.25">
      <c r="A797" s="534"/>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row>
    <row r="798" spans="1:37" ht="15.75" customHeight="1" x14ac:dyDescent="0.25">
      <c r="A798" s="534"/>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row>
    <row r="799" spans="1:37" ht="15.75" customHeight="1" x14ac:dyDescent="0.25">
      <c r="A799" s="534"/>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row>
    <row r="800" spans="1:37" ht="15.75" customHeight="1" x14ac:dyDescent="0.25">
      <c r="A800" s="534"/>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row>
    <row r="801" spans="1:37" ht="15.75" customHeight="1" x14ac:dyDescent="0.25">
      <c r="A801" s="534"/>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row>
    <row r="802" spans="1:37" ht="15.75" customHeight="1" x14ac:dyDescent="0.25">
      <c r="A802" s="534"/>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row>
    <row r="803" spans="1:37" ht="15.75" customHeight="1" x14ac:dyDescent="0.25">
      <c r="A803" s="534"/>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row>
    <row r="804" spans="1:37" ht="15.75" customHeight="1" x14ac:dyDescent="0.25">
      <c r="A804" s="534"/>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row>
    <row r="805" spans="1:37" ht="15.75" customHeight="1" x14ac:dyDescent="0.25">
      <c r="A805" s="534"/>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row>
    <row r="806" spans="1:37" ht="15.75" customHeight="1" x14ac:dyDescent="0.25">
      <c r="A806" s="534"/>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row>
    <row r="807" spans="1:37" ht="15.75" customHeight="1" x14ac:dyDescent="0.25">
      <c r="A807" s="534"/>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row>
    <row r="808" spans="1:37" ht="15.75" customHeight="1" x14ac:dyDescent="0.25">
      <c r="A808" s="534"/>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row>
    <row r="809" spans="1:37" ht="15.75" customHeight="1" x14ac:dyDescent="0.25">
      <c r="A809" s="534"/>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row>
    <row r="810" spans="1:37" ht="15.75" customHeight="1" x14ac:dyDescent="0.25">
      <c r="A810" s="534"/>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row>
    <row r="811" spans="1:37" ht="15.75" customHeight="1" x14ac:dyDescent="0.25">
      <c r="A811" s="534"/>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row>
    <row r="812" spans="1:37" ht="15.75" customHeight="1" x14ac:dyDescent="0.25">
      <c r="A812" s="534"/>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row>
    <row r="813" spans="1:37" ht="15.75" customHeight="1" x14ac:dyDescent="0.25">
      <c r="A813" s="534"/>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row>
    <row r="814" spans="1:37" ht="15.75" customHeight="1" x14ac:dyDescent="0.25">
      <c r="A814" s="534"/>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row>
    <row r="815" spans="1:37" ht="15.75" customHeight="1" x14ac:dyDescent="0.25">
      <c r="A815" s="534"/>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row>
    <row r="816" spans="1:37" ht="15.75" customHeight="1" x14ac:dyDescent="0.25">
      <c r="A816" s="534"/>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row>
    <row r="817" spans="1:37" ht="15.75" customHeight="1" x14ac:dyDescent="0.25">
      <c r="A817" s="534"/>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row>
    <row r="818" spans="1:37" ht="15.75" customHeight="1" x14ac:dyDescent="0.25">
      <c r="A818" s="534"/>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row>
    <row r="819" spans="1:37" ht="15.75" customHeight="1" x14ac:dyDescent="0.25">
      <c r="A819" s="534"/>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row>
    <row r="820" spans="1:37" ht="15.75" customHeight="1" x14ac:dyDescent="0.25">
      <c r="A820" s="534"/>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row>
    <row r="821" spans="1:37" ht="15.75" customHeight="1" x14ac:dyDescent="0.25">
      <c r="A821" s="534"/>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row>
    <row r="822" spans="1:37" ht="15.75" customHeight="1" x14ac:dyDescent="0.25">
      <c r="A822" s="534"/>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row>
    <row r="823" spans="1:37" ht="15.75" customHeight="1" x14ac:dyDescent="0.25">
      <c r="A823" s="534"/>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row>
    <row r="824" spans="1:37" ht="15.75" customHeight="1" x14ac:dyDescent="0.25">
      <c r="A824" s="534"/>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row>
    <row r="825" spans="1:37" ht="15.75" customHeight="1" x14ac:dyDescent="0.25">
      <c r="A825" s="534"/>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row>
    <row r="826" spans="1:37" ht="15.75" customHeight="1" x14ac:dyDescent="0.25">
      <c r="A826" s="534"/>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row>
    <row r="827" spans="1:37" ht="15.75" customHeight="1" x14ac:dyDescent="0.25">
      <c r="A827" s="534"/>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row>
    <row r="828" spans="1:37" ht="15.75" customHeight="1" x14ac:dyDescent="0.25">
      <c r="A828" s="534"/>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row>
    <row r="829" spans="1:37" ht="15.75" customHeight="1" x14ac:dyDescent="0.25">
      <c r="A829" s="534"/>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row>
    <row r="830" spans="1:37" ht="15.75" customHeight="1" x14ac:dyDescent="0.25">
      <c r="A830" s="534"/>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row>
    <row r="831" spans="1:37" ht="15.75" customHeight="1" x14ac:dyDescent="0.25">
      <c r="A831" s="534"/>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row>
    <row r="832" spans="1:37" ht="15.75" customHeight="1" x14ac:dyDescent="0.25">
      <c r="A832" s="534"/>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row>
    <row r="833" spans="1:37" ht="15.75" customHeight="1" x14ac:dyDescent="0.25">
      <c r="A833" s="534"/>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row>
    <row r="834" spans="1:37" ht="15.75" customHeight="1" x14ac:dyDescent="0.25">
      <c r="A834" s="534"/>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row>
    <row r="835" spans="1:37" ht="15.75" customHeight="1" x14ac:dyDescent="0.25">
      <c r="A835" s="534"/>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row>
    <row r="836" spans="1:37" ht="15.75" customHeight="1" x14ac:dyDescent="0.25">
      <c r="A836" s="534"/>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row>
    <row r="837" spans="1:37" ht="15.75" customHeight="1" x14ac:dyDescent="0.25">
      <c r="A837" s="534"/>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row>
    <row r="838" spans="1:37" ht="15.75" customHeight="1" x14ac:dyDescent="0.25">
      <c r="A838" s="534"/>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row>
    <row r="839" spans="1:37" ht="15.75" customHeight="1" x14ac:dyDescent="0.25">
      <c r="A839" s="534"/>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row>
    <row r="840" spans="1:37" ht="15.75" customHeight="1" x14ac:dyDescent="0.25">
      <c r="A840" s="534"/>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row>
    <row r="841" spans="1:37" ht="15.75" customHeight="1" x14ac:dyDescent="0.25">
      <c r="A841" s="534"/>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row>
    <row r="842" spans="1:37" ht="15.75" customHeight="1" x14ac:dyDescent="0.25">
      <c r="A842" s="534"/>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row>
    <row r="843" spans="1:37" ht="15.75" customHeight="1" x14ac:dyDescent="0.25">
      <c r="A843" s="534"/>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row>
    <row r="844" spans="1:37" ht="15.75" customHeight="1" x14ac:dyDescent="0.25">
      <c r="A844" s="534"/>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row>
    <row r="845" spans="1:37" ht="15.75" customHeight="1" x14ac:dyDescent="0.25">
      <c r="A845" s="534"/>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row>
    <row r="846" spans="1:37" ht="15.75" customHeight="1" x14ac:dyDescent="0.25">
      <c r="A846" s="534"/>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row>
    <row r="847" spans="1:37" ht="15.75" customHeight="1" x14ac:dyDescent="0.25">
      <c r="A847" s="534"/>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row>
    <row r="848" spans="1:37" ht="15.75" customHeight="1" x14ac:dyDescent="0.25">
      <c r="A848" s="534"/>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row>
    <row r="849" spans="1:37" ht="15.75" customHeight="1" x14ac:dyDescent="0.25">
      <c r="A849" s="534"/>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row>
    <row r="850" spans="1:37" ht="15.75" customHeight="1" x14ac:dyDescent="0.25">
      <c r="A850" s="534"/>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row>
    <row r="851" spans="1:37" ht="15.75" customHeight="1" x14ac:dyDescent="0.25">
      <c r="A851" s="534"/>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row>
    <row r="852" spans="1:37" ht="15.75" customHeight="1" x14ac:dyDescent="0.25">
      <c r="A852" s="534"/>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row>
    <row r="853" spans="1:37" ht="15.75" customHeight="1" x14ac:dyDescent="0.25">
      <c r="A853" s="534"/>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row>
    <row r="854" spans="1:37" ht="15.75" customHeight="1" x14ac:dyDescent="0.25">
      <c r="A854" s="534"/>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row>
    <row r="855" spans="1:37" ht="15.75" customHeight="1" x14ac:dyDescent="0.25">
      <c r="A855" s="534"/>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row>
    <row r="856" spans="1:37" ht="15.75" customHeight="1" x14ac:dyDescent="0.25">
      <c r="A856" s="534"/>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row>
    <row r="857" spans="1:37" ht="15.75" customHeight="1" x14ac:dyDescent="0.25">
      <c r="A857" s="534"/>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row>
    <row r="858" spans="1:37" ht="15.75" customHeight="1" x14ac:dyDescent="0.25">
      <c r="A858" s="534"/>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row>
    <row r="859" spans="1:37" ht="15.75" customHeight="1" x14ac:dyDescent="0.25">
      <c r="A859" s="534"/>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row>
    <row r="860" spans="1:37" ht="15.75" customHeight="1" x14ac:dyDescent="0.25">
      <c r="A860" s="534"/>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row>
    <row r="861" spans="1:37" ht="15.75" customHeight="1" x14ac:dyDescent="0.25">
      <c r="A861" s="534"/>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row>
    <row r="862" spans="1:37" ht="15.75" customHeight="1" x14ac:dyDescent="0.25">
      <c r="A862" s="534"/>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row>
    <row r="863" spans="1:37" ht="15.75" customHeight="1" x14ac:dyDescent="0.25">
      <c r="A863" s="534"/>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row>
    <row r="864" spans="1:37" ht="15.75" customHeight="1" x14ac:dyDescent="0.25">
      <c r="A864" s="534"/>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row>
    <row r="865" spans="1:37" ht="15.75" customHeight="1" x14ac:dyDescent="0.25">
      <c r="A865" s="534"/>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row>
    <row r="866" spans="1:37" ht="15.75" customHeight="1" x14ac:dyDescent="0.25">
      <c r="A866" s="534"/>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row>
    <row r="867" spans="1:37" ht="15.75" customHeight="1" x14ac:dyDescent="0.25">
      <c r="A867" s="534"/>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row>
    <row r="868" spans="1:37" ht="15.75" customHeight="1" x14ac:dyDescent="0.25">
      <c r="A868" s="534"/>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row>
    <row r="869" spans="1:37" ht="15.75" customHeight="1" x14ac:dyDescent="0.25">
      <c r="A869" s="534"/>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row>
    <row r="870" spans="1:37" ht="15.75" customHeight="1" x14ac:dyDescent="0.25">
      <c r="A870" s="534"/>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row>
    <row r="871" spans="1:37" ht="15.75" customHeight="1" x14ac:dyDescent="0.25">
      <c r="A871" s="534"/>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row>
    <row r="872" spans="1:37" ht="15.75" customHeight="1" x14ac:dyDescent="0.25">
      <c r="A872" s="534"/>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row>
    <row r="873" spans="1:37" ht="15.75" customHeight="1" x14ac:dyDescent="0.25">
      <c r="A873" s="534"/>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row>
    <row r="874" spans="1:37" ht="15.75" customHeight="1" x14ac:dyDescent="0.25">
      <c r="A874" s="534"/>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row>
    <row r="875" spans="1:37" ht="15.75" customHeight="1" x14ac:dyDescent="0.25">
      <c r="A875" s="534"/>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row>
    <row r="876" spans="1:37" ht="15.75" customHeight="1" x14ac:dyDescent="0.25">
      <c r="A876" s="534"/>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row>
    <row r="877" spans="1:37" ht="15.75" customHeight="1" x14ac:dyDescent="0.25">
      <c r="A877" s="534"/>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row>
    <row r="878" spans="1:37" ht="15.75" customHeight="1" x14ac:dyDescent="0.25">
      <c r="A878" s="534"/>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row>
    <row r="879" spans="1:37" ht="15.75" customHeight="1" x14ac:dyDescent="0.25">
      <c r="A879" s="534"/>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row>
    <row r="880" spans="1:37" ht="15.75" customHeight="1" x14ac:dyDescent="0.25">
      <c r="A880" s="534"/>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row>
    <row r="881" spans="1:37" ht="15.75" customHeight="1" x14ac:dyDescent="0.25">
      <c r="A881" s="534"/>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row>
    <row r="882" spans="1:37" ht="15.75" customHeight="1" x14ac:dyDescent="0.25">
      <c r="A882" s="534"/>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row>
    <row r="883" spans="1:37" ht="15.75" customHeight="1" x14ac:dyDescent="0.25">
      <c r="A883" s="534"/>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row>
    <row r="884" spans="1:37" ht="15.75" customHeight="1" x14ac:dyDescent="0.25">
      <c r="A884" s="534"/>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row>
    <row r="885" spans="1:37" ht="15.75" customHeight="1" x14ac:dyDescent="0.25">
      <c r="A885" s="534"/>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row>
    <row r="886" spans="1:37" ht="15.75" customHeight="1" x14ac:dyDescent="0.25">
      <c r="A886" s="534"/>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row>
    <row r="887" spans="1:37" ht="15.75" customHeight="1" x14ac:dyDescent="0.25">
      <c r="A887" s="534"/>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row>
    <row r="888" spans="1:37" ht="15.75" customHeight="1" x14ac:dyDescent="0.25">
      <c r="A888" s="534"/>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row>
    <row r="889" spans="1:37" ht="15.75" customHeight="1" x14ac:dyDescent="0.25">
      <c r="A889" s="534"/>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row>
    <row r="890" spans="1:37" ht="15.75" customHeight="1" x14ac:dyDescent="0.25">
      <c r="A890" s="534"/>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row>
    <row r="891" spans="1:37" ht="15.75" customHeight="1" x14ac:dyDescent="0.25">
      <c r="A891" s="534"/>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row>
    <row r="892" spans="1:37" ht="15.75" customHeight="1" x14ac:dyDescent="0.25">
      <c r="A892" s="534"/>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row>
    <row r="893" spans="1:37" ht="15.75" customHeight="1" x14ac:dyDescent="0.25">
      <c r="A893" s="534"/>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row>
    <row r="894" spans="1:37" ht="15.75" customHeight="1" x14ac:dyDescent="0.25">
      <c r="A894" s="534"/>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row>
    <row r="895" spans="1:37" ht="15.75" customHeight="1" x14ac:dyDescent="0.25">
      <c r="A895" s="534"/>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row>
    <row r="896" spans="1:37" ht="15.75" customHeight="1" x14ac:dyDescent="0.25">
      <c r="A896" s="534"/>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row>
    <row r="897" spans="1:37" ht="15.75" customHeight="1" x14ac:dyDescent="0.25">
      <c r="A897" s="534"/>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row>
    <row r="898" spans="1:37" ht="15.75" customHeight="1" x14ac:dyDescent="0.25">
      <c r="A898" s="534"/>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row>
    <row r="899" spans="1:37" ht="15.75" customHeight="1" x14ac:dyDescent="0.25">
      <c r="A899" s="534"/>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row>
    <row r="900" spans="1:37" ht="15.75" customHeight="1" x14ac:dyDescent="0.25">
      <c r="A900" s="534"/>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row>
    <row r="901" spans="1:37" ht="15.75" customHeight="1" x14ac:dyDescent="0.25">
      <c r="A901" s="534"/>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row>
    <row r="902" spans="1:37" ht="15.75" customHeight="1" x14ac:dyDescent="0.25">
      <c r="A902" s="534"/>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row>
    <row r="903" spans="1:37" ht="15.75" customHeight="1" x14ac:dyDescent="0.25">
      <c r="A903" s="534"/>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row>
    <row r="904" spans="1:37" ht="15.75" customHeight="1" x14ac:dyDescent="0.25">
      <c r="A904" s="534"/>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row>
    <row r="905" spans="1:37" ht="15.75" customHeight="1" x14ac:dyDescent="0.25">
      <c r="A905" s="534"/>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row>
    <row r="906" spans="1:37" ht="15.75" customHeight="1" x14ac:dyDescent="0.25">
      <c r="A906" s="534"/>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row>
    <row r="907" spans="1:37" ht="15.75" customHeight="1" x14ac:dyDescent="0.25">
      <c r="A907" s="534"/>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row>
    <row r="908" spans="1:37" ht="15.75" customHeight="1" x14ac:dyDescent="0.25">
      <c r="A908" s="534"/>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row>
    <row r="909" spans="1:37" ht="15.75" customHeight="1" x14ac:dyDescent="0.25">
      <c r="A909" s="534"/>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row>
    <row r="910" spans="1:37" ht="15.75" customHeight="1" x14ac:dyDescent="0.25">
      <c r="A910" s="534"/>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row>
    <row r="911" spans="1:37" ht="15.75" customHeight="1" x14ac:dyDescent="0.25">
      <c r="A911" s="534"/>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row>
    <row r="912" spans="1:37" ht="15.75" customHeight="1" x14ac:dyDescent="0.25">
      <c r="A912" s="534"/>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row>
    <row r="913" spans="1:37" ht="15.75" customHeight="1" x14ac:dyDescent="0.25">
      <c r="A913" s="534"/>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row>
    <row r="914" spans="1:37" ht="15.75" customHeight="1" x14ac:dyDescent="0.25">
      <c r="A914" s="534"/>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row>
    <row r="915" spans="1:37" ht="15.75" customHeight="1" x14ac:dyDescent="0.25">
      <c r="A915" s="534"/>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row>
    <row r="916" spans="1:37" ht="15.75" customHeight="1" x14ac:dyDescent="0.25">
      <c r="A916" s="534"/>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row>
    <row r="917" spans="1:37" ht="15.75" customHeight="1" x14ac:dyDescent="0.25">
      <c r="A917" s="534"/>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row>
    <row r="918" spans="1:37" ht="15.75" customHeight="1" x14ac:dyDescent="0.25">
      <c r="A918" s="534"/>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row>
    <row r="919" spans="1:37" ht="15.75" customHeight="1" x14ac:dyDescent="0.25">
      <c r="A919" s="534"/>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row>
    <row r="920" spans="1:37" ht="15.75" customHeight="1" x14ac:dyDescent="0.25">
      <c r="A920" s="534"/>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row>
    <row r="921" spans="1:37" ht="15.75" customHeight="1" x14ac:dyDescent="0.25">
      <c r="A921" s="534"/>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row>
    <row r="922" spans="1:37" ht="15.75" customHeight="1" x14ac:dyDescent="0.25">
      <c r="A922" s="534"/>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row>
    <row r="923" spans="1:37" ht="15.75" customHeight="1" x14ac:dyDescent="0.25">
      <c r="A923" s="534"/>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row>
    <row r="924" spans="1:37" ht="15.75" customHeight="1" x14ac:dyDescent="0.25">
      <c r="A924" s="534"/>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row>
    <row r="925" spans="1:37" ht="15.75" customHeight="1" x14ac:dyDescent="0.25">
      <c r="A925" s="534"/>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row>
    <row r="926" spans="1:37" ht="15.75" customHeight="1" x14ac:dyDescent="0.25">
      <c r="A926" s="534"/>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row>
    <row r="927" spans="1:37" ht="15.75" customHeight="1" x14ac:dyDescent="0.25">
      <c r="A927" s="534"/>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row>
    <row r="928" spans="1:37" ht="15.75" customHeight="1" x14ac:dyDescent="0.25">
      <c r="A928" s="534"/>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row>
    <row r="929" spans="1:37" ht="15.75" customHeight="1" x14ac:dyDescent="0.25">
      <c r="A929" s="534"/>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row>
    <row r="930" spans="1:37" ht="15.75" customHeight="1" x14ac:dyDescent="0.25">
      <c r="A930" s="534"/>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row>
    <row r="931" spans="1:37" ht="15.75" customHeight="1" x14ac:dyDescent="0.25">
      <c r="A931" s="534"/>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row>
    <row r="932" spans="1:37" ht="15.75" customHeight="1" x14ac:dyDescent="0.25">
      <c r="A932" s="534"/>
      <c r="B932" s="271"/>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row>
    <row r="933" spans="1:37" ht="15.75" customHeight="1" x14ac:dyDescent="0.25">
      <c r="A933" s="534"/>
      <c r="B933" s="271"/>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row>
    <row r="934" spans="1:37" ht="15.75" customHeight="1" x14ac:dyDescent="0.25">
      <c r="A934" s="534"/>
      <c r="B934" s="271"/>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row>
    <row r="935" spans="1:37" ht="15.75" customHeight="1" x14ac:dyDescent="0.25">
      <c r="A935" s="534"/>
      <c r="B935" s="271"/>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row>
    <row r="936" spans="1:37" ht="15.75" customHeight="1" x14ac:dyDescent="0.25">
      <c r="A936" s="534"/>
      <c r="B936" s="271"/>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row>
    <row r="937" spans="1:37" ht="15.75" customHeight="1" x14ac:dyDescent="0.25">
      <c r="A937" s="534"/>
      <c r="B937" s="271"/>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row>
    <row r="938" spans="1:37" ht="15.75" customHeight="1" x14ac:dyDescent="0.25">
      <c r="A938" s="534"/>
      <c r="B938" s="271"/>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row>
    <row r="939" spans="1:37" ht="15.75" customHeight="1" x14ac:dyDescent="0.25">
      <c r="A939" s="534"/>
      <c r="B939" s="271"/>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row>
    <row r="940" spans="1:37" ht="15.75" customHeight="1" x14ac:dyDescent="0.25">
      <c r="A940" s="534"/>
      <c r="B940" s="271"/>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row>
    <row r="941" spans="1:37" ht="15.75" customHeight="1" x14ac:dyDescent="0.25">
      <c r="A941" s="534"/>
      <c r="B941" s="271"/>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row>
    <row r="942" spans="1:37" ht="15.75" customHeight="1" x14ac:dyDescent="0.25">
      <c r="A942" s="534"/>
      <c r="B942" s="271"/>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row>
    <row r="943" spans="1:37" ht="15.75" customHeight="1" x14ac:dyDescent="0.25">
      <c r="A943" s="534"/>
      <c r="B943" s="271"/>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row>
    <row r="944" spans="1:37" ht="15.75" customHeight="1" x14ac:dyDescent="0.25">
      <c r="A944" s="534"/>
      <c r="B944" s="271"/>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row>
    <row r="945" spans="1:37" ht="15.75" customHeight="1" x14ac:dyDescent="0.25">
      <c r="A945" s="534"/>
      <c r="B945" s="271"/>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row>
    <row r="946" spans="1:37" ht="15.75" customHeight="1" x14ac:dyDescent="0.25">
      <c r="A946" s="534"/>
      <c r="B946" s="271"/>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row>
    <row r="947" spans="1:37" ht="15.75" customHeight="1" x14ac:dyDescent="0.25">
      <c r="A947" s="534"/>
      <c r="B947" s="271"/>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row>
    <row r="948" spans="1:37" ht="15.75" customHeight="1" x14ac:dyDescent="0.25">
      <c r="A948" s="534"/>
      <c r="B948" s="271"/>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row>
    <row r="949" spans="1:37" ht="15.75" customHeight="1" x14ac:dyDescent="0.25">
      <c r="A949" s="534"/>
      <c r="B949" s="271"/>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row>
    <row r="950" spans="1:37" ht="15.75" customHeight="1" x14ac:dyDescent="0.25">
      <c r="A950" s="534"/>
      <c r="B950" s="271"/>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row>
    <row r="951" spans="1:37" ht="15.75" customHeight="1" x14ac:dyDescent="0.25">
      <c r="A951" s="534"/>
      <c r="B951" s="271"/>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row>
    <row r="952" spans="1:37" ht="15.75" customHeight="1" x14ac:dyDescent="0.25">
      <c r="A952" s="534"/>
      <c r="B952" s="271"/>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row>
    <row r="953" spans="1:37" ht="15.75" customHeight="1" x14ac:dyDescent="0.25">
      <c r="A953" s="534"/>
      <c r="B953" s="271"/>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row>
    <row r="954" spans="1:37" ht="15.75" customHeight="1" x14ac:dyDescent="0.25">
      <c r="A954" s="534"/>
      <c r="B954" s="271"/>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row>
    <row r="955" spans="1:37" ht="15.75" customHeight="1" x14ac:dyDescent="0.25">
      <c r="A955" s="534"/>
      <c r="B955" s="271"/>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row>
    <row r="956" spans="1:37" ht="15.75" customHeight="1" x14ac:dyDescent="0.25">
      <c r="A956" s="534"/>
      <c r="B956" s="271"/>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row>
    <row r="957" spans="1:37" ht="15.75" customHeight="1" x14ac:dyDescent="0.25">
      <c r="A957" s="534"/>
      <c r="B957" s="271"/>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row>
    <row r="958" spans="1:37" ht="15.75" customHeight="1" x14ac:dyDescent="0.25">
      <c r="A958" s="534"/>
      <c r="B958" s="271"/>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row>
    <row r="959" spans="1:37" ht="15.75" customHeight="1" x14ac:dyDescent="0.25">
      <c r="A959" s="534"/>
      <c r="B959" s="271"/>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row>
    <row r="960" spans="1:37" ht="15.75" customHeight="1" x14ac:dyDescent="0.25">
      <c r="A960" s="534"/>
      <c r="B960" s="271"/>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row>
    <row r="961" spans="1:37" ht="15.75" customHeight="1" x14ac:dyDescent="0.25">
      <c r="A961" s="534"/>
      <c r="B961" s="271"/>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row>
    <row r="962" spans="1:37" ht="15.75" customHeight="1" x14ac:dyDescent="0.25">
      <c r="A962" s="534"/>
      <c r="B962" s="271"/>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row>
    <row r="963" spans="1:37" ht="15.75" customHeight="1" x14ac:dyDescent="0.25">
      <c r="A963" s="534"/>
      <c r="B963" s="271"/>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row>
    <row r="964" spans="1:37" ht="15.75" customHeight="1" x14ac:dyDescent="0.25">
      <c r="A964" s="534"/>
      <c r="B964" s="271"/>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row>
    <row r="965" spans="1:37" ht="15.75" customHeight="1" x14ac:dyDescent="0.25">
      <c r="A965" s="534"/>
      <c r="B965" s="271"/>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row>
    <row r="966" spans="1:37" ht="15.75" customHeight="1" x14ac:dyDescent="0.25">
      <c r="A966" s="534"/>
      <c r="B966" s="271"/>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row>
    <row r="967" spans="1:37" ht="15.75" customHeight="1" x14ac:dyDescent="0.25">
      <c r="A967" s="534"/>
      <c r="B967" s="271"/>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row>
    <row r="968" spans="1:37" ht="15.75" customHeight="1" x14ac:dyDescent="0.25">
      <c r="A968" s="534"/>
      <c r="B968" s="271"/>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row>
    <row r="969" spans="1:37" ht="15.75" customHeight="1" x14ac:dyDescent="0.25">
      <c r="A969" s="534"/>
      <c r="B969" s="271"/>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row>
    <row r="970" spans="1:37" ht="15.75" customHeight="1" x14ac:dyDescent="0.25">
      <c r="A970" s="534"/>
      <c r="B970" s="271"/>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row>
    <row r="971" spans="1:37" ht="15.75" customHeight="1" x14ac:dyDescent="0.25">
      <c r="A971" s="534"/>
      <c r="B971" s="271"/>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row>
    <row r="972" spans="1:37" ht="15.75" customHeight="1" x14ac:dyDescent="0.25">
      <c r="A972" s="534"/>
      <c r="B972" s="271"/>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row>
    <row r="973" spans="1:37" ht="15.75" customHeight="1" x14ac:dyDescent="0.25">
      <c r="A973" s="534"/>
      <c r="B973" s="271"/>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row>
    <row r="974" spans="1:37" ht="15.75" customHeight="1" x14ac:dyDescent="0.25">
      <c r="A974" s="534"/>
      <c r="B974" s="271"/>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row>
    <row r="975" spans="1:37" ht="15.75" customHeight="1" x14ac:dyDescent="0.25">
      <c r="A975" s="534"/>
      <c r="B975" s="271"/>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row>
    <row r="976" spans="1:37" ht="15.75" customHeight="1" x14ac:dyDescent="0.25">
      <c r="A976" s="534"/>
      <c r="B976" s="271"/>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row>
    <row r="977" spans="1:37" ht="15.75" customHeight="1" x14ac:dyDescent="0.25">
      <c r="A977" s="534"/>
      <c r="B977" s="271"/>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row>
    <row r="978" spans="1:37" ht="15.75" customHeight="1" x14ac:dyDescent="0.25">
      <c r="A978" s="534"/>
      <c r="B978" s="271"/>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row>
    <row r="979" spans="1:37" ht="15.75" customHeight="1" x14ac:dyDescent="0.25">
      <c r="A979" s="534"/>
      <c r="B979" s="271"/>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row>
    <row r="980" spans="1:37" ht="15.75" customHeight="1" x14ac:dyDescent="0.25">
      <c r="A980" s="534"/>
      <c r="B980" s="271"/>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row>
    <row r="981" spans="1:37" ht="15.75" customHeight="1" x14ac:dyDescent="0.25">
      <c r="A981" s="534"/>
      <c r="B981" s="271"/>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row>
    <row r="982" spans="1:37" ht="15.75" customHeight="1" x14ac:dyDescent="0.25">
      <c r="A982" s="534"/>
      <c r="B982" s="271"/>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row>
    <row r="983" spans="1:37" ht="15.75" customHeight="1" x14ac:dyDescent="0.25">
      <c r="A983" s="534"/>
      <c r="B983" s="271"/>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row>
    <row r="984" spans="1:37" ht="15.75" customHeight="1" x14ac:dyDescent="0.25">
      <c r="A984" s="534"/>
      <c r="B984" s="271"/>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row>
    <row r="985" spans="1:37" ht="15.75" customHeight="1" x14ac:dyDescent="0.25">
      <c r="A985" s="534"/>
      <c r="B985" s="271"/>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row>
    <row r="986" spans="1:37" ht="15.75" customHeight="1" x14ac:dyDescent="0.25">
      <c r="A986" s="534"/>
      <c r="B986" s="271"/>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row>
    <row r="987" spans="1:37" ht="15.75" customHeight="1" x14ac:dyDescent="0.25">
      <c r="A987" s="534"/>
      <c r="B987" s="271"/>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row>
    <row r="988" spans="1:37" ht="15.75" customHeight="1" x14ac:dyDescent="0.25">
      <c r="A988" s="534"/>
      <c r="B988" s="271"/>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row>
    <row r="989" spans="1:37" ht="15.75" customHeight="1" x14ac:dyDescent="0.25">
      <c r="A989" s="534"/>
      <c r="B989" s="271"/>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row>
    <row r="990" spans="1:37" ht="15.75" customHeight="1" x14ac:dyDescent="0.25">
      <c r="A990" s="534"/>
      <c r="B990" s="271"/>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row>
    <row r="991" spans="1:37" ht="15.75" customHeight="1" x14ac:dyDescent="0.25">
      <c r="A991" s="534"/>
      <c r="B991" s="271"/>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row>
    <row r="992" spans="1:37" ht="15.75" customHeight="1" x14ac:dyDescent="0.25">
      <c r="A992" s="534"/>
      <c r="B992" s="271"/>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row>
    <row r="993" spans="1:37" ht="15.75" customHeight="1" x14ac:dyDescent="0.25">
      <c r="A993" s="534"/>
      <c r="B993" s="271"/>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row>
    <row r="994" spans="1:37" ht="15.75" customHeight="1" x14ac:dyDescent="0.25">
      <c r="A994" s="534"/>
      <c r="B994" s="271"/>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row>
    <row r="995" spans="1:37" ht="15.75" customHeight="1" x14ac:dyDescent="0.25">
      <c r="A995" s="534"/>
      <c r="B995" s="271"/>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row>
    <row r="996" spans="1:37" ht="15.75" customHeight="1" x14ac:dyDescent="0.25">
      <c r="A996" s="534"/>
      <c r="B996" s="271"/>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row>
    <row r="997" spans="1:37" ht="15.75" customHeight="1" x14ac:dyDescent="0.25">
      <c r="A997" s="534"/>
      <c r="B997" s="271"/>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row>
    <row r="998" spans="1:37" ht="15.75" customHeight="1" x14ac:dyDescent="0.25">
      <c r="A998" s="534"/>
      <c r="B998" s="271"/>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row>
    <row r="999" spans="1:37" ht="15.75" customHeight="1" x14ac:dyDescent="0.25">
      <c r="A999" s="534"/>
      <c r="B999" s="271"/>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row>
    <row r="1000" spans="1:37" ht="15.75" customHeight="1" x14ac:dyDescent="0.25">
      <c r="A1000" s="534"/>
      <c r="B1000" s="271"/>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row>
  </sheetData>
  <mergeCells count="1">
    <mergeCell ref="N1:AA1"/>
  </mergeCells>
  <pageMargins left="0.7" right="0.7" top="0.75" bottom="0.75" header="0" footer="0"/>
  <pageSetup orientation="portrait"/>
  <headerFooter>
    <oddFooter>&amp;C000000000000&amp;P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showGridLines="0" workbookViewId="0">
      <selection sqref="A1:A1048576"/>
    </sheetView>
  </sheetViews>
  <sheetFormatPr baseColWidth="10" defaultColWidth="12.5703125" defaultRowHeight="15" customHeight="1" x14ac:dyDescent="0.2"/>
  <cols>
    <col min="1" max="1" width="18.42578125" style="535" customWidth="1"/>
    <col min="2" max="2" width="19.42578125" customWidth="1"/>
    <col min="3" max="6" width="15" customWidth="1"/>
    <col min="7" max="7" width="15.42578125" customWidth="1"/>
    <col min="8" max="8" width="15" customWidth="1"/>
    <col min="9" max="9" width="6" customWidth="1"/>
    <col min="10" max="10" width="15.28515625" customWidth="1"/>
    <col min="11" max="11" width="18.42578125" customWidth="1"/>
    <col min="12" max="12" width="16.7109375" customWidth="1"/>
    <col min="13" max="13" width="15.28515625" customWidth="1"/>
    <col min="14" max="14" width="14" customWidth="1"/>
    <col min="15" max="15" width="14.7109375" customWidth="1"/>
    <col min="16" max="16" width="11.85546875" customWidth="1"/>
    <col min="17" max="17" width="13" customWidth="1"/>
    <col min="18" max="20" width="15" customWidth="1"/>
    <col min="21" max="21" width="12.85546875" customWidth="1"/>
    <col min="22" max="22" width="14.42578125" customWidth="1"/>
    <col min="23" max="27" width="19.140625" customWidth="1"/>
    <col min="28" max="28" width="11.42578125" customWidth="1"/>
    <col min="29" max="38" width="9.140625" customWidth="1"/>
  </cols>
  <sheetData>
    <row r="1" spans="1:38" ht="15.75" customHeight="1" x14ac:dyDescent="0.25">
      <c r="A1" s="521" t="s">
        <v>152</v>
      </c>
      <c r="B1" s="272" t="s">
        <v>153</v>
      </c>
      <c r="C1" s="272" t="s">
        <v>154</v>
      </c>
      <c r="D1" s="272" t="s">
        <v>155</v>
      </c>
      <c r="E1" s="272" t="s">
        <v>156</v>
      </c>
      <c r="F1" s="272" t="s">
        <v>132</v>
      </c>
      <c r="G1" s="272" t="s">
        <v>157</v>
      </c>
      <c r="H1" s="272" t="s">
        <v>158</v>
      </c>
      <c r="I1" s="272" t="s">
        <v>40</v>
      </c>
      <c r="J1" s="272" t="s">
        <v>159</v>
      </c>
      <c r="K1" s="272" t="s">
        <v>160</v>
      </c>
      <c r="L1" s="273" t="s">
        <v>161</v>
      </c>
      <c r="M1" s="273" t="s">
        <v>162</v>
      </c>
      <c r="N1" s="274"/>
      <c r="O1" s="553" t="s">
        <v>163</v>
      </c>
      <c r="P1" s="554"/>
      <c r="Q1" s="554"/>
      <c r="R1" s="554"/>
      <c r="S1" s="554"/>
      <c r="T1" s="554"/>
      <c r="U1" s="554"/>
      <c r="V1" s="554"/>
      <c r="W1" s="554"/>
      <c r="X1" s="554"/>
      <c r="Y1" s="554"/>
      <c r="Z1" s="554"/>
      <c r="AA1" s="554"/>
      <c r="AB1" s="555"/>
      <c r="AC1" s="275"/>
      <c r="AD1" s="276"/>
      <c r="AE1" s="276"/>
      <c r="AF1" s="276"/>
      <c r="AG1" s="276"/>
      <c r="AH1" s="276"/>
      <c r="AI1" s="276"/>
      <c r="AJ1" s="276"/>
      <c r="AK1" s="276"/>
      <c r="AL1" s="276"/>
    </row>
    <row r="2" spans="1:38" ht="15.75" customHeight="1" x14ac:dyDescent="0.25">
      <c r="A2" s="522"/>
      <c r="B2" s="278"/>
      <c r="C2" s="278"/>
      <c r="D2" s="278"/>
      <c r="E2" s="278"/>
      <c r="F2" s="278"/>
      <c r="G2" s="279"/>
      <c r="H2" s="278"/>
      <c r="I2" s="279"/>
      <c r="J2" s="280"/>
      <c r="K2" s="281"/>
      <c r="L2" s="282"/>
      <c r="M2" s="283"/>
      <c r="N2" s="357">
        <v>0.7</v>
      </c>
      <c r="O2" s="285" t="s">
        <v>164</v>
      </c>
      <c r="P2" s="286" t="s">
        <v>165</v>
      </c>
      <c r="Q2" s="286" t="s">
        <v>166</v>
      </c>
      <c r="R2" s="286" t="s">
        <v>167</v>
      </c>
      <c r="S2" s="286" t="s">
        <v>168</v>
      </c>
      <c r="T2" s="287" t="s">
        <v>169</v>
      </c>
      <c r="U2" s="285" t="s">
        <v>170</v>
      </c>
      <c r="V2" s="287" t="s">
        <v>171</v>
      </c>
      <c r="W2" s="288" t="s">
        <v>172</v>
      </c>
      <c r="X2" s="288" t="s">
        <v>173</v>
      </c>
      <c r="Y2" s="288" t="s">
        <v>44</v>
      </c>
      <c r="Z2" s="288" t="s">
        <v>174</v>
      </c>
      <c r="AA2" s="288" t="s">
        <v>175</v>
      </c>
      <c r="AB2" s="288" t="s">
        <v>44</v>
      </c>
      <c r="AC2" s="275"/>
      <c r="AD2" s="276"/>
      <c r="AE2" s="276"/>
      <c r="AF2" s="276"/>
      <c r="AG2" s="276"/>
      <c r="AH2" s="276"/>
      <c r="AI2" s="276"/>
      <c r="AJ2" s="276"/>
      <c r="AK2" s="276"/>
      <c r="AL2" s="276"/>
    </row>
    <row r="3" spans="1:38" ht="15.75" customHeight="1" x14ac:dyDescent="0.25">
      <c r="A3" s="536">
        <v>45047</v>
      </c>
      <c r="B3" s="358">
        <v>335500</v>
      </c>
      <c r="C3" s="243"/>
      <c r="D3" s="243"/>
      <c r="E3" s="243"/>
      <c r="F3" s="243"/>
      <c r="G3" s="359">
        <f t="shared" ref="G3:G25" si="0">(B3+C3+D3+E3+F3)-Y3</f>
        <v>300500</v>
      </c>
      <c r="H3" s="243">
        <f>'Détail Dépenses'!Y16</f>
        <v>584400</v>
      </c>
      <c r="I3" s="360">
        <f t="shared" ref="I3:I33" si="1">H3/G3</f>
        <v>1.9447587354409317</v>
      </c>
      <c r="J3" s="243">
        <f t="shared" ref="J3:J18" si="2">G3-H3</f>
        <v>-283900</v>
      </c>
      <c r="K3" s="332">
        <f>138500-406750</f>
        <v>-268250</v>
      </c>
      <c r="L3" s="332">
        <f t="shared" ref="L3:L10" si="3">K3-J3</f>
        <v>15650</v>
      </c>
      <c r="M3" s="361">
        <f>K3</f>
        <v>-268250</v>
      </c>
      <c r="N3" s="362"/>
      <c r="O3" s="363">
        <v>23000</v>
      </c>
      <c r="P3" s="335">
        <v>12000</v>
      </c>
      <c r="Q3" s="335"/>
      <c r="R3" s="335"/>
      <c r="S3" s="335"/>
      <c r="T3" s="335"/>
      <c r="U3" s="335"/>
      <c r="V3" s="335"/>
      <c r="W3" s="335"/>
      <c r="X3" s="336"/>
      <c r="Y3" s="319">
        <f t="shared" ref="Y3:Y33" si="4">SUM(O3:X3)</f>
        <v>35000</v>
      </c>
      <c r="Z3" s="364">
        <f>Z5</f>
        <v>0</v>
      </c>
      <c r="AA3" s="337"/>
      <c r="AB3" s="319">
        <f t="shared" ref="AB3:AB33" si="5">SUM(Z3:AA3)</f>
        <v>0</v>
      </c>
      <c r="AC3" s="201"/>
      <c r="AD3" s="276"/>
      <c r="AE3" s="276"/>
      <c r="AF3" s="276"/>
      <c r="AG3" s="276"/>
      <c r="AH3" s="276"/>
      <c r="AI3" s="276"/>
      <c r="AJ3" s="276"/>
      <c r="AK3" s="276"/>
      <c r="AL3" s="276"/>
    </row>
    <row r="4" spans="1:38" ht="15.75" customHeight="1" x14ac:dyDescent="0.25">
      <c r="A4" s="525">
        <v>45048</v>
      </c>
      <c r="B4" s="365">
        <v>146500</v>
      </c>
      <c r="C4" s="309"/>
      <c r="D4" s="309"/>
      <c r="E4" s="309"/>
      <c r="F4" s="309"/>
      <c r="G4" s="366">
        <f t="shared" si="0"/>
        <v>136000</v>
      </c>
      <c r="H4" s="309">
        <f>'Détail Dépenses'!Y17</f>
        <v>130500</v>
      </c>
      <c r="I4" s="367">
        <f t="shared" si="1"/>
        <v>0.9595588235294118</v>
      </c>
      <c r="J4" s="309">
        <f t="shared" si="2"/>
        <v>5500</v>
      </c>
      <c r="K4" s="312">
        <v>5800</v>
      </c>
      <c r="L4" s="312">
        <f t="shared" si="3"/>
        <v>300</v>
      </c>
      <c r="M4" s="302">
        <f>K3+K4</f>
        <v>-262450</v>
      </c>
      <c r="N4" s="368"/>
      <c r="O4" s="369">
        <v>10500</v>
      </c>
      <c r="P4" s="315"/>
      <c r="Q4" s="315"/>
      <c r="R4" s="315"/>
      <c r="S4" s="315"/>
      <c r="T4" s="315"/>
      <c r="U4" s="315"/>
      <c r="V4" s="315"/>
      <c r="W4" s="315"/>
      <c r="X4" s="316"/>
      <c r="Y4" s="319">
        <f t="shared" si="4"/>
        <v>10500</v>
      </c>
      <c r="Z4" s="370"/>
      <c r="AA4" s="318"/>
      <c r="AB4" s="319">
        <f t="shared" si="5"/>
        <v>0</v>
      </c>
      <c r="AC4" s="201"/>
      <c r="AD4" s="276"/>
      <c r="AE4" s="276"/>
      <c r="AF4" s="276"/>
      <c r="AG4" s="276"/>
      <c r="AH4" s="276"/>
      <c r="AI4" s="276"/>
      <c r="AJ4" s="276"/>
      <c r="AK4" s="276"/>
      <c r="AL4" s="276"/>
    </row>
    <row r="5" spans="1:38" ht="15.75" customHeight="1" x14ac:dyDescent="0.25">
      <c r="A5" s="525">
        <v>45049</v>
      </c>
      <c r="B5" s="365">
        <v>265000</v>
      </c>
      <c r="C5" s="309"/>
      <c r="D5" s="309"/>
      <c r="E5" s="309"/>
      <c r="F5" s="309"/>
      <c r="G5" s="366">
        <f t="shared" si="0"/>
        <v>211500</v>
      </c>
      <c r="H5" s="309">
        <f>'Détail Dépenses'!Y18</f>
        <v>78650</v>
      </c>
      <c r="I5" s="360">
        <f t="shared" si="1"/>
        <v>0.37186761229314419</v>
      </c>
      <c r="J5" s="309">
        <f t="shared" si="2"/>
        <v>132850</v>
      </c>
      <c r="K5" s="312">
        <v>133000</v>
      </c>
      <c r="L5" s="312">
        <f t="shared" si="3"/>
        <v>150</v>
      </c>
      <c r="M5" s="302">
        <f t="shared" ref="M5:M9" si="6">M4+K5</f>
        <v>-129450</v>
      </c>
      <c r="N5" s="368"/>
      <c r="O5" s="369">
        <v>19500</v>
      </c>
      <c r="P5" s="315">
        <v>31000</v>
      </c>
      <c r="Q5" s="315"/>
      <c r="R5" s="315"/>
      <c r="S5" s="315"/>
      <c r="T5" s="315"/>
      <c r="U5" s="315">
        <v>3000</v>
      </c>
      <c r="V5" s="315"/>
      <c r="W5" s="315"/>
      <c r="X5" s="316"/>
      <c r="Y5" s="319">
        <f t="shared" si="4"/>
        <v>53500</v>
      </c>
      <c r="Z5" s="370"/>
      <c r="AA5" s="318"/>
      <c r="AB5" s="319">
        <f t="shared" si="5"/>
        <v>0</v>
      </c>
      <c r="AC5" s="201"/>
      <c r="AD5" s="276"/>
      <c r="AE5" s="276"/>
      <c r="AF5" s="276"/>
      <c r="AG5" s="276"/>
      <c r="AH5" s="276"/>
      <c r="AI5" s="276"/>
      <c r="AJ5" s="276"/>
      <c r="AK5" s="276"/>
      <c r="AL5" s="276"/>
    </row>
    <row r="6" spans="1:38" ht="15.75" customHeight="1" x14ac:dyDescent="0.25">
      <c r="A6" s="525">
        <v>45050</v>
      </c>
      <c r="B6" s="365">
        <v>275500</v>
      </c>
      <c r="C6" s="309"/>
      <c r="D6" s="309"/>
      <c r="E6" s="309"/>
      <c r="F6" s="309"/>
      <c r="G6" s="366">
        <f t="shared" si="0"/>
        <v>267500</v>
      </c>
      <c r="H6" s="309">
        <f>'Détail Dépenses'!Y19</f>
        <v>218750</v>
      </c>
      <c r="I6" s="367">
        <f t="shared" si="1"/>
        <v>0.81775700934579443</v>
      </c>
      <c r="J6" s="309">
        <f t="shared" si="2"/>
        <v>48750</v>
      </c>
      <c r="K6" s="312">
        <v>44500</v>
      </c>
      <c r="L6" s="312">
        <f t="shared" si="3"/>
        <v>-4250</v>
      </c>
      <c r="M6" s="302">
        <f t="shared" si="6"/>
        <v>-84950</v>
      </c>
      <c r="N6" s="368"/>
      <c r="O6" s="369">
        <v>5000</v>
      </c>
      <c r="P6" s="315"/>
      <c r="Q6" s="315"/>
      <c r="R6" s="315"/>
      <c r="S6" s="315"/>
      <c r="T6" s="315"/>
      <c r="U6" s="315">
        <v>3000</v>
      </c>
      <c r="V6" s="315"/>
      <c r="W6" s="315"/>
      <c r="X6" s="316"/>
      <c r="Y6" s="319">
        <f t="shared" si="4"/>
        <v>8000</v>
      </c>
      <c r="Z6" s="370"/>
      <c r="AA6" s="318"/>
      <c r="AB6" s="319">
        <f t="shared" si="5"/>
        <v>0</v>
      </c>
      <c r="AC6" s="201"/>
      <c r="AD6" s="276"/>
      <c r="AE6" s="276"/>
      <c r="AF6" s="276"/>
      <c r="AG6" s="276"/>
      <c r="AH6" s="276"/>
      <c r="AI6" s="276"/>
      <c r="AJ6" s="276"/>
      <c r="AK6" s="276"/>
      <c r="AL6" s="276"/>
    </row>
    <row r="7" spans="1:38" ht="15.75" customHeight="1" x14ac:dyDescent="0.25">
      <c r="A7" s="525">
        <v>45051</v>
      </c>
      <c r="B7" s="365">
        <v>535300</v>
      </c>
      <c r="C7" s="309"/>
      <c r="D7" s="309"/>
      <c r="E7" s="309"/>
      <c r="F7" s="309"/>
      <c r="G7" s="366">
        <f t="shared" si="0"/>
        <v>399800</v>
      </c>
      <c r="H7" s="309">
        <f>'Détail Dépenses'!Y20</f>
        <v>230300</v>
      </c>
      <c r="I7" s="360">
        <f t="shared" si="1"/>
        <v>0.5760380190095048</v>
      </c>
      <c r="J7" s="309">
        <f t="shared" si="2"/>
        <v>169500</v>
      </c>
      <c r="K7" s="312">
        <v>170000</v>
      </c>
      <c r="L7" s="312">
        <f t="shared" si="3"/>
        <v>500</v>
      </c>
      <c r="M7" s="302">
        <f t="shared" si="6"/>
        <v>85050</v>
      </c>
      <c r="N7" s="368"/>
      <c r="O7" s="369">
        <v>54500</v>
      </c>
      <c r="P7" s="315">
        <v>73000</v>
      </c>
      <c r="Q7" s="315"/>
      <c r="R7" s="315"/>
      <c r="S7" s="315"/>
      <c r="T7" s="315"/>
      <c r="U7" s="315">
        <v>6000</v>
      </c>
      <c r="V7" s="315">
        <v>2000</v>
      </c>
      <c r="W7" s="315"/>
      <c r="X7" s="316"/>
      <c r="Y7" s="319">
        <f t="shared" si="4"/>
        <v>135500</v>
      </c>
      <c r="Z7" s="370"/>
      <c r="AA7" s="318"/>
      <c r="AB7" s="319">
        <f t="shared" si="5"/>
        <v>0</v>
      </c>
      <c r="AC7" s="201"/>
      <c r="AD7" s="276"/>
      <c r="AE7" s="276"/>
      <c r="AF7" s="276"/>
      <c r="AG7" s="276"/>
      <c r="AH7" s="276"/>
      <c r="AI7" s="276"/>
      <c r="AJ7" s="276"/>
      <c r="AK7" s="276"/>
      <c r="AL7" s="276"/>
    </row>
    <row r="8" spans="1:38" ht="15.75" customHeight="1" x14ac:dyDescent="0.25">
      <c r="A8" s="525">
        <v>45052</v>
      </c>
      <c r="B8" s="365">
        <v>411100</v>
      </c>
      <c r="C8" s="309"/>
      <c r="D8" s="309"/>
      <c r="E8" s="309"/>
      <c r="F8" s="309"/>
      <c r="G8" s="366">
        <f t="shared" si="0"/>
        <v>381600</v>
      </c>
      <c r="H8" s="309">
        <f>'Détail Dépenses'!Y21</f>
        <v>91500</v>
      </c>
      <c r="I8" s="367">
        <f t="shared" si="1"/>
        <v>0.23977987421383648</v>
      </c>
      <c r="J8" s="309">
        <f t="shared" si="2"/>
        <v>290100</v>
      </c>
      <c r="K8" s="312">
        <v>289800</v>
      </c>
      <c r="L8" s="312">
        <f t="shared" si="3"/>
        <v>-300</v>
      </c>
      <c r="M8" s="302">
        <f t="shared" si="6"/>
        <v>374850</v>
      </c>
      <c r="N8" s="368"/>
      <c r="O8" s="369">
        <v>21000</v>
      </c>
      <c r="P8" s="315"/>
      <c r="Q8" s="315"/>
      <c r="R8" s="315"/>
      <c r="S8" s="315"/>
      <c r="T8" s="315"/>
      <c r="U8" s="315">
        <v>5500</v>
      </c>
      <c r="V8" s="315">
        <v>3000</v>
      </c>
      <c r="W8" s="315"/>
      <c r="X8" s="316"/>
      <c r="Y8" s="319">
        <f t="shared" si="4"/>
        <v>29500</v>
      </c>
      <c r="Z8" s="370"/>
      <c r="AA8" s="318"/>
      <c r="AB8" s="319">
        <f t="shared" si="5"/>
        <v>0</v>
      </c>
      <c r="AC8" s="201"/>
      <c r="AD8" s="276"/>
      <c r="AE8" s="276"/>
      <c r="AF8" s="276"/>
      <c r="AG8" s="276"/>
      <c r="AH8" s="276"/>
      <c r="AI8" s="276"/>
      <c r="AJ8" s="276"/>
      <c r="AK8" s="276"/>
      <c r="AL8" s="276"/>
    </row>
    <row r="9" spans="1:38" ht="15.75" customHeight="1" x14ac:dyDescent="0.25">
      <c r="A9" s="526">
        <v>45053</v>
      </c>
      <c r="B9" s="371">
        <v>262500</v>
      </c>
      <c r="C9" s="320"/>
      <c r="D9" s="320"/>
      <c r="E9" s="320"/>
      <c r="F9" s="320"/>
      <c r="G9" s="372">
        <f t="shared" si="0"/>
        <v>249500</v>
      </c>
      <c r="H9" s="320">
        <f>'Détail Dépenses'!Y22</f>
        <v>164500</v>
      </c>
      <c r="I9" s="360">
        <f t="shared" si="1"/>
        <v>0.65931863727454909</v>
      </c>
      <c r="J9" s="320">
        <f t="shared" si="2"/>
        <v>85000</v>
      </c>
      <c r="K9" s="323">
        <f>100500-15000</f>
        <v>85500</v>
      </c>
      <c r="L9" s="323">
        <f t="shared" si="3"/>
        <v>500</v>
      </c>
      <c r="M9" s="324">
        <f t="shared" si="6"/>
        <v>460350</v>
      </c>
      <c r="N9" s="373"/>
      <c r="O9" s="374">
        <v>11500</v>
      </c>
      <c r="P9" s="327"/>
      <c r="Q9" s="327"/>
      <c r="R9" s="327"/>
      <c r="S9" s="327"/>
      <c r="T9" s="327"/>
      <c r="U9" s="327">
        <v>1500</v>
      </c>
      <c r="V9" s="327"/>
      <c r="W9" s="327"/>
      <c r="X9" s="328"/>
      <c r="Y9" s="319">
        <f t="shared" si="4"/>
        <v>13000</v>
      </c>
      <c r="Z9" s="375"/>
      <c r="AA9" s="329"/>
      <c r="AB9" s="319">
        <f t="shared" si="5"/>
        <v>0</v>
      </c>
      <c r="AC9" s="201"/>
      <c r="AD9" s="276"/>
      <c r="AE9" s="276"/>
      <c r="AF9" s="276"/>
      <c r="AG9" s="276"/>
      <c r="AH9" s="276"/>
      <c r="AI9" s="276"/>
      <c r="AJ9" s="276"/>
      <c r="AK9" s="276"/>
      <c r="AL9" s="276"/>
    </row>
    <row r="10" spans="1:38" ht="15.75" customHeight="1" x14ac:dyDescent="0.25">
      <c r="A10" s="536">
        <v>45054</v>
      </c>
      <c r="B10" s="358">
        <v>105500</v>
      </c>
      <c r="C10" s="243"/>
      <c r="D10" s="243"/>
      <c r="E10" s="243"/>
      <c r="F10" s="243"/>
      <c r="G10" s="359">
        <f t="shared" si="0"/>
        <v>95000</v>
      </c>
      <c r="H10" s="243">
        <f>'Détail Dépenses'!Y23</f>
        <v>187150</v>
      </c>
      <c r="I10" s="367">
        <f t="shared" si="1"/>
        <v>1.97</v>
      </c>
      <c r="J10" s="243">
        <f t="shared" si="2"/>
        <v>-92150</v>
      </c>
      <c r="K10" s="332">
        <v>-92150</v>
      </c>
      <c r="L10" s="332">
        <f t="shared" si="3"/>
        <v>0</v>
      </c>
      <c r="M10" s="361">
        <f>M9</f>
        <v>460350</v>
      </c>
      <c r="N10" s="376"/>
      <c r="O10" s="334">
        <v>7500</v>
      </c>
      <c r="P10" s="335"/>
      <c r="Q10" s="335"/>
      <c r="R10" s="335"/>
      <c r="S10" s="335"/>
      <c r="T10" s="335"/>
      <c r="U10" s="335">
        <v>3000</v>
      </c>
      <c r="V10" s="335"/>
      <c r="W10" s="335"/>
      <c r="X10" s="336"/>
      <c r="Y10" s="319">
        <f t="shared" si="4"/>
        <v>10500</v>
      </c>
      <c r="Z10" s="364"/>
      <c r="AA10" s="337"/>
      <c r="AB10" s="319">
        <f t="shared" si="5"/>
        <v>0</v>
      </c>
      <c r="AC10" s="201"/>
      <c r="AD10" s="276"/>
      <c r="AE10" s="276"/>
      <c r="AF10" s="276"/>
      <c r="AG10" s="276"/>
      <c r="AH10" s="276"/>
      <c r="AI10" s="276"/>
      <c r="AJ10" s="276"/>
      <c r="AK10" s="276"/>
      <c r="AL10" s="276"/>
    </row>
    <row r="11" spans="1:38" ht="15.75" customHeight="1" x14ac:dyDescent="0.25">
      <c r="A11" s="525">
        <v>45055</v>
      </c>
      <c r="B11" s="365">
        <v>181500</v>
      </c>
      <c r="C11" s="309"/>
      <c r="D11" s="309"/>
      <c r="E11" s="309"/>
      <c r="F11" s="309"/>
      <c r="G11" s="366">
        <f t="shared" si="0"/>
        <v>156000</v>
      </c>
      <c r="H11" s="309">
        <f>'Détail Dépenses'!Y24</f>
        <v>335327.39622999995</v>
      </c>
      <c r="I11" s="360">
        <f t="shared" si="1"/>
        <v>2.1495345912179484</v>
      </c>
      <c r="J11" s="309">
        <f t="shared" si="2"/>
        <v>-179327.39622999995</v>
      </c>
      <c r="K11" s="312">
        <f>-81650-90000</f>
        <v>-171650</v>
      </c>
      <c r="L11" s="312">
        <v>0</v>
      </c>
      <c r="M11" s="302">
        <f t="shared" ref="M11:M17" si="7">M10+K11</f>
        <v>288700</v>
      </c>
      <c r="N11" s="313"/>
      <c r="O11" s="317">
        <v>23500</v>
      </c>
      <c r="P11" s="315"/>
      <c r="Q11" s="315"/>
      <c r="R11" s="315"/>
      <c r="S11" s="315"/>
      <c r="T11" s="315"/>
      <c r="U11" s="315">
        <v>2000</v>
      </c>
      <c r="V11" s="315"/>
      <c r="W11" s="315"/>
      <c r="X11" s="316"/>
      <c r="Y11" s="319">
        <f t="shared" si="4"/>
        <v>25500</v>
      </c>
      <c r="Z11" s="370">
        <v>2000</v>
      </c>
      <c r="AA11" s="318">
        <v>500</v>
      </c>
      <c r="AB11" s="319">
        <f t="shared" si="5"/>
        <v>2500</v>
      </c>
      <c r="AC11" s="201"/>
      <c r="AD11" s="276"/>
      <c r="AE11" s="276"/>
      <c r="AF11" s="276"/>
      <c r="AG11" s="276"/>
      <c r="AH11" s="276"/>
      <c r="AI11" s="276"/>
      <c r="AJ11" s="276"/>
      <c r="AK11" s="276"/>
      <c r="AL11" s="276"/>
    </row>
    <row r="12" spans="1:38" ht="15.75" customHeight="1" x14ac:dyDescent="0.25">
      <c r="A12" s="525">
        <v>45056</v>
      </c>
      <c r="B12" s="365">
        <v>600500</v>
      </c>
      <c r="C12" s="309"/>
      <c r="D12" s="309"/>
      <c r="E12" s="309"/>
      <c r="F12" s="309"/>
      <c r="G12" s="366">
        <f t="shared" si="0"/>
        <v>440500</v>
      </c>
      <c r="H12" s="309">
        <f>'Détail Dépenses'!Y25</f>
        <v>133200</v>
      </c>
      <c r="I12" s="367">
        <f t="shared" si="1"/>
        <v>0.30238365493757097</v>
      </c>
      <c r="J12" s="309">
        <f t="shared" si="2"/>
        <v>307300</v>
      </c>
      <c r="K12" s="312">
        <v>215800</v>
      </c>
      <c r="L12" s="312">
        <v>-9850</v>
      </c>
      <c r="M12" s="302">
        <f t="shared" si="7"/>
        <v>504500</v>
      </c>
      <c r="N12" s="313"/>
      <c r="O12" s="317">
        <v>7500</v>
      </c>
      <c r="P12" s="315">
        <v>86000</v>
      </c>
      <c r="Q12" s="315"/>
      <c r="R12" s="315"/>
      <c r="S12" s="315"/>
      <c r="T12" s="315"/>
      <c r="U12" s="315">
        <v>3500</v>
      </c>
      <c r="V12" s="315">
        <v>500</v>
      </c>
      <c r="W12" s="315"/>
      <c r="X12" s="316">
        <v>62500</v>
      </c>
      <c r="Y12" s="319">
        <f t="shared" si="4"/>
        <v>160000</v>
      </c>
      <c r="Z12" s="370"/>
      <c r="AA12" s="318"/>
      <c r="AB12" s="319">
        <f t="shared" si="5"/>
        <v>0</v>
      </c>
      <c r="AC12" s="201"/>
      <c r="AD12" s="276"/>
      <c r="AE12" s="276"/>
      <c r="AF12" s="276"/>
      <c r="AG12" s="276"/>
      <c r="AH12" s="276"/>
      <c r="AI12" s="276"/>
      <c r="AJ12" s="276"/>
      <c r="AK12" s="276"/>
      <c r="AL12" s="276"/>
    </row>
    <row r="13" spans="1:38" ht="15.75" customHeight="1" x14ac:dyDescent="0.25">
      <c r="A13" s="525">
        <v>45057</v>
      </c>
      <c r="B13" s="365">
        <v>167900</v>
      </c>
      <c r="C13" s="309"/>
      <c r="D13" s="309"/>
      <c r="E13" s="309"/>
      <c r="F13" s="309"/>
      <c r="G13" s="366">
        <f t="shared" si="0"/>
        <v>150400</v>
      </c>
      <c r="H13" s="309">
        <f>'Détail Dépenses'!Y26</f>
        <v>296300</v>
      </c>
      <c r="I13" s="360">
        <f t="shared" si="1"/>
        <v>1.9700797872340425</v>
      </c>
      <c r="J13" s="309">
        <f t="shared" si="2"/>
        <v>-145900</v>
      </c>
      <c r="K13" s="312">
        <v>-145900</v>
      </c>
      <c r="L13" s="312">
        <f>K13-J13</f>
        <v>0</v>
      </c>
      <c r="M13" s="302">
        <f t="shared" si="7"/>
        <v>358600</v>
      </c>
      <c r="N13" s="313"/>
      <c r="O13" s="317"/>
      <c r="P13" s="315"/>
      <c r="Q13" s="315"/>
      <c r="R13" s="315"/>
      <c r="S13" s="315"/>
      <c r="T13" s="315"/>
      <c r="U13" s="315">
        <v>7000</v>
      </c>
      <c r="V13" s="316">
        <v>10500</v>
      </c>
      <c r="W13" s="318"/>
      <c r="X13" s="318"/>
      <c r="Y13" s="319">
        <f t="shared" si="4"/>
        <v>17500</v>
      </c>
      <c r="Z13" s="370"/>
      <c r="AA13" s="318"/>
      <c r="AB13" s="319">
        <f t="shared" si="5"/>
        <v>0</v>
      </c>
      <c r="AC13" s="201"/>
      <c r="AD13" s="276"/>
      <c r="AE13" s="276"/>
      <c r="AF13" s="276"/>
      <c r="AG13" s="276"/>
      <c r="AH13" s="276"/>
      <c r="AI13" s="276"/>
      <c r="AJ13" s="276"/>
      <c r="AK13" s="276"/>
      <c r="AL13" s="276"/>
    </row>
    <row r="14" spans="1:38" ht="15.75" customHeight="1" x14ac:dyDescent="0.25">
      <c r="A14" s="525">
        <v>45058</v>
      </c>
      <c r="B14" s="365">
        <v>887000</v>
      </c>
      <c r="C14" s="309"/>
      <c r="D14" s="309"/>
      <c r="E14" s="309"/>
      <c r="F14" s="309"/>
      <c r="G14" s="366">
        <f t="shared" si="0"/>
        <v>752500</v>
      </c>
      <c r="H14" s="309">
        <f>'Détail Dépenses'!Y27</f>
        <v>100150</v>
      </c>
      <c r="I14" s="367">
        <f t="shared" si="1"/>
        <v>0.13308970099667775</v>
      </c>
      <c r="J14" s="309">
        <f t="shared" si="2"/>
        <v>652350</v>
      </c>
      <c r="K14" s="312">
        <v>539800</v>
      </c>
      <c r="L14" s="312">
        <v>33350</v>
      </c>
      <c r="M14" s="302">
        <f t="shared" si="7"/>
        <v>898400</v>
      </c>
      <c r="N14" s="313"/>
      <c r="O14" s="317"/>
      <c r="P14" s="315"/>
      <c r="Q14" s="315"/>
      <c r="R14" s="315">
        <v>124000</v>
      </c>
      <c r="S14" s="315"/>
      <c r="T14" s="315"/>
      <c r="U14" s="315">
        <v>10500</v>
      </c>
      <c r="V14" s="316"/>
      <c r="W14" s="318"/>
      <c r="X14" s="318"/>
      <c r="Y14" s="319">
        <f t="shared" si="4"/>
        <v>134500</v>
      </c>
      <c r="Z14" s="370"/>
      <c r="AA14" s="318"/>
      <c r="AB14" s="319">
        <f t="shared" si="5"/>
        <v>0</v>
      </c>
      <c r="AC14" s="201"/>
      <c r="AD14" s="276"/>
      <c r="AE14" s="276"/>
      <c r="AF14" s="276"/>
      <c r="AG14" s="276"/>
      <c r="AH14" s="276"/>
      <c r="AI14" s="276"/>
      <c r="AJ14" s="276"/>
      <c r="AK14" s="276"/>
      <c r="AL14" s="276"/>
    </row>
    <row r="15" spans="1:38" ht="15.75" customHeight="1" x14ac:dyDescent="0.25">
      <c r="A15" s="525">
        <v>45059</v>
      </c>
      <c r="B15" s="365">
        <v>760000</v>
      </c>
      <c r="C15" s="309">
        <v>24500</v>
      </c>
      <c r="D15" s="309"/>
      <c r="E15" s="309"/>
      <c r="F15" s="309"/>
      <c r="G15" s="366">
        <f t="shared" si="0"/>
        <v>771000</v>
      </c>
      <c r="H15" s="309">
        <f>'Détail Dépenses'!Y28</f>
        <v>154750</v>
      </c>
      <c r="I15" s="360">
        <f t="shared" si="1"/>
        <v>0.20071335927367057</v>
      </c>
      <c r="J15" s="309">
        <f t="shared" si="2"/>
        <v>616250</v>
      </c>
      <c r="K15" s="312">
        <v>591500</v>
      </c>
      <c r="L15" s="312">
        <v>-250</v>
      </c>
      <c r="M15" s="302">
        <f t="shared" si="7"/>
        <v>1489900</v>
      </c>
      <c r="N15" s="313"/>
      <c r="O15" s="317">
        <v>7000</v>
      </c>
      <c r="P15" s="315"/>
      <c r="Q15" s="315"/>
      <c r="R15" s="315"/>
      <c r="S15" s="315"/>
      <c r="T15" s="315"/>
      <c r="U15" s="315">
        <v>4500</v>
      </c>
      <c r="V15" s="316"/>
      <c r="W15" s="318"/>
      <c r="X15" s="318">
        <v>2000</v>
      </c>
      <c r="Y15" s="319">
        <f t="shared" si="4"/>
        <v>13500</v>
      </c>
      <c r="Z15" s="370">
        <v>2000</v>
      </c>
      <c r="AA15" s="318"/>
      <c r="AB15" s="319">
        <f t="shared" si="5"/>
        <v>2000</v>
      </c>
      <c r="AC15" s="201"/>
      <c r="AD15" s="276"/>
      <c r="AE15" s="276"/>
      <c r="AF15" s="276"/>
      <c r="AG15" s="276"/>
      <c r="AH15" s="276"/>
      <c r="AI15" s="276"/>
      <c r="AJ15" s="276"/>
      <c r="AK15" s="276"/>
      <c r="AL15" s="276"/>
    </row>
    <row r="16" spans="1:38" ht="15.75" customHeight="1" x14ac:dyDescent="0.25">
      <c r="A16" s="526">
        <v>45060</v>
      </c>
      <c r="B16" s="371">
        <v>854000</v>
      </c>
      <c r="C16" s="320"/>
      <c r="D16" s="320"/>
      <c r="E16" s="320"/>
      <c r="F16" s="320"/>
      <c r="G16" s="372">
        <f t="shared" si="0"/>
        <v>845500</v>
      </c>
      <c r="H16" s="320">
        <f>'Détail Dépenses'!Y29</f>
        <v>166750</v>
      </c>
      <c r="I16" s="367">
        <f t="shared" si="1"/>
        <v>0.19722057953873448</v>
      </c>
      <c r="J16" s="320">
        <f t="shared" si="2"/>
        <v>678750</v>
      </c>
      <c r="K16" s="323">
        <v>728750</v>
      </c>
      <c r="L16" s="323">
        <f t="shared" ref="L16:L17" si="8">K16-J16</f>
        <v>50000</v>
      </c>
      <c r="M16" s="324">
        <f t="shared" si="7"/>
        <v>2218650</v>
      </c>
      <c r="N16" s="325"/>
      <c r="O16" s="326">
        <v>8500</v>
      </c>
      <c r="P16" s="327"/>
      <c r="Q16" s="327"/>
      <c r="R16" s="327"/>
      <c r="S16" s="327"/>
      <c r="T16" s="327"/>
      <c r="U16" s="327"/>
      <c r="V16" s="328"/>
      <c r="W16" s="329"/>
      <c r="X16" s="329"/>
      <c r="Y16" s="319">
        <f t="shared" si="4"/>
        <v>8500</v>
      </c>
      <c r="Z16" s="375"/>
      <c r="AA16" s="329"/>
      <c r="AB16" s="319">
        <f t="shared" si="5"/>
        <v>0</v>
      </c>
      <c r="AC16" s="201"/>
      <c r="AD16" s="276"/>
      <c r="AE16" s="276"/>
      <c r="AF16" s="276"/>
      <c r="AG16" s="276"/>
      <c r="AH16" s="276"/>
      <c r="AI16" s="276"/>
      <c r="AJ16" s="276"/>
      <c r="AK16" s="276"/>
      <c r="AL16" s="276"/>
    </row>
    <row r="17" spans="1:38" ht="15.75" customHeight="1" x14ac:dyDescent="0.25">
      <c r="A17" s="536">
        <v>45061</v>
      </c>
      <c r="B17" s="358">
        <v>648500</v>
      </c>
      <c r="C17" s="243"/>
      <c r="D17" s="243"/>
      <c r="E17" s="243"/>
      <c r="F17" s="243"/>
      <c r="G17" s="359">
        <f t="shared" si="0"/>
        <v>638500</v>
      </c>
      <c r="H17" s="243">
        <f>'Détail Dépenses'!Y30</f>
        <v>1359175</v>
      </c>
      <c r="I17" s="360">
        <f t="shared" si="1"/>
        <v>2.1287000783085355</v>
      </c>
      <c r="J17" s="243">
        <f t="shared" si="2"/>
        <v>-720675</v>
      </c>
      <c r="K17" s="332">
        <f>432000-50000-172100-570450-210000-150000</f>
        <v>-720550</v>
      </c>
      <c r="L17" s="332">
        <f t="shared" si="8"/>
        <v>125</v>
      </c>
      <c r="M17" s="361">
        <f t="shared" si="7"/>
        <v>1498100</v>
      </c>
      <c r="N17" s="362"/>
      <c r="O17" s="363">
        <v>6000</v>
      </c>
      <c r="P17" s="335"/>
      <c r="Q17" s="335"/>
      <c r="R17" s="335"/>
      <c r="S17" s="335"/>
      <c r="T17" s="335"/>
      <c r="U17" s="335">
        <v>4000</v>
      </c>
      <c r="V17" s="336"/>
      <c r="W17" s="337"/>
      <c r="X17" s="337"/>
      <c r="Y17" s="319">
        <f t="shared" si="4"/>
        <v>10000</v>
      </c>
      <c r="Z17" s="364"/>
      <c r="AA17" s="337"/>
      <c r="AB17" s="319">
        <f t="shared" si="5"/>
        <v>0</v>
      </c>
      <c r="AC17" s="201"/>
      <c r="AD17" s="276"/>
      <c r="AE17" s="276"/>
      <c r="AF17" s="276"/>
      <c r="AG17" s="276"/>
      <c r="AH17" s="276"/>
      <c r="AI17" s="276"/>
      <c r="AJ17" s="276"/>
      <c r="AK17" s="276"/>
      <c r="AL17" s="276"/>
    </row>
    <row r="18" spans="1:38" ht="15.75" customHeight="1" x14ac:dyDescent="0.25">
      <c r="A18" s="525">
        <v>45062</v>
      </c>
      <c r="B18" s="365">
        <v>283000</v>
      </c>
      <c r="C18" s="309"/>
      <c r="D18" s="309"/>
      <c r="E18" s="309"/>
      <c r="F18" s="309"/>
      <c r="G18" s="366">
        <f t="shared" si="0"/>
        <v>273000</v>
      </c>
      <c r="H18" s="309">
        <f>'Détail Dépenses'!Y31</f>
        <v>313250</v>
      </c>
      <c r="I18" s="367">
        <f t="shared" si="1"/>
        <v>1.1474358974358974</v>
      </c>
      <c r="J18" s="309">
        <f t="shared" si="2"/>
        <v>-40250</v>
      </c>
      <c r="K18" s="312">
        <v>-40250</v>
      </c>
      <c r="L18" s="312">
        <v>0</v>
      </c>
      <c r="M18" s="302">
        <f>M17</f>
        <v>1498100</v>
      </c>
      <c r="N18" s="368"/>
      <c r="O18" s="369">
        <v>8000</v>
      </c>
      <c r="P18" s="315"/>
      <c r="Q18" s="315"/>
      <c r="R18" s="315"/>
      <c r="S18" s="315"/>
      <c r="T18" s="315"/>
      <c r="U18" s="315">
        <v>2000</v>
      </c>
      <c r="V18" s="316"/>
      <c r="W18" s="318"/>
      <c r="X18" s="318"/>
      <c r="Y18" s="319">
        <f t="shared" si="4"/>
        <v>10000</v>
      </c>
      <c r="Z18" s="370"/>
      <c r="AA18" s="318"/>
      <c r="AB18" s="319">
        <f t="shared" si="5"/>
        <v>0</v>
      </c>
      <c r="AC18" s="201"/>
      <c r="AD18" s="276"/>
      <c r="AE18" s="276"/>
      <c r="AF18" s="276"/>
      <c r="AG18" s="276"/>
      <c r="AH18" s="276"/>
      <c r="AI18" s="276"/>
      <c r="AJ18" s="276"/>
      <c r="AK18" s="276"/>
      <c r="AL18" s="276"/>
    </row>
    <row r="19" spans="1:38" ht="15.75" customHeight="1" x14ac:dyDescent="0.25">
      <c r="A19" s="525">
        <v>45063</v>
      </c>
      <c r="B19" s="365">
        <v>1083000</v>
      </c>
      <c r="C19" s="309"/>
      <c r="D19" s="309"/>
      <c r="E19" s="309"/>
      <c r="F19" s="309">
        <v>20000</v>
      </c>
      <c r="G19" s="366">
        <f t="shared" si="0"/>
        <v>931000</v>
      </c>
      <c r="H19" s="309">
        <f>'Détail Dépenses'!Y32</f>
        <v>406525</v>
      </c>
      <c r="I19" s="360">
        <f t="shared" si="1"/>
        <v>0.43665413533834585</v>
      </c>
      <c r="J19" s="309">
        <f>G19+J18-H19</f>
        <v>484225</v>
      </c>
      <c r="K19" s="312">
        <v>427600</v>
      </c>
      <c r="L19" s="312">
        <f t="shared" ref="L19:L25" si="9">K19-J19</f>
        <v>-56625</v>
      </c>
      <c r="M19" s="302">
        <f t="shared" ref="M19:M33" si="10">M18+K19</f>
        <v>1925700</v>
      </c>
      <c r="N19" s="368"/>
      <c r="O19" s="369">
        <v>1500</v>
      </c>
      <c r="P19" s="315">
        <v>114000</v>
      </c>
      <c r="Q19" s="315"/>
      <c r="R19" s="315">
        <v>44500</v>
      </c>
      <c r="S19" s="315"/>
      <c r="T19" s="315"/>
      <c r="U19" s="315">
        <v>5500</v>
      </c>
      <c r="V19" s="316">
        <v>4000</v>
      </c>
      <c r="W19" s="318">
        <v>2500</v>
      </c>
      <c r="X19" s="318"/>
      <c r="Y19" s="319">
        <f t="shared" si="4"/>
        <v>172000</v>
      </c>
      <c r="Z19" s="370"/>
      <c r="AA19" s="318"/>
      <c r="AB19" s="319">
        <f t="shared" si="5"/>
        <v>0</v>
      </c>
      <c r="AC19" s="201"/>
      <c r="AD19" s="276"/>
      <c r="AE19" s="276"/>
      <c r="AF19" s="276"/>
      <c r="AG19" s="276"/>
      <c r="AH19" s="276"/>
      <c r="AI19" s="276"/>
      <c r="AJ19" s="276"/>
      <c r="AK19" s="276"/>
      <c r="AL19" s="276"/>
    </row>
    <row r="20" spans="1:38" ht="15.75" customHeight="1" x14ac:dyDescent="0.25">
      <c r="A20" s="525">
        <v>45064</v>
      </c>
      <c r="B20" s="365">
        <v>455000</v>
      </c>
      <c r="C20" s="309"/>
      <c r="D20" s="309"/>
      <c r="E20" s="309"/>
      <c r="F20" s="309"/>
      <c r="G20" s="366">
        <f t="shared" si="0"/>
        <v>419000</v>
      </c>
      <c r="H20" s="309">
        <f>'Détail Dépenses'!Y33</f>
        <v>187950</v>
      </c>
      <c r="I20" s="367">
        <f t="shared" si="1"/>
        <v>0.44856801909307875</v>
      </c>
      <c r="J20" s="309">
        <f t="shared" ref="J20:J27" si="11">G20-H20</f>
        <v>231050</v>
      </c>
      <c r="K20" s="312">
        <v>232000</v>
      </c>
      <c r="L20" s="312">
        <f t="shared" si="9"/>
        <v>950</v>
      </c>
      <c r="M20" s="302">
        <f t="shared" si="10"/>
        <v>2157700</v>
      </c>
      <c r="N20" s="368"/>
      <c r="O20" s="369">
        <v>7000</v>
      </c>
      <c r="P20" s="315">
        <v>27000</v>
      </c>
      <c r="Q20" s="315"/>
      <c r="R20" s="315"/>
      <c r="S20" s="315"/>
      <c r="T20" s="315"/>
      <c r="U20" s="315">
        <v>2000</v>
      </c>
      <c r="V20" s="316"/>
      <c r="W20" s="318"/>
      <c r="X20" s="318"/>
      <c r="Y20" s="319">
        <f t="shared" si="4"/>
        <v>36000</v>
      </c>
      <c r="Z20" s="370"/>
      <c r="AA20" s="318"/>
      <c r="AB20" s="319">
        <f t="shared" si="5"/>
        <v>0</v>
      </c>
      <c r="AC20" s="201"/>
      <c r="AD20" s="276"/>
      <c r="AE20" s="276"/>
      <c r="AF20" s="276"/>
      <c r="AG20" s="276"/>
      <c r="AH20" s="276"/>
      <c r="AI20" s="276"/>
      <c r="AJ20" s="276"/>
      <c r="AK20" s="276"/>
      <c r="AL20" s="276"/>
    </row>
    <row r="21" spans="1:38" ht="15.75" customHeight="1" x14ac:dyDescent="0.25">
      <c r="A21" s="525">
        <v>45065</v>
      </c>
      <c r="B21" s="365">
        <v>470500</v>
      </c>
      <c r="C21" s="309"/>
      <c r="D21" s="309"/>
      <c r="E21" s="309"/>
      <c r="F21" s="309"/>
      <c r="G21" s="366">
        <f t="shared" si="0"/>
        <v>375000</v>
      </c>
      <c r="H21" s="309">
        <f>'Détail Dépenses'!Y34</f>
        <v>360050</v>
      </c>
      <c r="I21" s="360">
        <f t="shared" si="1"/>
        <v>0.96013333333333328</v>
      </c>
      <c r="J21" s="309">
        <f t="shared" si="11"/>
        <v>14950</v>
      </c>
      <c r="K21" s="312">
        <v>15000</v>
      </c>
      <c r="L21" s="312">
        <f t="shared" si="9"/>
        <v>50</v>
      </c>
      <c r="M21" s="302">
        <f t="shared" si="10"/>
        <v>2172700</v>
      </c>
      <c r="N21" s="368"/>
      <c r="O21" s="369"/>
      <c r="P21" s="315">
        <v>92000</v>
      </c>
      <c r="Q21" s="315"/>
      <c r="R21" s="315"/>
      <c r="S21" s="315"/>
      <c r="T21" s="315"/>
      <c r="U21" s="315">
        <v>3500</v>
      </c>
      <c r="V21" s="316"/>
      <c r="W21" s="318"/>
      <c r="X21" s="318"/>
      <c r="Y21" s="319">
        <f t="shared" si="4"/>
        <v>95500</v>
      </c>
      <c r="Z21" s="370"/>
      <c r="AA21" s="318"/>
      <c r="AB21" s="319">
        <f t="shared" si="5"/>
        <v>0</v>
      </c>
      <c r="AC21" s="201"/>
      <c r="AD21" s="276"/>
      <c r="AE21" s="276"/>
      <c r="AF21" s="276"/>
      <c r="AG21" s="276"/>
      <c r="AH21" s="276"/>
      <c r="AI21" s="276"/>
      <c r="AJ21" s="276"/>
      <c r="AK21" s="276"/>
      <c r="AL21" s="276"/>
    </row>
    <row r="22" spans="1:38" ht="15.75" customHeight="1" x14ac:dyDescent="0.25">
      <c r="A22" s="525">
        <v>45066</v>
      </c>
      <c r="B22" s="365">
        <v>770250</v>
      </c>
      <c r="C22" s="309"/>
      <c r="D22" s="309"/>
      <c r="E22" s="309"/>
      <c r="F22" s="309"/>
      <c r="G22" s="366">
        <f t="shared" si="0"/>
        <v>745250</v>
      </c>
      <c r="H22" s="309">
        <f>'Détail Dépenses'!Y35</f>
        <v>125900</v>
      </c>
      <c r="I22" s="367">
        <f t="shared" si="1"/>
        <v>0.16893659845689366</v>
      </c>
      <c r="J22" s="309">
        <f t="shared" si="11"/>
        <v>619350</v>
      </c>
      <c r="K22" s="312">
        <v>620000</v>
      </c>
      <c r="L22" s="312">
        <f t="shared" si="9"/>
        <v>650</v>
      </c>
      <c r="M22" s="302">
        <f t="shared" si="10"/>
        <v>2792700</v>
      </c>
      <c r="N22" s="368"/>
      <c r="O22" s="369">
        <v>18500</v>
      </c>
      <c r="P22" s="315"/>
      <c r="Q22" s="315"/>
      <c r="R22" s="315"/>
      <c r="S22" s="315"/>
      <c r="T22" s="315"/>
      <c r="U22" s="315">
        <v>6500</v>
      </c>
      <c r="V22" s="316"/>
      <c r="W22" s="318"/>
      <c r="X22" s="318"/>
      <c r="Y22" s="319">
        <f t="shared" si="4"/>
        <v>25000</v>
      </c>
      <c r="Z22" s="370"/>
      <c r="AA22" s="318"/>
      <c r="AB22" s="319">
        <f t="shared" si="5"/>
        <v>0</v>
      </c>
      <c r="AC22" s="201"/>
      <c r="AD22" s="276"/>
      <c r="AE22" s="276"/>
      <c r="AF22" s="276"/>
      <c r="AG22" s="276"/>
      <c r="AH22" s="276"/>
      <c r="AI22" s="276"/>
      <c r="AJ22" s="276"/>
      <c r="AK22" s="276"/>
      <c r="AL22" s="276"/>
    </row>
    <row r="23" spans="1:38" ht="15.75" customHeight="1" x14ac:dyDescent="0.25">
      <c r="A23" s="526">
        <v>45067</v>
      </c>
      <c r="B23" s="371">
        <v>276500</v>
      </c>
      <c r="C23" s="320"/>
      <c r="D23" s="320"/>
      <c r="E23" s="320"/>
      <c r="F23" s="320"/>
      <c r="G23" s="372">
        <f t="shared" si="0"/>
        <v>276500</v>
      </c>
      <c r="H23" s="320">
        <f>'Détail Dépenses'!Y36</f>
        <v>403772.26</v>
      </c>
      <c r="I23" s="360">
        <f t="shared" si="1"/>
        <v>1.4602975045207958</v>
      </c>
      <c r="J23" s="320">
        <f t="shared" si="11"/>
        <v>-127272.26000000001</v>
      </c>
      <c r="K23" s="323">
        <f>53000-42000-140000</f>
        <v>-129000</v>
      </c>
      <c r="L23" s="323">
        <f t="shared" si="9"/>
        <v>-1727.7399999999907</v>
      </c>
      <c r="M23" s="324">
        <f t="shared" si="10"/>
        <v>2663700</v>
      </c>
      <c r="N23" s="373"/>
      <c r="O23" s="374"/>
      <c r="P23" s="327"/>
      <c r="Q23" s="327"/>
      <c r="R23" s="327"/>
      <c r="S23" s="327"/>
      <c r="T23" s="327"/>
      <c r="U23" s="327"/>
      <c r="V23" s="328"/>
      <c r="W23" s="329"/>
      <c r="X23" s="329"/>
      <c r="Y23" s="319">
        <f t="shared" si="4"/>
        <v>0</v>
      </c>
      <c r="Z23" s="375"/>
      <c r="AA23" s="329"/>
      <c r="AB23" s="319">
        <f t="shared" si="5"/>
        <v>0</v>
      </c>
      <c r="AC23" s="201"/>
      <c r="AD23" s="276"/>
      <c r="AE23" s="276"/>
      <c r="AF23" s="276"/>
      <c r="AG23" s="276"/>
      <c r="AH23" s="276"/>
      <c r="AI23" s="276"/>
      <c r="AJ23" s="276"/>
      <c r="AK23" s="276"/>
      <c r="AL23" s="276"/>
    </row>
    <row r="24" spans="1:38" ht="15.75" customHeight="1" x14ac:dyDescent="0.25">
      <c r="A24" s="536">
        <v>45068</v>
      </c>
      <c r="B24" s="358">
        <v>214150</v>
      </c>
      <c r="C24" s="243"/>
      <c r="D24" s="243"/>
      <c r="E24" s="243"/>
      <c r="F24" s="243"/>
      <c r="G24" s="359">
        <f t="shared" si="0"/>
        <v>214150</v>
      </c>
      <c r="H24" s="243">
        <f>'Détail Dépenses'!Y37</f>
        <v>805850</v>
      </c>
      <c r="I24" s="367">
        <f t="shared" si="1"/>
        <v>3.7630165771655384</v>
      </c>
      <c r="J24" s="243">
        <f t="shared" si="11"/>
        <v>-591700</v>
      </c>
      <c r="K24" s="332">
        <f>139050-730550</f>
        <v>-591500</v>
      </c>
      <c r="L24" s="332">
        <f t="shared" si="9"/>
        <v>200</v>
      </c>
      <c r="M24" s="361">
        <f t="shared" si="10"/>
        <v>2072200</v>
      </c>
      <c r="N24" s="376"/>
      <c r="O24" s="334"/>
      <c r="P24" s="335"/>
      <c r="Q24" s="335"/>
      <c r="R24" s="335"/>
      <c r="S24" s="335"/>
      <c r="T24" s="335"/>
      <c r="U24" s="335"/>
      <c r="V24" s="336"/>
      <c r="W24" s="337"/>
      <c r="X24" s="337"/>
      <c r="Y24" s="319">
        <f t="shared" si="4"/>
        <v>0</v>
      </c>
      <c r="Z24" s="364"/>
      <c r="AA24" s="337"/>
      <c r="AB24" s="319">
        <f t="shared" si="5"/>
        <v>0</v>
      </c>
      <c r="AC24" s="201"/>
      <c r="AD24" s="276"/>
      <c r="AE24" s="276"/>
      <c r="AF24" s="276"/>
      <c r="AG24" s="276"/>
      <c r="AH24" s="276"/>
      <c r="AI24" s="276"/>
      <c r="AJ24" s="276"/>
      <c r="AK24" s="276"/>
      <c r="AL24" s="276"/>
    </row>
    <row r="25" spans="1:38" ht="15.75" customHeight="1" x14ac:dyDescent="0.25">
      <c r="A25" s="537">
        <v>45069</v>
      </c>
      <c r="B25" s="365">
        <v>476500</v>
      </c>
      <c r="C25" s="309"/>
      <c r="D25" s="309"/>
      <c r="E25" s="309"/>
      <c r="F25" s="309"/>
      <c r="G25" s="377">
        <f t="shared" si="0"/>
        <v>446500</v>
      </c>
      <c r="H25" s="309">
        <f>'Détail Dépenses'!Y38</f>
        <v>63000</v>
      </c>
      <c r="I25" s="360">
        <f t="shared" si="1"/>
        <v>0.14109742441209405</v>
      </c>
      <c r="J25" s="309">
        <f t="shared" si="11"/>
        <v>383500</v>
      </c>
      <c r="K25" s="312">
        <f>383500</f>
        <v>383500</v>
      </c>
      <c r="L25" s="312">
        <f t="shared" si="9"/>
        <v>0</v>
      </c>
      <c r="M25" s="302">
        <f t="shared" si="10"/>
        <v>2455700</v>
      </c>
      <c r="N25" s="313"/>
      <c r="O25" s="317">
        <v>16000</v>
      </c>
      <c r="P25" s="315"/>
      <c r="Q25" s="315">
        <v>14000</v>
      </c>
      <c r="R25" s="315"/>
      <c r="S25" s="315"/>
      <c r="T25" s="315"/>
      <c r="U25" s="315"/>
      <c r="V25" s="316"/>
      <c r="W25" s="318"/>
      <c r="X25" s="318"/>
      <c r="Y25" s="319">
        <f t="shared" si="4"/>
        <v>30000</v>
      </c>
      <c r="Z25" s="370"/>
      <c r="AA25" s="318"/>
      <c r="AB25" s="319">
        <f t="shared" si="5"/>
        <v>0</v>
      </c>
      <c r="AC25" s="201"/>
      <c r="AD25" s="276"/>
      <c r="AE25" s="276"/>
      <c r="AF25" s="276"/>
      <c r="AG25" s="276"/>
      <c r="AH25" s="276"/>
      <c r="AI25" s="276"/>
      <c r="AJ25" s="276"/>
      <c r="AK25" s="276"/>
      <c r="AL25" s="276"/>
    </row>
    <row r="26" spans="1:38" ht="15.75" customHeight="1" x14ac:dyDescent="0.25">
      <c r="A26" s="525">
        <v>45070</v>
      </c>
      <c r="B26" s="365">
        <v>190600</v>
      </c>
      <c r="C26" s="309"/>
      <c r="D26" s="309"/>
      <c r="E26" s="309"/>
      <c r="F26" s="309"/>
      <c r="G26" s="366">
        <f>B26-4000</f>
        <v>186600</v>
      </c>
      <c r="H26" s="309">
        <f>'Détail Dépenses'!Y39</f>
        <v>323850</v>
      </c>
      <c r="I26" s="367">
        <f t="shared" si="1"/>
        <v>1.7355305466237942</v>
      </c>
      <c r="J26" s="309">
        <f t="shared" si="11"/>
        <v>-137250</v>
      </c>
      <c r="K26" s="312">
        <f>-132250-5000</f>
        <v>-137250</v>
      </c>
      <c r="L26" s="312">
        <v>0</v>
      </c>
      <c r="M26" s="302">
        <f t="shared" si="10"/>
        <v>2318450</v>
      </c>
      <c r="N26" s="313"/>
      <c r="O26" s="317">
        <f>46000+4000+8500</f>
        <v>58500</v>
      </c>
      <c r="P26" s="315">
        <v>18000</v>
      </c>
      <c r="Q26" s="315">
        <v>13000</v>
      </c>
      <c r="R26" s="315"/>
      <c r="S26" s="315"/>
      <c r="T26" s="315"/>
      <c r="U26" s="315">
        <f>7500</f>
        <v>7500</v>
      </c>
      <c r="V26" s="316"/>
      <c r="W26" s="318"/>
      <c r="X26" s="318">
        <f>8000</f>
        <v>8000</v>
      </c>
      <c r="Y26" s="319">
        <f t="shared" si="4"/>
        <v>105000</v>
      </c>
      <c r="Z26" s="370"/>
      <c r="AA26" s="318">
        <v>500</v>
      </c>
      <c r="AB26" s="319">
        <f t="shared" si="5"/>
        <v>500</v>
      </c>
      <c r="AC26" s="201"/>
      <c r="AD26" s="276"/>
      <c r="AE26" s="276"/>
      <c r="AF26" s="276"/>
      <c r="AG26" s="276"/>
      <c r="AH26" s="276"/>
      <c r="AI26" s="276"/>
      <c r="AJ26" s="276"/>
      <c r="AK26" s="276"/>
      <c r="AL26" s="276"/>
    </row>
    <row r="27" spans="1:38" ht="15.75" customHeight="1" x14ac:dyDescent="0.25">
      <c r="A27" s="525">
        <v>45071</v>
      </c>
      <c r="B27" s="365">
        <f>245500</f>
        <v>245500</v>
      </c>
      <c r="C27" s="309"/>
      <c r="D27" s="309"/>
      <c r="E27" s="309"/>
      <c r="F27" s="309"/>
      <c r="G27" s="366">
        <f t="shared" ref="G27:G30" si="12">(B27+C27+D27+E27+F27)</f>
        <v>245500</v>
      </c>
      <c r="H27" s="309">
        <f>'Détail Dépenses'!Y40</f>
        <v>127600</v>
      </c>
      <c r="I27" s="360">
        <f t="shared" si="1"/>
        <v>0.51975560081466399</v>
      </c>
      <c r="J27" s="309">
        <f t="shared" si="11"/>
        <v>117900</v>
      </c>
      <c r="K27" s="312">
        <v>-14350</v>
      </c>
      <c r="L27" s="312">
        <v>0</v>
      </c>
      <c r="M27" s="302">
        <f t="shared" si="10"/>
        <v>2304100</v>
      </c>
      <c r="N27" s="313"/>
      <c r="O27" s="317"/>
      <c r="P27" s="315">
        <v>62500</v>
      </c>
      <c r="Q27" s="315">
        <v>32000</v>
      </c>
      <c r="R27" s="315"/>
      <c r="S27" s="315"/>
      <c r="T27" s="315"/>
      <c r="U27" s="315"/>
      <c r="V27" s="316">
        <v>5000</v>
      </c>
      <c r="W27" s="318"/>
      <c r="X27" s="318"/>
      <c r="Y27" s="319">
        <f t="shared" si="4"/>
        <v>99500</v>
      </c>
      <c r="Z27" s="370">
        <v>2000</v>
      </c>
      <c r="AA27" s="318">
        <v>500</v>
      </c>
      <c r="AB27" s="319">
        <f t="shared" si="5"/>
        <v>2500</v>
      </c>
      <c r="AC27" s="201"/>
      <c r="AD27" s="276"/>
      <c r="AE27" s="276"/>
      <c r="AF27" s="276"/>
      <c r="AG27" s="276"/>
      <c r="AH27" s="276"/>
      <c r="AI27" s="276"/>
      <c r="AJ27" s="276"/>
      <c r="AK27" s="276"/>
      <c r="AL27" s="276"/>
    </row>
    <row r="28" spans="1:38" ht="15.75" customHeight="1" x14ac:dyDescent="0.25">
      <c r="A28" s="525">
        <v>45072</v>
      </c>
      <c r="B28" s="365">
        <v>302000</v>
      </c>
      <c r="C28" s="309"/>
      <c r="D28" s="309"/>
      <c r="E28" s="309"/>
      <c r="F28" s="309"/>
      <c r="G28" s="366">
        <f t="shared" si="12"/>
        <v>302000</v>
      </c>
      <c r="H28" s="309">
        <f>'Détail Dépenses'!Y41</f>
        <v>122650</v>
      </c>
      <c r="I28" s="367">
        <f t="shared" si="1"/>
        <v>0.40612582781456952</v>
      </c>
      <c r="J28" s="309">
        <f>(G28-H28)-14350</f>
        <v>165000</v>
      </c>
      <c r="K28" s="312">
        <v>138450</v>
      </c>
      <c r="L28" s="312">
        <f>K28-J28</f>
        <v>-26550</v>
      </c>
      <c r="M28" s="302">
        <f t="shared" si="10"/>
        <v>2442550</v>
      </c>
      <c r="N28" s="313"/>
      <c r="O28" s="317">
        <v>6000</v>
      </c>
      <c r="P28" s="315">
        <f>12500+45000</f>
        <v>57500</v>
      </c>
      <c r="Q28" s="315">
        <v>28000</v>
      </c>
      <c r="R28" s="315"/>
      <c r="S28" s="315"/>
      <c r="T28" s="315"/>
      <c r="U28" s="315"/>
      <c r="V28" s="316"/>
      <c r="W28" s="318"/>
      <c r="X28" s="318"/>
      <c r="Y28" s="319">
        <f t="shared" si="4"/>
        <v>91500</v>
      </c>
      <c r="Z28" s="370">
        <f>2000+500</f>
        <v>2500</v>
      </c>
      <c r="AA28" s="318">
        <v>500</v>
      </c>
      <c r="AB28" s="319">
        <f t="shared" si="5"/>
        <v>3000</v>
      </c>
      <c r="AC28" s="201"/>
      <c r="AD28" s="276"/>
      <c r="AE28" s="276"/>
      <c r="AF28" s="276"/>
      <c r="AG28" s="276"/>
      <c r="AH28" s="276"/>
      <c r="AI28" s="276"/>
      <c r="AJ28" s="276"/>
      <c r="AK28" s="276"/>
      <c r="AL28" s="276"/>
    </row>
    <row r="29" spans="1:38" ht="15.75" customHeight="1" x14ac:dyDescent="0.25">
      <c r="A29" s="525">
        <v>45073</v>
      </c>
      <c r="B29" s="365">
        <f>481500-E29</f>
        <v>479000</v>
      </c>
      <c r="C29" s="309"/>
      <c r="D29" s="309"/>
      <c r="E29" s="309">
        <v>2500</v>
      </c>
      <c r="F29" s="309"/>
      <c r="G29" s="366">
        <f t="shared" si="12"/>
        <v>481500</v>
      </c>
      <c r="H29" s="309">
        <f>'Détail Dépenses'!Y42</f>
        <v>176750</v>
      </c>
      <c r="I29" s="360">
        <f t="shared" si="1"/>
        <v>0.36708203530633438</v>
      </c>
      <c r="J29" s="309">
        <f t="shared" ref="J29:J30" si="13">G29-H29</f>
        <v>304750</v>
      </c>
      <c r="K29" s="312">
        <v>302250</v>
      </c>
      <c r="L29" s="312"/>
      <c r="M29" s="302">
        <f t="shared" si="10"/>
        <v>2744800</v>
      </c>
      <c r="N29" s="313"/>
      <c r="O29" s="317">
        <v>7500</v>
      </c>
      <c r="P29" s="315"/>
      <c r="Q29" s="315">
        <v>90500</v>
      </c>
      <c r="R29" s="315"/>
      <c r="S29" s="315"/>
      <c r="T29" s="315"/>
      <c r="U29" s="315">
        <v>11500</v>
      </c>
      <c r="V29" s="316"/>
      <c r="W29" s="318"/>
      <c r="X29" s="318"/>
      <c r="Y29" s="319">
        <f t="shared" si="4"/>
        <v>109500</v>
      </c>
      <c r="Z29" s="370">
        <v>2000</v>
      </c>
      <c r="AA29" s="318">
        <v>1000</v>
      </c>
      <c r="AB29" s="319">
        <f t="shared" si="5"/>
        <v>3000</v>
      </c>
      <c r="AC29" s="201"/>
      <c r="AD29" s="276"/>
      <c r="AE29" s="276"/>
      <c r="AF29" s="276"/>
      <c r="AG29" s="276"/>
      <c r="AH29" s="276"/>
      <c r="AI29" s="276"/>
      <c r="AJ29" s="276"/>
      <c r="AK29" s="276"/>
      <c r="AL29" s="276"/>
    </row>
    <row r="30" spans="1:38" ht="15.75" customHeight="1" x14ac:dyDescent="0.25">
      <c r="A30" s="526">
        <v>45074</v>
      </c>
      <c r="B30" s="371">
        <v>615250</v>
      </c>
      <c r="C30" s="320"/>
      <c r="D30" s="320"/>
      <c r="E30" s="320"/>
      <c r="F30" s="320"/>
      <c r="G30" s="372">
        <f t="shared" si="12"/>
        <v>615250</v>
      </c>
      <c r="H30" s="320">
        <f>'Détail Dépenses'!Y43</f>
        <v>663600</v>
      </c>
      <c r="I30" s="367">
        <f t="shared" si="1"/>
        <v>1.0785859406745226</v>
      </c>
      <c r="J30" s="320">
        <f t="shared" si="13"/>
        <v>-48350</v>
      </c>
      <c r="K30" s="323">
        <f>369500-30000-142500-130000-136450-5350</f>
        <v>-74800</v>
      </c>
      <c r="L30" s="323">
        <f t="shared" ref="L30:L33" si="14">K30-J30</f>
        <v>-26450</v>
      </c>
      <c r="M30" s="324">
        <f t="shared" si="10"/>
        <v>2670000</v>
      </c>
      <c r="N30" s="325"/>
      <c r="O30" s="326">
        <v>4000</v>
      </c>
      <c r="P30" s="327"/>
      <c r="Q30" s="327">
        <f>30000+18000</f>
        <v>48000</v>
      </c>
      <c r="R30" s="327"/>
      <c r="S30" s="327"/>
      <c r="T30" s="327"/>
      <c r="U30" s="327">
        <v>7500</v>
      </c>
      <c r="V30" s="328"/>
      <c r="W30" s="329"/>
      <c r="X30" s="329"/>
      <c r="Y30" s="319">
        <f t="shared" si="4"/>
        <v>59500</v>
      </c>
      <c r="Z30" s="375">
        <v>2000</v>
      </c>
      <c r="AA30" s="329"/>
      <c r="AB30" s="319">
        <f t="shared" si="5"/>
        <v>2000</v>
      </c>
      <c r="AC30" s="201"/>
      <c r="AD30" s="276"/>
      <c r="AE30" s="276"/>
      <c r="AF30" s="276"/>
      <c r="AG30" s="276"/>
      <c r="AH30" s="276"/>
      <c r="AI30" s="276"/>
      <c r="AJ30" s="276"/>
      <c r="AK30" s="276"/>
      <c r="AL30" s="276"/>
    </row>
    <row r="31" spans="1:38" ht="15.75" customHeight="1" x14ac:dyDescent="0.25">
      <c r="A31" s="536">
        <v>45075</v>
      </c>
      <c r="B31" s="358">
        <f>214500-E31</f>
        <v>203000</v>
      </c>
      <c r="C31" s="243"/>
      <c r="D31" s="243"/>
      <c r="E31" s="243">
        <v>11500</v>
      </c>
      <c r="F31" s="243"/>
      <c r="G31" s="359">
        <f t="shared" ref="G31:G33" si="15">(B31+E31)</f>
        <v>214500</v>
      </c>
      <c r="H31" s="243">
        <f>'Détail Dépenses'!Y44</f>
        <v>135800</v>
      </c>
      <c r="I31" s="360">
        <f t="shared" si="1"/>
        <v>0.63310023310023311</v>
      </c>
      <c r="J31" s="243">
        <f>G31-H31-E31</f>
        <v>67200</v>
      </c>
      <c r="K31" s="332">
        <v>67200</v>
      </c>
      <c r="L31" s="332">
        <f t="shared" si="14"/>
        <v>0</v>
      </c>
      <c r="M31" s="361">
        <f t="shared" si="10"/>
        <v>2737200</v>
      </c>
      <c r="N31" s="376"/>
      <c r="O31" s="334">
        <v>6500</v>
      </c>
      <c r="P31" s="335"/>
      <c r="Q31" s="335"/>
      <c r="R31" s="335"/>
      <c r="S31" s="335"/>
      <c r="T31" s="335"/>
      <c r="U31" s="335">
        <v>2000</v>
      </c>
      <c r="V31" s="336"/>
      <c r="W31" s="337"/>
      <c r="X31" s="337"/>
      <c r="Y31" s="319">
        <f t="shared" si="4"/>
        <v>8500</v>
      </c>
      <c r="Z31" s="364">
        <v>500</v>
      </c>
      <c r="AA31" s="337"/>
      <c r="AB31" s="319">
        <f t="shared" si="5"/>
        <v>500</v>
      </c>
      <c r="AC31" s="201"/>
      <c r="AD31" s="276"/>
      <c r="AE31" s="276"/>
      <c r="AF31" s="276"/>
      <c r="AG31" s="276"/>
      <c r="AH31" s="276"/>
      <c r="AI31" s="276"/>
      <c r="AJ31" s="276"/>
      <c r="AK31" s="276"/>
      <c r="AL31" s="276"/>
    </row>
    <row r="32" spans="1:38" ht="15.75" customHeight="1" x14ac:dyDescent="0.25">
      <c r="A32" s="525">
        <v>45076</v>
      </c>
      <c r="B32" s="365">
        <v>209250</v>
      </c>
      <c r="C32" s="309"/>
      <c r="D32" s="309"/>
      <c r="E32" s="309"/>
      <c r="F32" s="309"/>
      <c r="G32" s="366">
        <f t="shared" si="15"/>
        <v>209250</v>
      </c>
      <c r="H32" s="309">
        <f>'Détail Dépenses'!Y45</f>
        <v>111450</v>
      </c>
      <c r="I32" s="378">
        <f t="shared" si="1"/>
        <v>0.53261648745519719</v>
      </c>
      <c r="J32" s="309">
        <f t="shared" ref="J32:J33" si="16">G32-H32</f>
        <v>97800</v>
      </c>
      <c r="K32" s="312">
        <v>95200</v>
      </c>
      <c r="L32" s="312">
        <f t="shared" si="14"/>
        <v>-2600</v>
      </c>
      <c r="M32" s="302">
        <f t="shared" si="10"/>
        <v>2832400</v>
      </c>
      <c r="N32" s="313"/>
      <c r="O32" s="379">
        <v>12000</v>
      </c>
      <c r="P32" s="380"/>
      <c r="Q32" s="380">
        <v>11000</v>
      </c>
      <c r="R32" s="380"/>
      <c r="S32" s="380"/>
      <c r="T32" s="380"/>
      <c r="U32" s="380">
        <f>1000+4500</f>
        <v>5500</v>
      </c>
      <c r="V32" s="381"/>
      <c r="W32" s="382"/>
      <c r="X32" s="382"/>
      <c r="Y32" s="319">
        <f t="shared" si="4"/>
        <v>28500</v>
      </c>
      <c r="Z32" s="383">
        <v>1000</v>
      </c>
      <c r="AA32" s="318">
        <v>1500</v>
      </c>
      <c r="AB32" s="319">
        <f t="shared" si="5"/>
        <v>2500</v>
      </c>
      <c r="AC32" s="201"/>
      <c r="AD32" s="276"/>
      <c r="AE32" s="276"/>
      <c r="AF32" s="276"/>
      <c r="AG32" s="276"/>
      <c r="AH32" s="276"/>
      <c r="AI32" s="276"/>
      <c r="AJ32" s="276"/>
      <c r="AK32" s="276"/>
      <c r="AL32" s="276"/>
    </row>
    <row r="33" spans="1:38" ht="16.5" customHeight="1" x14ac:dyDescent="0.25">
      <c r="A33" s="526">
        <v>45077</v>
      </c>
      <c r="B33" s="371">
        <v>494250</v>
      </c>
      <c r="C33" s="323"/>
      <c r="D33" s="323"/>
      <c r="E33" s="323"/>
      <c r="F33" s="323"/>
      <c r="G33" s="372">
        <f t="shared" si="15"/>
        <v>494250</v>
      </c>
      <c r="H33" s="320">
        <f>'Détail Dépenses'!Y46</f>
        <v>2530650</v>
      </c>
      <c r="I33" s="367">
        <f t="shared" si="1"/>
        <v>5.120182094081942</v>
      </c>
      <c r="J33" s="320">
        <f t="shared" si="16"/>
        <v>-2036400</v>
      </c>
      <c r="K33" s="320">
        <f>409000-300000-685000-265000-170000-70000-100000-80000-96000-40000-85150-54000-200000</f>
        <v>-1736150</v>
      </c>
      <c r="L33" s="323">
        <f t="shared" si="14"/>
        <v>300250</v>
      </c>
      <c r="M33" s="324">
        <f t="shared" si="10"/>
        <v>1096250</v>
      </c>
      <c r="N33" s="325"/>
      <c r="O33" s="384">
        <v>8000</v>
      </c>
      <c r="P33" s="385">
        <v>137000</v>
      </c>
      <c r="Q33" s="385"/>
      <c r="R33" s="385"/>
      <c r="S33" s="385"/>
      <c r="T33" s="385">
        <v>79500</v>
      </c>
      <c r="U33" s="385">
        <v>6000</v>
      </c>
      <c r="V33" s="386"/>
      <c r="W33" s="387"/>
      <c r="X33" s="387"/>
      <c r="Y33" s="319">
        <f t="shared" si="4"/>
        <v>230500</v>
      </c>
      <c r="Z33" s="388"/>
      <c r="AA33" s="329">
        <v>5500</v>
      </c>
      <c r="AB33" s="319">
        <f t="shared" si="5"/>
        <v>5500</v>
      </c>
      <c r="AC33" s="201"/>
      <c r="AD33" s="276"/>
      <c r="AE33" s="276"/>
      <c r="AF33" s="276"/>
      <c r="AG33" s="276"/>
      <c r="AH33" s="276"/>
      <c r="AI33" s="276"/>
      <c r="AJ33" s="276"/>
      <c r="AK33" s="276"/>
      <c r="AL33" s="276"/>
    </row>
    <row r="34" spans="1:38" ht="16.5" customHeight="1" x14ac:dyDescent="0.25">
      <c r="A34" s="538" t="s">
        <v>44</v>
      </c>
      <c r="B34" s="339">
        <f t="shared" ref="B34:H34" si="17">SUM(B3:B33)</f>
        <v>13204050</v>
      </c>
      <c r="C34" s="339">
        <f t="shared" si="17"/>
        <v>24500</v>
      </c>
      <c r="D34" s="339">
        <f t="shared" si="17"/>
        <v>0</v>
      </c>
      <c r="E34" s="339">
        <f t="shared" si="17"/>
        <v>14000</v>
      </c>
      <c r="F34" s="339">
        <f t="shared" si="17"/>
        <v>20000</v>
      </c>
      <c r="G34" s="339">
        <f t="shared" si="17"/>
        <v>12225050</v>
      </c>
      <c r="H34" s="339">
        <f t="shared" si="17"/>
        <v>11090049.656229999</v>
      </c>
      <c r="I34" s="339"/>
      <c r="J34" s="339">
        <f t="shared" ref="J34:L34" si="18">SUM(J3:J33)</f>
        <v>1068900.3437700002</v>
      </c>
      <c r="K34" s="339">
        <f t="shared" si="18"/>
        <v>963850</v>
      </c>
      <c r="L34" s="339">
        <f t="shared" si="18"/>
        <v>274072.26</v>
      </c>
      <c r="M34" s="339">
        <f>M33</f>
        <v>1096250</v>
      </c>
      <c r="N34" s="340"/>
      <c r="O34" s="341">
        <f t="shared" ref="O34:AA34" si="19">SUM(O3:O33)</f>
        <v>358500</v>
      </c>
      <c r="P34" s="341">
        <f t="shared" si="19"/>
        <v>710000</v>
      </c>
      <c r="Q34" s="341">
        <f t="shared" si="19"/>
        <v>236500</v>
      </c>
      <c r="R34" s="341">
        <f t="shared" si="19"/>
        <v>168500</v>
      </c>
      <c r="S34" s="341">
        <f t="shared" si="19"/>
        <v>0</v>
      </c>
      <c r="T34" s="341">
        <f t="shared" si="19"/>
        <v>79500</v>
      </c>
      <c r="U34" s="341">
        <f t="shared" si="19"/>
        <v>113000</v>
      </c>
      <c r="V34" s="341">
        <f t="shared" si="19"/>
        <v>25000</v>
      </c>
      <c r="W34" s="390">
        <f t="shared" si="19"/>
        <v>2500</v>
      </c>
      <c r="X34" s="390">
        <f t="shared" si="19"/>
        <v>72500</v>
      </c>
      <c r="Y34" s="390">
        <f t="shared" si="19"/>
        <v>1766000</v>
      </c>
      <c r="Z34" s="390">
        <f t="shared" si="19"/>
        <v>14000</v>
      </c>
      <c r="AA34" s="390">
        <f t="shared" si="19"/>
        <v>10000</v>
      </c>
      <c r="AB34" s="342">
        <f>Y34+Z34+AA34</f>
        <v>1790000</v>
      </c>
      <c r="AC34" s="201"/>
      <c r="AD34" s="276"/>
      <c r="AE34" s="276"/>
      <c r="AF34" s="276"/>
      <c r="AG34" s="276"/>
      <c r="AH34" s="276"/>
      <c r="AI34" s="276"/>
      <c r="AJ34" s="276"/>
      <c r="AK34" s="276"/>
      <c r="AL34" s="276"/>
    </row>
    <row r="35" spans="1:38" ht="15.75" customHeight="1" x14ac:dyDescent="0.25">
      <c r="A35" s="530"/>
      <c r="B35" s="343"/>
      <c r="C35" s="391">
        <f t="shared" ref="C35:F35" si="20">C34/$G$34</f>
        <v>2.0040817828965935E-3</v>
      </c>
      <c r="D35" s="391">
        <f t="shared" si="20"/>
        <v>0</v>
      </c>
      <c r="E35" s="391">
        <f t="shared" si="20"/>
        <v>1.1451895902266248E-3</v>
      </c>
      <c r="F35" s="391">
        <f t="shared" si="20"/>
        <v>1.6359851288951783E-3</v>
      </c>
      <c r="G35" s="391"/>
      <c r="H35" s="391">
        <f>H34/$G$34</f>
        <v>0.90715781581506816</v>
      </c>
      <c r="I35" s="391"/>
      <c r="J35" s="391">
        <f t="shared" ref="J35:M35" si="21">J34/$G$34</f>
        <v>8.7435253333933205E-2</v>
      </c>
      <c r="K35" s="391">
        <f t="shared" si="21"/>
        <v>7.8842213324280888E-2</v>
      </c>
      <c r="L35" s="391">
        <f t="shared" si="21"/>
        <v>2.2418907080134644E-2</v>
      </c>
      <c r="M35" s="391">
        <f t="shared" si="21"/>
        <v>8.9672434877566959E-2</v>
      </c>
      <c r="N35" s="340"/>
      <c r="O35" s="391">
        <f t="shared" ref="O35:AA35" si="22">O34/$AB$34</f>
        <v>0.20027932960893854</v>
      </c>
      <c r="P35" s="391">
        <f t="shared" si="22"/>
        <v>0.39664804469273746</v>
      </c>
      <c r="Q35" s="391">
        <f t="shared" si="22"/>
        <v>0.13212290502793297</v>
      </c>
      <c r="R35" s="391">
        <f t="shared" si="22"/>
        <v>9.4134078212290501E-2</v>
      </c>
      <c r="S35" s="391">
        <f t="shared" si="22"/>
        <v>0</v>
      </c>
      <c r="T35" s="391">
        <f t="shared" si="22"/>
        <v>4.4413407821229052E-2</v>
      </c>
      <c r="U35" s="391">
        <f t="shared" si="22"/>
        <v>6.3128491620111735E-2</v>
      </c>
      <c r="V35" s="391">
        <f t="shared" si="22"/>
        <v>1.3966480446927373E-2</v>
      </c>
      <c r="W35" s="391">
        <f t="shared" si="22"/>
        <v>1.3966480446927375E-3</v>
      </c>
      <c r="X35" s="391">
        <f t="shared" si="22"/>
        <v>4.0502793296089384E-2</v>
      </c>
      <c r="Y35" s="391">
        <f t="shared" si="22"/>
        <v>0.98659217877094973</v>
      </c>
      <c r="Z35" s="391">
        <f t="shared" si="22"/>
        <v>7.82122905027933E-3</v>
      </c>
      <c r="AA35" s="391">
        <f t="shared" si="22"/>
        <v>5.5865921787709499E-3</v>
      </c>
      <c r="AB35" s="340"/>
      <c r="AC35" s="201"/>
      <c r="AD35" s="276"/>
      <c r="AE35" s="276"/>
      <c r="AF35" s="276"/>
      <c r="AG35" s="276"/>
      <c r="AH35" s="276"/>
      <c r="AI35" s="276"/>
      <c r="AJ35" s="276"/>
      <c r="AK35" s="276"/>
      <c r="AL35" s="276"/>
    </row>
    <row r="36" spans="1:38" ht="15.75" customHeight="1" x14ac:dyDescent="0.25">
      <c r="A36" s="539" t="s">
        <v>157</v>
      </c>
      <c r="B36" s="393">
        <f>G34</f>
        <v>12225050</v>
      </c>
      <c r="C36" s="289"/>
      <c r="D36" s="352"/>
      <c r="E36" s="352"/>
      <c r="F36" s="352"/>
      <c r="G36" s="394"/>
      <c r="H36" s="352"/>
      <c r="I36" s="394"/>
      <c r="J36" s="395"/>
      <c r="K36" s="290"/>
      <c r="L36" s="396"/>
      <c r="M36" s="349"/>
      <c r="N36" s="350" t="s">
        <v>186</v>
      </c>
      <c r="O36" s="351">
        <f>'AVRIL 23'!N15</f>
        <v>25950.000000000004</v>
      </c>
      <c r="P36" s="351">
        <f>'AVRIL 23'!O15</f>
        <v>94950.000000000015</v>
      </c>
      <c r="Q36" s="351">
        <f>'AVRIL 23'!P15</f>
        <v>4500.0000000000009</v>
      </c>
      <c r="R36" s="347"/>
      <c r="S36" s="293"/>
      <c r="T36" s="293"/>
      <c r="U36" s="293"/>
      <c r="V36" s="293"/>
      <c r="W36" s="293"/>
      <c r="X36" s="293"/>
      <c r="Y36" s="352"/>
      <c r="Z36" s="293"/>
      <c r="AA36" s="293"/>
      <c r="AB36" s="293"/>
      <c r="AC36" s="276"/>
      <c r="AD36" s="276"/>
      <c r="AE36" s="276"/>
      <c r="AF36" s="276"/>
      <c r="AG36" s="276"/>
      <c r="AH36" s="276"/>
      <c r="AI36" s="276"/>
      <c r="AJ36" s="276"/>
      <c r="AK36" s="276"/>
      <c r="AL36" s="276"/>
    </row>
    <row r="37" spans="1:38" ht="15.75" customHeight="1" x14ac:dyDescent="0.25">
      <c r="A37" s="539" t="s">
        <v>177</v>
      </c>
      <c r="B37" s="393">
        <f>'Détail Dépenses'!D47+'Détail Dépenses'!E47+'Détail Dépenses'!G47+'Détail Dépenses'!H47+'Détail Dépenses'!I47</f>
        <v>6067100</v>
      </c>
      <c r="C37" s="397"/>
      <c r="D37" s="354"/>
      <c r="E37" s="354"/>
      <c r="F37" s="354"/>
      <c r="G37" s="398"/>
      <c r="H37" s="354"/>
      <c r="I37" s="398"/>
      <c r="J37" s="399"/>
      <c r="K37" s="400"/>
      <c r="L37" s="401"/>
      <c r="M37" s="402"/>
      <c r="N37" s="350" t="s">
        <v>187</v>
      </c>
      <c r="O37" s="403">
        <f t="shared" ref="O37:Q37" si="23">O34*(1-$N$2)</f>
        <v>107550.00000000001</v>
      </c>
      <c r="P37" s="403">
        <f t="shared" si="23"/>
        <v>213000.00000000003</v>
      </c>
      <c r="Q37" s="403">
        <f t="shared" si="23"/>
        <v>70950.000000000015</v>
      </c>
      <c r="R37" s="201"/>
      <c r="S37" s="276"/>
      <c r="T37" s="276"/>
      <c r="U37" s="276"/>
      <c r="V37" s="276"/>
      <c r="W37" s="276"/>
      <c r="X37" s="276"/>
      <c r="Y37" s="354"/>
      <c r="Z37" s="276"/>
      <c r="AA37" s="276"/>
      <c r="AB37" s="276"/>
      <c r="AC37" s="276"/>
      <c r="AD37" s="276"/>
      <c r="AE37" s="276"/>
      <c r="AF37" s="276"/>
      <c r="AG37" s="276"/>
      <c r="AH37" s="276"/>
      <c r="AI37" s="276"/>
      <c r="AJ37" s="276"/>
      <c r="AK37" s="276"/>
      <c r="AL37" s="276"/>
    </row>
    <row r="38" spans="1:38" ht="15.75" customHeight="1" x14ac:dyDescent="0.25">
      <c r="A38" s="539" t="s">
        <v>178</v>
      </c>
      <c r="B38" s="393">
        <f>G34-B37</f>
        <v>6157950</v>
      </c>
      <c r="C38" s="404"/>
      <c r="D38" s="405"/>
      <c r="E38" s="405"/>
      <c r="F38" s="405"/>
      <c r="G38" s="406"/>
      <c r="H38" s="405"/>
      <c r="I38" s="406"/>
      <c r="J38" s="407"/>
      <c r="K38" s="408"/>
      <c r="L38" s="409"/>
      <c r="M38" s="402"/>
      <c r="N38" s="410" t="s">
        <v>188</v>
      </c>
      <c r="O38" s="411">
        <f t="shared" ref="O38:Q38" si="24">SUM(O36:O37)</f>
        <v>133500.00000000003</v>
      </c>
      <c r="P38" s="411">
        <f t="shared" si="24"/>
        <v>307950.00000000006</v>
      </c>
      <c r="Q38" s="411">
        <f t="shared" si="24"/>
        <v>75450.000000000015</v>
      </c>
      <c r="R38" s="201"/>
      <c r="S38" s="276"/>
      <c r="T38" s="276"/>
      <c r="U38" s="276"/>
      <c r="V38" s="276"/>
      <c r="W38" s="276"/>
      <c r="X38" s="276"/>
      <c r="Y38" s="354"/>
      <c r="Z38" s="276"/>
      <c r="AA38" s="276"/>
      <c r="AB38" s="276"/>
      <c r="AC38" s="276"/>
      <c r="AD38" s="276"/>
      <c r="AE38" s="276"/>
      <c r="AF38" s="276"/>
      <c r="AG38" s="276"/>
      <c r="AH38" s="276"/>
      <c r="AI38" s="276"/>
      <c r="AJ38" s="276"/>
      <c r="AK38" s="276"/>
      <c r="AL38" s="276"/>
    </row>
    <row r="39" spans="1:38" ht="15.75" customHeight="1" x14ac:dyDescent="0.25">
      <c r="A39" s="539" t="s">
        <v>179</v>
      </c>
      <c r="B39" s="412">
        <f>B38/G34</f>
        <v>0.50371573122400315</v>
      </c>
      <c r="C39" s="413"/>
      <c r="D39" s="414"/>
      <c r="E39" s="414"/>
      <c r="F39" s="414"/>
      <c r="G39" s="415"/>
      <c r="H39" s="414"/>
      <c r="I39" s="415"/>
      <c r="J39" s="416"/>
      <c r="K39" s="417"/>
      <c r="L39" s="418"/>
      <c r="M39" s="419"/>
      <c r="N39" s="293"/>
      <c r="O39" s="293"/>
      <c r="P39" s="293"/>
      <c r="Q39" s="293"/>
      <c r="R39" s="276"/>
      <c r="S39" s="276"/>
      <c r="T39" s="276"/>
      <c r="U39" s="276"/>
      <c r="V39" s="276"/>
      <c r="W39" s="276"/>
      <c r="X39" s="276"/>
      <c r="Y39" s="354"/>
      <c r="Z39" s="276"/>
      <c r="AA39" s="276"/>
      <c r="AB39" s="276"/>
      <c r="AC39" s="276"/>
      <c r="AD39" s="276"/>
      <c r="AE39" s="276"/>
      <c r="AF39" s="276"/>
      <c r="AG39" s="276"/>
      <c r="AH39" s="276"/>
      <c r="AI39" s="276"/>
      <c r="AJ39" s="276"/>
      <c r="AK39" s="276"/>
      <c r="AL39" s="276"/>
    </row>
    <row r="40" spans="1:38" ht="15.75" customHeight="1" x14ac:dyDescent="0.25">
      <c r="A40" s="539" t="s">
        <v>20</v>
      </c>
      <c r="B40" s="393">
        <f>SUM('Détail Dépenses'!J47:V47)+'Détail Dépenses'!F47</f>
        <v>1931922.26</v>
      </c>
      <c r="C40" s="413"/>
      <c r="D40" s="414"/>
      <c r="E40" s="414"/>
      <c r="F40" s="414"/>
      <c r="G40" s="415"/>
      <c r="H40" s="414"/>
      <c r="I40" s="415"/>
      <c r="J40" s="416"/>
      <c r="K40" s="417"/>
      <c r="L40" s="418"/>
      <c r="M40" s="419"/>
      <c r="N40" s="276"/>
      <c r="O40" s="276"/>
      <c r="P40" s="276"/>
      <c r="Q40" s="276"/>
      <c r="R40" s="276"/>
      <c r="S40" s="276"/>
      <c r="T40" s="276"/>
      <c r="U40" s="276"/>
      <c r="V40" s="276"/>
      <c r="W40" s="276"/>
      <c r="X40" s="276"/>
      <c r="Y40" s="354"/>
      <c r="Z40" s="276"/>
      <c r="AA40" s="276"/>
      <c r="AB40" s="276"/>
      <c r="AC40" s="276"/>
      <c r="AD40" s="276"/>
      <c r="AE40" s="276"/>
      <c r="AF40" s="276"/>
      <c r="AG40" s="276"/>
      <c r="AH40" s="276"/>
      <c r="AI40" s="276"/>
      <c r="AJ40" s="276"/>
      <c r="AK40" s="276"/>
      <c r="AL40" s="276"/>
    </row>
    <row r="41" spans="1:38" ht="15.75" customHeight="1" x14ac:dyDescent="0.25">
      <c r="A41" s="539" t="s">
        <v>180</v>
      </c>
      <c r="B41" s="393">
        <f>'Détail Dépenses'!W47+'Détail Dépenses'!X47</f>
        <v>3087027.3962300001</v>
      </c>
      <c r="C41" s="413"/>
      <c r="D41" s="414"/>
      <c r="E41" s="414"/>
      <c r="F41" s="414"/>
      <c r="G41" s="415"/>
      <c r="H41" s="414"/>
      <c r="I41" s="415"/>
      <c r="J41" s="416"/>
      <c r="K41" s="417"/>
      <c r="L41" s="418"/>
      <c r="M41" s="419"/>
      <c r="N41" s="276"/>
      <c r="O41" s="276"/>
      <c r="P41" s="276"/>
      <c r="Q41" s="276"/>
      <c r="R41" s="276"/>
      <c r="S41" s="276"/>
      <c r="T41" s="276"/>
      <c r="U41" s="276"/>
      <c r="V41" s="276"/>
      <c r="W41" s="276"/>
      <c r="X41" s="276"/>
      <c r="Y41" s="354"/>
      <c r="Z41" s="276"/>
      <c r="AA41" s="276"/>
      <c r="AB41" s="276"/>
      <c r="AC41" s="276"/>
      <c r="AD41" s="276"/>
      <c r="AE41" s="276"/>
      <c r="AF41" s="276"/>
      <c r="AG41" s="276"/>
      <c r="AH41" s="276"/>
      <c r="AI41" s="276"/>
      <c r="AJ41" s="276"/>
      <c r="AK41" s="276"/>
      <c r="AL41" s="276"/>
    </row>
    <row r="42" spans="1:38" ht="15.75" customHeight="1" x14ac:dyDescent="0.25">
      <c r="A42" s="539" t="s">
        <v>181</v>
      </c>
      <c r="B42" s="393">
        <f>B38-B40-B41</f>
        <v>1139000.3437700002</v>
      </c>
      <c r="C42" s="420">
        <f>K34-B42+C34+F34</f>
        <v>-130650.34377000015</v>
      </c>
      <c r="D42" s="414"/>
      <c r="E42" s="414"/>
      <c r="F42" s="414"/>
      <c r="G42" s="415"/>
      <c r="H42" s="414"/>
      <c r="I42" s="415"/>
      <c r="J42" s="416"/>
      <c r="K42" s="417"/>
      <c r="L42" s="418"/>
      <c r="M42" s="419"/>
      <c r="N42" s="276"/>
      <c r="O42" s="276"/>
      <c r="P42" s="276"/>
      <c r="Q42" s="276"/>
      <c r="R42" s="276"/>
      <c r="S42" s="276"/>
      <c r="T42" s="276"/>
      <c r="U42" s="276"/>
      <c r="V42" s="276"/>
      <c r="W42" s="276"/>
      <c r="X42" s="276"/>
      <c r="Y42" s="354"/>
      <c r="Z42" s="276"/>
      <c r="AA42" s="276"/>
      <c r="AB42" s="276"/>
      <c r="AC42" s="276"/>
      <c r="AD42" s="276"/>
      <c r="AE42" s="276"/>
      <c r="AF42" s="276"/>
      <c r="AG42" s="276"/>
      <c r="AH42" s="276"/>
      <c r="AI42" s="276"/>
      <c r="AJ42" s="276"/>
      <c r="AK42" s="276"/>
      <c r="AL42" s="276"/>
    </row>
    <row r="43" spans="1:38" ht="15.75" customHeight="1" x14ac:dyDescent="0.25">
      <c r="A43" s="539" t="s">
        <v>182</v>
      </c>
      <c r="B43" s="412">
        <f>B42/G34</f>
        <v>9.3169381210710805E-2</v>
      </c>
      <c r="C43" s="413"/>
      <c r="D43" s="271"/>
      <c r="E43" s="414"/>
      <c r="F43" s="414"/>
      <c r="G43" s="415"/>
      <c r="H43" s="414"/>
      <c r="I43" s="415"/>
      <c r="J43" s="416"/>
      <c r="K43" s="417"/>
      <c r="L43" s="418"/>
      <c r="M43" s="419"/>
      <c r="N43" s="276"/>
      <c r="O43" s="276"/>
      <c r="P43" s="276"/>
      <c r="Q43" s="276"/>
      <c r="R43" s="276"/>
      <c r="S43" s="276"/>
      <c r="T43" s="276"/>
      <c r="U43" s="276"/>
      <c r="V43" s="276"/>
      <c r="W43" s="276"/>
      <c r="X43" s="276"/>
      <c r="Y43" s="354"/>
      <c r="Z43" s="276"/>
      <c r="AA43" s="276"/>
      <c r="AB43" s="276"/>
      <c r="AC43" s="276"/>
      <c r="AD43" s="276"/>
      <c r="AE43" s="276"/>
      <c r="AF43" s="276"/>
      <c r="AG43" s="276"/>
      <c r="AH43" s="276"/>
      <c r="AI43" s="276"/>
      <c r="AJ43" s="276"/>
      <c r="AK43" s="276"/>
      <c r="AL43" s="276"/>
    </row>
    <row r="44" spans="1:38" ht="15.75" customHeight="1" x14ac:dyDescent="0.25">
      <c r="A44" s="539" t="s">
        <v>189</v>
      </c>
      <c r="B44" s="393">
        <f>RHv!D58</f>
        <v>1399000</v>
      </c>
      <c r="C44" s="413"/>
      <c r="D44" s="414"/>
      <c r="E44" s="414"/>
      <c r="F44" s="414"/>
      <c r="G44" s="415"/>
      <c r="H44" s="414"/>
      <c r="I44" s="415"/>
      <c r="J44" s="416"/>
      <c r="K44" s="417"/>
      <c r="L44" s="418"/>
      <c r="M44" s="419"/>
      <c r="N44" s="276"/>
      <c r="O44" s="276"/>
      <c r="P44" s="276"/>
      <c r="Q44" s="276"/>
      <c r="R44" s="276"/>
      <c r="S44" s="276"/>
      <c r="T44" s="276"/>
      <c r="U44" s="276"/>
      <c r="V44" s="276"/>
      <c r="W44" s="276"/>
      <c r="X44" s="276"/>
      <c r="Y44" s="354"/>
      <c r="Z44" s="276"/>
      <c r="AA44" s="276"/>
      <c r="AB44" s="276"/>
      <c r="AC44" s="276"/>
      <c r="AD44" s="276"/>
      <c r="AE44" s="276"/>
      <c r="AF44" s="276"/>
      <c r="AG44" s="276"/>
      <c r="AH44" s="276"/>
      <c r="AI44" s="276"/>
      <c r="AJ44" s="276"/>
      <c r="AK44" s="276"/>
      <c r="AL44" s="276"/>
    </row>
    <row r="45" spans="1:38" ht="15.75" customHeight="1" x14ac:dyDescent="0.25">
      <c r="A45" s="539" t="s">
        <v>184</v>
      </c>
      <c r="B45" s="356">
        <f>B42-B44</f>
        <v>-259999.65622999985</v>
      </c>
      <c r="C45" s="413"/>
      <c r="D45" s="414"/>
      <c r="E45" s="414"/>
      <c r="F45" s="414"/>
      <c r="G45" s="415"/>
      <c r="H45" s="414"/>
      <c r="I45" s="415"/>
      <c r="J45" s="416"/>
      <c r="K45" s="417"/>
      <c r="L45" s="418"/>
      <c r="M45" s="419"/>
      <c r="N45" s="276"/>
      <c r="O45" s="276"/>
      <c r="P45" s="276"/>
      <c r="Q45" s="276"/>
      <c r="R45" s="276"/>
      <c r="S45" s="276"/>
      <c r="T45" s="276"/>
      <c r="U45" s="276"/>
      <c r="V45" s="276"/>
      <c r="W45" s="276"/>
      <c r="X45" s="276"/>
      <c r="Y45" s="354"/>
      <c r="Z45" s="276"/>
      <c r="AA45" s="276"/>
      <c r="AB45" s="276"/>
      <c r="AC45" s="276"/>
      <c r="AD45" s="276"/>
      <c r="AE45" s="276"/>
      <c r="AF45" s="276"/>
      <c r="AG45" s="276"/>
      <c r="AH45" s="276"/>
      <c r="AI45" s="276"/>
      <c r="AJ45" s="276"/>
      <c r="AK45" s="276"/>
      <c r="AL45" s="276"/>
    </row>
    <row r="46" spans="1:38" ht="15.75" customHeight="1" x14ac:dyDescent="0.25">
      <c r="A46" s="539" t="s">
        <v>185</v>
      </c>
      <c r="B46" s="412">
        <f>B45/G34</f>
        <v>-2.1267778555506919E-2</v>
      </c>
      <c r="C46" s="413"/>
      <c r="D46" s="414"/>
      <c r="E46" s="414"/>
      <c r="F46" s="414"/>
      <c r="G46" s="415"/>
      <c r="H46" s="414"/>
      <c r="I46" s="415"/>
      <c r="J46" s="416"/>
      <c r="K46" s="417"/>
      <c r="L46" s="418"/>
      <c r="M46" s="419"/>
      <c r="N46" s="276"/>
      <c r="O46" s="276"/>
      <c r="P46" s="276"/>
      <c r="Q46" s="276"/>
      <c r="R46" s="276"/>
      <c r="S46" s="276"/>
      <c r="T46" s="276"/>
      <c r="U46" s="276"/>
      <c r="V46" s="276"/>
      <c r="W46" s="276"/>
      <c r="X46" s="276"/>
      <c r="Y46" s="354"/>
      <c r="Z46" s="276"/>
      <c r="AA46" s="276"/>
      <c r="AB46" s="276"/>
      <c r="AC46" s="276"/>
      <c r="AD46" s="276"/>
      <c r="AE46" s="276"/>
      <c r="AF46" s="276"/>
      <c r="AG46" s="276"/>
      <c r="AH46" s="276"/>
      <c r="AI46" s="276"/>
      <c r="AJ46" s="276"/>
      <c r="AK46" s="276"/>
      <c r="AL46" s="276"/>
    </row>
    <row r="47" spans="1:38" ht="15.75" customHeight="1" x14ac:dyDescent="0.25">
      <c r="A47" s="540"/>
      <c r="B47" s="421"/>
      <c r="C47" s="414"/>
      <c r="D47" s="414"/>
      <c r="E47" s="414"/>
      <c r="F47" s="414"/>
      <c r="G47" s="415"/>
      <c r="H47" s="414"/>
      <c r="I47" s="415"/>
      <c r="J47" s="416"/>
      <c r="K47" s="417"/>
      <c r="L47" s="418"/>
      <c r="M47" s="419"/>
      <c r="N47" s="276"/>
      <c r="O47" s="276"/>
      <c r="P47" s="276"/>
      <c r="Q47" s="276"/>
      <c r="R47" s="276"/>
      <c r="S47" s="276"/>
      <c r="T47" s="276"/>
      <c r="U47" s="276"/>
      <c r="V47" s="276"/>
      <c r="W47" s="276"/>
      <c r="X47" s="276"/>
      <c r="Y47" s="354"/>
      <c r="Z47" s="276"/>
      <c r="AA47" s="276"/>
      <c r="AB47" s="276"/>
      <c r="AC47" s="276"/>
      <c r="AD47" s="276"/>
      <c r="AE47" s="276"/>
      <c r="AF47" s="276"/>
      <c r="AG47" s="276"/>
      <c r="AH47" s="276"/>
      <c r="AI47" s="276"/>
      <c r="AJ47" s="276"/>
      <c r="AK47" s="276"/>
      <c r="AL47" s="276"/>
    </row>
    <row r="48" spans="1:38" ht="15.75" customHeight="1" x14ac:dyDescent="0.25">
      <c r="A48" s="541"/>
      <c r="B48" s="422"/>
      <c r="C48" s="422"/>
      <c r="D48" s="422"/>
      <c r="E48" s="422"/>
      <c r="F48" s="422"/>
      <c r="G48" s="423"/>
      <c r="H48" s="422"/>
      <c r="I48" s="423"/>
      <c r="J48" s="422"/>
      <c r="K48" s="422"/>
      <c r="L48" s="422"/>
      <c r="M48" s="276"/>
      <c r="N48" s="276"/>
      <c r="O48" s="276"/>
      <c r="P48" s="276"/>
      <c r="Q48" s="276"/>
      <c r="R48" s="276"/>
      <c r="S48" s="276"/>
      <c r="T48" s="276"/>
      <c r="U48" s="276"/>
      <c r="V48" s="276"/>
      <c r="W48" s="276"/>
      <c r="X48" s="276"/>
      <c r="Y48" s="354"/>
      <c r="Z48" s="276"/>
      <c r="AA48" s="276"/>
      <c r="AB48" s="276"/>
      <c r="AC48" s="276"/>
      <c r="AD48" s="276"/>
      <c r="AE48" s="276"/>
      <c r="AF48" s="276"/>
      <c r="AG48" s="276"/>
      <c r="AH48" s="276"/>
      <c r="AI48" s="276"/>
      <c r="AJ48" s="276"/>
      <c r="AK48" s="276"/>
      <c r="AL48" s="276"/>
    </row>
    <row r="49" spans="1:38" ht="15.75" customHeight="1" x14ac:dyDescent="0.25">
      <c r="A49" s="533"/>
      <c r="B49" s="276"/>
      <c r="C49" s="276"/>
      <c r="D49" s="276"/>
      <c r="E49" s="276"/>
      <c r="F49" s="276"/>
      <c r="G49" s="353"/>
      <c r="H49" s="276"/>
      <c r="I49" s="353"/>
      <c r="J49" s="276"/>
      <c r="K49" s="276"/>
      <c r="L49" s="276"/>
      <c r="M49" s="276"/>
      <c r="N49" s="276"/>
      <c r="O49" s="276"/>
      <c r="P49" s="276"/>
      <c r="Q49" s="276"/>
      <c r="R49" s="276"/>
      <c r="S49" s="276"/>
      <c r="T49" s="276"/>
      <c r="U49" s="276"/>
      <c r="V49" s="276"/>
      <c r="W49" s="276"/>
      <c r="X49" s="276"/>
      <c r="Y49" s="354"/>
      <c r="Z49" s="276"/>
      <c r="AA49" s="276"/>
      <c r="AB49" s="276"/>
      <c r="AC49" s="276"/>
      <c r="AD49" s="276"/>
      <c r="AE49" s="276"/>
      <c r="AF49" s="276"/>
      <c r="AG49" s="276"/>
      <c r="AH49" s="276"/>
      <c r="AI49" s="276"/>
      <c r="AJ49" s="276"/>
      <c r="AK49" s="276"/>
      <c r="AL49" s="276"/>
    </row>
    <row r="50" spans="1:38" ht="15.75" customHeight="1" x14ac:dyDescent="0.25">
      <c r="A50" s="533"/>
      <c r="B50" s="276"/>
      <c r="C50" s="276"/>
      <c r="D50" s="276"/>
      <c r="E50" s="276"/>
      <c r="F50" s="276"/>
      <c r="G50" s="353"/>
      <c r="H50" s="276"/>
      <c r="I50" s="353"/>
      <c r="J50" s="276"/>
      <c r="K50" s="276"/>
      <c r="L50" s="276"/>
      <c r="M50" s="276"/>
      <c r="N50" s="276"/>
      <c r="O50" s="276"/>
      <c r="P50" s="276"/>
      <c r="Q50" s="276"/>
      <c r="R50" s="276"/>
      <c r="S50" s="276"/>
      <c r="T50" s="276"/>
      <c r="U50" s="276"/>
      <c r="V50" s="276"/>
      <c r="W50" s="276"/>
      <c r="X50" s="276"/>
      <c r="Y50" s="354"/>
      <c r="Z50" s="276"/>
      <c r="AA50" s="276"/>
      <c r="AB50" s="276"/>
      <c r="AC50" s="276"/>
      <c r="AD50" s="276"/>
      <c r="AE50" s="276"/>
      <c r="AF50" s="276"/>
      <c r="AG50" s="276"/>
      <c r="AH50" s="276"/>
      <c r="AI50" s="276"/>
      <c r="AJ50" s="276"/>
      <c r="AK50" s="276"/>
      <c r="AL50" s="276"/>
    </row>
    <row r="51" spans="1:38" ht="15.75" customHeight="1" x14ac:dyDescent="0.25">
      <c r="A51" s="533"/>
      <c r="B51" s="276"/>
      <c r="C51" s="276"/>
      <c r="D51" s="276"/>
      <c r="E51" s="276"/>
      <c r="F51" s="276"/>
      <c r="G51" s="353"/>
      <c r="H51" s="276"/>
      <c r="I51" s="353"/>
      <c r="J51" s="276"/>
      <c r="K51" s="276"/>
      <c r="L51" s="276"/>
      <c r="M51" s="276"/>
      <c r="N51" s="276"/>
      <c r="O51" s="276"/>
      <c r="P51" s="276"/>
      <c r="Q51" s="276"/>
      <c r="R51" s="276"/>
      <c r="S51" s="276"/>
      <c r="T51" s="276"/>
      <c r="U51" s="276"/>
      <c r="V51" s="276"/>
      <c r="W51" s="276"/>
      <c r="X51" s="276"/>
      <c r="Y51" s="354"/>
      <c r="Z51" s="276"/>
      <c r="AA51" s="276"/>
      <c r="AB51" s="276"/>
      <c r="AC51" s="276"/>
      <c r="AD51" s="276"/>
      <c r="AE51" s="276"/>
      <c r="AF51" s="276"/>
      <c r="AG51" s="276"/>
      <c r="AH51" s="276"/>
      <c r="AI51" s="276"/>
      <c r="AJ51" s="276"/>
      <c r="AK51" s="276"/>
      <c r="AL51" s="276"/>
    </row>
    <row r="52" spans="1:38" ht="15.75" customHeight="1" x14ac:dyDescent="0.25">
      <c r="A52" s="533"/>
      <c r="B52" s="276"/>
      <c r="C52" s="276"/>
      <c r="D52" s="276"/>
      <c r="E52" s="276"/>
      <c r="F52" s="276"/>
      <c r="G52" s="353"/>
      <c r="H52" s="276"/>
      <c r="I52" s="353"/>
      <c r="J52" s="276"/>
      <c r="K52" s="276"/>
      <c r="L52" s="276"/>
      <c r="M52" s="276"/>
      <c r="N52" s="276"/>
      <c r="O52" s="276"/>
      <c r="P52" s="276"/>
      <c r="Q52" s="276"/>
      <c r="R52" s="276"/>
      <c r="S52" s="276"/>
      <c r="T52" s="276"/>
      <c r="U52" s="276"/>
      <c r="V52" s="276"/>
      <c r="W52" s="276"/>
      <c r="X52" s="276"/>
      <c r="Y52" s="354"/>
      <c r="Z52" s="276"/>
      <c r="AA52" s="276"/>
      <c r="AB52" s="276"/>
      <c r="AC52" s="276"/>
      <c r="AD52" s="276"/>
      <c r="AE52" s="276"/>
      <c r="AF52" s="276"/>
      <c r="AG52" s="276"/>
      <c r="AH52" s="276"/>
      <c r="AI52" s="276"/>
      <c r="AJ52" s="276"/>
      <c r="AK52" s="276"/>
      <c r="AL52" s="276"/>
    </row>
    <row r="53" spans="1:38" ht="15.75" customHeight="1" x14ac:dyDescent="0.25">
      <c r="A53" s="533"/>
      <c r="B53" s="276"/>
      <c r="C53" s="276"/>
      <c r="D53" s="276"/>
      <c r="E53" s="276"/>
      <c r="F53" s="276"/>
      <c r="G53" s="353"/>
      <c r="H53" s="276"/>
      <c r="I53" s="353"/>
      <c r="J53" s="276"/>
      <c r="K53" s="276"/>
      <c r="L53" s="276"/>
      <c r="M53" s="276"/>
      <c r="N53" s="276"/>
      <c r="O53" s="276"/>
      <c r="P53" s="276"/>
      <c r="Q53" s="276"/>
      <c r="R53" s="276"/>
      <c r="S53" s="276"/>
      <c r="T53" s="276"/>
      <c r="U53" s="276"/>
      <c r="V53" s="276"/>
      <c r="W53" s="276"/>
      <c r="X53" s="276"/>
      <c r="Y53" s="354"/>
      <c r="Z53" s="276"/>
      <c r="AA53" s="276"/>
      <c r="AB53" s="276"/>
      <c r="AC53" s="276"/>
      <c r="AD53" s="276"/>
      <c r="AE53" s="276"/>
      <c r="AF53" s="276"/>
      <c r="AG53" s="276"/>
      <c r="AH53" s="276"/>
      <c r="AI53" s="276"/>
      <c r="AJ53" s="276"/>
      <c r="AK53" s="276"/>
      <c r="AL53" s="276"/>
    </row>
    <row r="54" spans="1:38" ht="15.75" customHeight="1" x14ac:dyDescent="0.25">
      <c r="A54" s="533"/>
      <c r="B54" s="276"/>
      <c r="C54" s="276"/>
      <c r="D54" s="276"/>
      <c r="E54" s="276"/>
      <c r="F54" s="276"/>
      <c r="G54" s="353"/>
      <c r="H54" s="276"/>
      <c r="I54" s="353"/>
      <c r="J54" s="276"/>
      <c r="K54" s="276"/>
      <c r="L54" s="276"/>
      <c r="M54" s="276"/>
      <c r="N54" s="276"/>
      <c r="O54" s="276"/>
      <c r="P54" s="276"/>
      <c r="Q54" s="276"/>
      <c r="R54" s="276"/>
      <c r="S54" s="276"/>
      <c r="T54" s="276"/>
      <c r="U54" s="276"/>
      <c r="V54" s="276"/>
      <c r="W54" s="276"/>
      <c r="X54" s="276"/>
      <c r="Y54" s="354"/>
      <c r="Z54" s="276"/>
      <c r="AA54" s="276"/>
      <c r="AB54" s="276"/>
      <c r="AC54" s="276"/>
      <c r="AD54" s="276"/>
      <c r="AE54" s="276"/>
      <c r="AF54" s="276"/>
      <c r="AG54" s="276"/>
      <c r="AH54" s="276"/>
      <c r="AI54" s="276"/>
      <c r="AJ54" s="276"/>
      <c r="AK54" s="276"/>
      <c r="AL54" s="276"/>
    </row>
    <row r="55" spans="1:38" ht="15.75" customHeight="1" x14ac:dyDescent="0.25">
      <c r="A55" s="533"/>
      <c r="B55" s="276"/>
      <c r="C55" s="276"/>
      <c r="D55" s="276"/>
      <c r="E55" s="276"/>
      <c r="F55" s="276"/>
      <c r="G55" s="353"/>
      <c r="H55" s="276"/>
      <c r="I55" s="353"/>
      <c r="J55" s="276"/>
      <c r="K55" s="276"/>
      <c r="L55" s="276"/>
      <c r="M55" s="276"/>
      <c r="N55" s="276"/>
      <c r="O55" s="276"/>
      <c r="P55" s="276"/>
      <c r="Q55" s="276"/>
      <c r="R55" s="276"/>
      <c r="S55" s="276"/>
      <c r="T55" s="276"/>
      <c r="U55" s="276"/>
      <c r="V55" s="276"/>
      <c r="W55" s="276"/>
      <c r="X55" s="276"/>
      <c r="Y55" s="354"/>
      <c r="Z55" s="276"/>
      <c r="AA55" s="276"/>
      <c r="AB55" s="276"/>
      <c r="AC55" s="276"/>
      <c r="AD55" s="276"/>
      <c r="AE55" s="276"/>
      <c r="AF55" s="276"/>
      <c r="AG55" s="276"/>
      <c r="AH55" s="276"/>
      <c r="AI55" s="276"/>
      <c r="AJ55" s="276"/>
      <c r="AK55" s="276"/>
      <c r="AL55" s="276"/>
    </row>
    <row r="56" spans="1:38" ht="15.75" customHeight="1" x14ac:dyDescent="0.25">
      <c r="A56" s="533"/>
      <c r="B56" s="276"/>
      <c r="C56" s="276"/>
      <c r="D56" s="276"/>
      <c r="E56" s="276"/>
      <c r="F56" s="276"/>
      <c r="G56" s="353"/>
      <c r="H56" s="276"/>
      <c r="I56" s="353"/>
      <c r="J56" s="276"/>
      <c r="K56" s="276"/>
      <c r="L56" s="276"/>
      <c r="M56" s="276"/>
      <c r="N56" s="276"/>
      <c r="O56" s="276"/>
      <c r="P56" s="276"/>
      <c r="Q56" s="276"/>
      <c r="R56" s="276"/>
      <c r="S56" s="276"/>
      <c r="T56" s="276"/>
      <c r="U56" s="276"/>
      <c r="V56" s="276"/>
      <c r="W56" s="276"/>
      <c r="X56" s="276"/>
      <c r="Y56" s="354"/>
      <c r="Z56" s="276"/>
      <c r="AA56" s="276"/>
      <c r="AB56" s="276"/>
      <c r="AC56" s="276"/>
      <c r="AD56" s="276"/>
      <c r="AE56" s="276"/>
      <c r="AF56" s="276"/>
      <c r="AG56" s="276"/>
      <c r="AH56" s="276"/>
      <c r="AI56" s="276"/>
      <c r="AJ56" s="276"/>
      <c r="AK56" s="276"/>
      <c r="AL56" s="276"/>
    </row>
    <row r="57" spans="1:38" ht="15.75" customHeight="1" x14ac:dyDescent="0.25">
      <c r="A57" s="533"/>
      <c r="B57" s="276"/>
      <c r="C57" s="276"/>
      <c r="D57" s="276"/>
      <c r="E57" s="276"/>
      <c r="F57" s="276"/>
      <c r="G57" s="353"/>
      <c r="H57" s="276"/>
      <c r="I57" s="353"/>
      <c r="J57" s="276"/>
      <c r="K57" s="276"/>
      <c r="L57" s="276"/>
      <c r="M57" s="276"/>
      <c r="N57" s="276"/>
      <c r="O57" s="276"/>
      <c r="P57" s="276"/>
      <c r="Q57" s="276"/>
      <c r="R57" s="276"/>
      <c r="S57" s="276"/>
      <c r="T57" s="276"/>
      <c r="U57" s="276"/>
      <c r="V57" s="276"/>
      <c r="W57" s="276"/>
      <c r="X57" s="276"/>
      <c r="Y57" s="354"/>
      <c r="Z57" s="276"/>
      <c r="AA57" s="276"/>
      <c r="AB57" s="276"/>
      <c r="AC57" s="276"/>
      <c r="AD57" s="276"/>
      <c r="AE57" s="276"/>
      <c r="AF57" s="276"/>
      <c r="AG57" s="276"/>
      <c r="AH57" s="276"/>
      <c r="AI57" s="276"/>
      <c r="AJ57" s="276"/>
      <c r="AK57" s="276"/>
      <c r="AL57" s="276"/>
    </row>
    <row r="58" spans="1:38" ht="15.75" customHeight="1" x14ac:dyDescent="0.25">
      <c r="A58" s="533"/>
      <c r="B58" s="276"/>
      <c r="C58" s="276"/>
      <c r="D58" s="276"/>
      <c r="E58" s="276"/>
      <c r="F58" s="276"/>
      <c r="G58" s="353"/>
      <c r="H58" s="276"/>
      <c r="I58" s="353"/>
      <c r="J58" s="276"/>
      <c r="K58" s="276"/>
      <c r="L58" s="276"/>
      <c r="M58" s="276"/>
      <c r="N58" s="276"/>
      <c r="O58" s="276"/>
      <c r="P58" s="276"/>
      <c r="Q58" s="276"/>
      <c r="R58" s="276"/>
      <c r="S58" s="276"/>
      <c r="T58" s="276"/>
      <c r="U58" s="276"/>
      <c r="V58" s="276"/>
      <c r="W58" s="276"/>
      <c r="X58" s="276"/>
      <c r="Y58" s="354"/>
      <c r="Z58" s="276"/>
      <c r="AA58" s="276"/>
      <c r="AB58" s="276"/>
      <c r="AC58" s="276"/>
      <c r="AD58" s="276"/>
      <c r="AE58" s="276"/>
      <c r="AF58" s="276"/>
      <c r="AG58" s="276"/>
      <c r="AH58" s="276"/>
      <c r="AI58" s="276"/>
      <c r="AJ58" s="276"/>
      <c r="AK58" s="276"/>
      <c r="AL58" s="276"/>
    </row>
    <row r="59" spans="1:38" ht="15.75" customHeight="1" x14ac:dyDescent="0.25">
      <c r="A59" s="533"/>
      <c r="B59" s="276"/>
      <c r="C59" s="276"/>
      <c r="D59" s="276"/>
      <c r="E59" s="276"/>
      <c r="F59" s="276"/>
      <c r="G59" s="353"/>
      <c r="H59" s="276"/>
      <c r="I59" s="353"/>
      <c r="J59" s="276"/>
      <c r="K59" s="276"/>
      <c r="L59" s="276"/>
      <c r="M59" s="276"/>
      <c r="N59" s="276"/>
      <c r="O59" s="276"/>
      <c r="P59" s="276"/>
      <c r="Q59" s="276"/>
      <c r="R59" s="276"/>
      <c r="S59" s="276"/>
      <c r="T59" s="276"/>
      <c r="U59" s="276"/>
      <c r="V59" s="276"/>
      <c r="W59" s="276"/>
      <c r="X59" s="276"/>
      <c r="Y59" s="354"/>
      <c r="Z59" s="276"/>
      <c r="AA59" s="276"/>
      <c r="AB59" s="276"/>
      <c r="AC59" s="276"/>
      <c r="AD59" s="276"/>
      <c r="AE59" s="276"/>
      <c r="AF59" s="276"/>
      <c r="AG59" s="276"/>
      <c r="AH59" s="276"/>
      <c r="AI59" s="276"/>
      <c r="AJ59" s="276"/>
      <c r="AK59" s="276"/>
      <c r="AL59" s="276"/>
    </row>
    <row r="60" spans="1:38" ht="15.75" customHeight="1" x14ac:dyDescent="0.25">
      <c r="A60" s="533"/>
      <c r="B60" s="276"/>
      <c r="C60" s="276"/>
      <c r="D60" s="276"/>
      <c r="E60" s="276"/>
      <c r="F60" s="276"/>
      <c r="G60" s="353"/>
      <c r="H60" s="276"/>
      <c r="I60" s="353"/>
      <c r="J60" s="276"/>
      <c r="K60" s="276"/>
      <c r="L60" s="276"/>
      <c r="M60" s="276"/>
      <c r="N60" s="276"/>
      <c r="O60" s="276"/>
      <c r="P60" s="276"/>
      <c r="Q60" s="276"/>
      <c r="R60" s="276"/>
      <c r="S60" s="276"/>
      <c r="T60" s="276"/>
      <c r="U60" s="276"/>
      <c r="V60" s="276"/>
      <c r="W60" s="276"/>
      <c r="X60" s="276"/>
      <c r="Y60" s="354"/>
      <c r="Z60" s="276"/>
      <c r="AA60" s="276"/>
      <c r="AB60" s="276"/>
      <c r="AC60" s="276"/>
      <c r="AD60" s="276"/>
      <c r="AE60" s="276"/>
      <c r="AF60" s="276"/>
      <c r="AG60" s="276"/>
      <c r="AH60" s="276"/>
      <c r="AI60" s="276"/>
      <c r="AJ60" s="276"/>
      <c r="AK60" s="276"/>
      <c r="AL60" s="276"/>
    </row>
    <row r="61" spans="1:38" ht="15.75" customHeight="1" x14ac:dyDescent="0.25">
      <c r="A61" s="533"/>
      <c r="B61" s="276"/>
      <c r="C61" s="276"/>
      <c r="D61" s="276"/>
      <c r="E61" s="276"/>
      <c r="F61" s="276"/>
      <c r="G61" s="353"/>
      <c r="H61" s="276"/>
      <c r="I61" s="353"/>
      <c r="J61" s="276"/>
      <c r="K61" s="276"/>
      <c r="L61" s="276"/>
      <c r="M61" s="276"/>
      <c r="N61" s="276"/>
      <c r="O61" s="276"/>
      <c r="P61" s="276"/>
      <c r="Q61" s="276"/>
      <c r="R61" s="276"/>
      <c r="S61" s="276"/>
      <c r="T61" s="276"/>
      <c r="U61" s="276"/>
      <c r="V61" s="276"/>
      <c r="W61" s="276"/>
      <c r="X61" s="276"/>
      <c r="Y61" s="354"/>
      <c r="Z61" s="276"/>
      <c r="AA61" s="276"/>
      <c r="AB61" s="276"/>
      <c r="AC61" s="276"/>
      <c r="AD61" s="276"/>
      <c r="AE61" s="276"/>
      <c r="AF61" s="276"/>
      <c r="AG61" s="276"/>
      <c r="AH61" s="276"/>
      <c r="AI61" s="276"/>
      <c r="AJ61" s="276"/>
      <c r="AK61" s="276"/>
      <c r="AL61" s="276"/>
    </row>
    <row r="62" spans="1:38" ht="15.75" customHeight="1" x14ac:dyDescent="0.25">
      <c r="A62" s="533"/>
      <c r="B62" s="276"/>
      <c r="C62" s="276"/>
      <c r="D62" s="276"/>
      <c r="E62" s="276"/>
      <c r="F62" s="276"/>
      <c r="G62" s="353"/>
      <c r="H62" s="276"/>
      <c r="I62" s="353"/>
      <c r="J62" s="276"/>
      <c r="K62" s="276"/>
      <c r="L62" s="276"/>
      <c r="M62" s="276"/>
      <c r="N62" s="276"/>
      <c r="O62" s="276"/>
      <c r="P62" s="276"/>
      <c r="Q62" s="276"/>
      <c r="R62" s="276"/>
      <c r="S62" s="276"/>
      <c r="T62" s="276"/>
      <c r="U62" s="276"/>
      <c r="V62" s="276"/>
      <c r="W62" s="276"/>
      <c r="X62" s="276"/>
      <c r="Y62" s="354"/>
      <c r="Z62" s="276"/>
      <c r="AA62" s="276"/>
      <c r="AB62" s="276"/>
      <c r="AC62" s="276"/>
      <c r="AD62" s="276"/>
      <c r="AE62" s="276"/>
      <c r="AF62" s="276"/>
      <c r="AG62" s="276"/>
      <c r="AH62" s="276"/>
      <c r="AI62" s="276"/>
      <c r="AJ62" s="276"/>
      <c r="AK62" s="276"/>
      <c r="AL62" s="276"/>
    </row>
    <row r="63" spans="1:38" ht="15.75" customHeight="1" x14ac:dyDescent="0.25">
      <c r="A63" s="533"/>
      <c r="B63" s="276"/>
      <c r="C63" s="276"/>
      <c r="D63" s="276"/>
      <c r="E63" s="276"/>
      <c r="F63" s="276"/>
      <c r="G63" s="353"/>
      <c r="H63" s="276"/>
      <c r="I63" s="353"/>
      <c r="J63" s="276"/>
      <c r="K63" s="276"/>
      <c r="L63" s="276"/>
      <c r="M63" s="276"/>
      <c r="N63" s="276"/>
      <c r="O63" s="276"/>
      <c r="P63" s="276"/>
      <c r="Q63" s="276"/>
      <c r="R63" s="276"/>
      <c r="S63" s="276"/>
      <c r="T63" s="276"/>
      <c r="U63" s="276"/>
      <c r="V63" s="276"/>
      <c r="W63" s="276"/>
      <c r="X63" s="276"/>
      <c r="Y63" s="354"/>
      <c r="Z63" s="276"/>
      <c r="AA63" s="276"/>
      <c r="AB63" s="276"/>
      <c r="AC63" s="276"/>
      <c r="AD63" s="276"/>
      <c r="AE63" s="276"/>
      <c r="AF63" s="276"/>
      <c r="AG63" s="276"/>
      <c r="AH63" s="276"/>
      <c r="AI63" s="276"/>
      <c r="AJ63" s="276"/>
      <c r="AK63" s="276"/>
      <c r="AL63" s="276"/>
    </row>
    <row r="64" spans="1:38" ht="15.75" customHeight="1" x14ac:dyDescent="0.25">
      <c r="A64" s="533"/>
      <c r="B64" s="276"/>
      <c r="C64" s="276"/>
      <c r="D64" s="276"/>
      <c r="E64" s="276"/>
      <c r="F64" s="276"/>
      <c r="G64" s="353"/>
      <c r="H64" s="276"/>
      <c r="I64" s="353"/>
      <c r="J64" s="276"/>
      <c r="K64" s="276"/>
      <c r="L64" s="276"/>
      <c r="M64" s="276"/>
      <c r="N64" s="276"/>
      <c r="O64" s="276"/>
      <c r="P64" s="276"/>
      <c r="Q64" s="276"/>
      <c r="R64" s="276"/>
      <c r="S64" s="276"/>
      <c r="T64" s="276"/>
      <c r="U64" s="276"/>
      <c r="V64" s="276"/>
      <c r="W64" s="276"/>
      <c r="X64" s="276"/>
      <c r="Y64" s="354"/>
      <c r="Z64" s="276"/>
      <c r="AA64" s="276"/>
      <c r="AB64" s="276"/>
      <c r="AC64" s="276"/>
      <c r="AD64" s="276"/>
      <c r="AE64" s="276"/>
      <c r="AF64" s="276"/>
      <c r="AG64" s="276"/>
      <c r="AH64" s="276"/>
      <c r="AI64" s="276"/>
      <c r="AJ64" s="276"/>
      <c r="AK64" s="276"/>
      <c r="AL64" s="276"/>
    </row>
    <row r="65" spans="1:38" ht="15.75" customHeight="1" x14ac:dyDescent="0.25">
      <c r="A65" s="533"/>
      <c r="B65" s="276"/>
      <c r="C65" s="276"/>
      <c r="D65" s="276"/>
      <c r="E65" s="276"/>
      <c r="F65" s="276"/>
      <c r="G65" s="353"/>
      <c r="H65" s="276"/>
      <c r="I65" s="353"/>
      <c r="J65" s="276"/>
      <c r="K65" s="276"/>
      <c r="L65" s="276"/>
      <c r="M65" s="276"/>
      <c r="N65" s="276"/>
      <c r="O65" s="276"/>
      <c r="P65" s="276"/>
      <c r="Q65" s="276"/>
      <c r="R65" s="276"/>
      <c r="S65" s="276"/>
      <c r="T65" s="276"/>
      <c r="U65" s="276"/>
      <c r="V65" s="276"/>
      <c r="W65" s="276"/>
      <c r="X65" s="276"/>
      <c r="Y65" s="354"/>
      <c r="Z65" s="276"/>
      <c r="AA65" s="276"/>
      <c r="AB65" s="276"/>
      <c r="AC65" s="276"/>
      <c r="AD65" s="276"/>
      <c r="AE65" s="276"/>
      <c r="AF65" s="276"/>
      <c r="AG65" s="276"/>
      <c r="AH65" s="276"/>
      <c r="AI65" s="276"/>
      <c r="AJ65" s="276"/>
      <c r="AK65" s="276"/>
      <c r="AL65" s="276"/>
    </row>
    <row r="66" spans="1:38" ht="15.75" customHeight="1" x14ac:dyDescent="0.25">
      <c r="A66" s="533"/>
      <c r="B66" s="276"/>
      <c r="C66" s="276"/>
      <c r="D66" s="276"/>
      <c r="E66" s="276"/>
      <c r="F66" s="276"/>
      <c r="G66" s="353"/>
      <c r="H66" s="276"/>
      <c r="I66" s="353"/>
      <c r="J66" s="276"/>
      <c r="K66" s="276"/>
      <c r="L66" s="276"/>
      <c r="M66" s="276"/>
      <c r="N66" s="276"/>
      <c r="O66" s="276"/>
      <c r="P66" s="276"/>
      <c r="Q66" s="276"/>
      <c r="R66" s="276"/>
      <c r="S66" s="276"/>
      <c r="T66" s="276"/>
      <c r="U66" s="276"/>
      <c r="V66" s="276"/>
      <c r="W66" s="276"/>
      <c r="X66" s="276"/>
      <c r="Y66" s="354"/>
      <c r="Z66" s="276"/>
      <c r="AA66" s="276"/>
      <c r="AB66" s="276"/>
      <c r="AC66" s="276"/>
      <c r="AD66" s="276"/>
      <c r="AE66" s="276"/>
      <c r="AF66" s="276"/>
      <c r="AG66" s="276"/>
      <c r="AH66" s="276"/>
      <c r="AI66" s="276"/>
      <c r="AJ66" s="276"/>
      <c r="AK66" s="276"/>
      <c r="AL66" s="276"/>
    </row>
    <row r="67" spans="1:38" ht="15.75" customHeight="1" x14ac:dyDescent="0.25">
      <c r="A67" s="533"/>
      <c r="B67" s="276"/>
      <c r="C67" s="276"/>
      <c r="D67" s="276"/>
      <c r="E67" s="276"/>
      <c r="F67" s="276"/>
      <c r="G67" s="353"/>
      <c r="H67" s="276"/>
      <c r="I67" s="353"/>
      <c r="J67" s="276"/>
      <c r="K67" s="276"/>
      <c r="L67" s="276"/>
      <c r="M67" s="276"/>
      <c r="N67" s="276"/>
      <c r="O67" s="276"/>
      <c r="P67" s="276"/>
      <c r="Q67" s="276"/>
      <c r="R67" s="276"/>
      <c r="S67" s="276"/>
      <c r="T67" s="276"/>
      <c r="U67" s="276"/>
      <c r="V67" s="276"/>
      <c r="W67" s="276"/>
      <c r="X67" s="276"/>
      <c r="Y67" s="354"/>
      <c r="Z67" s="276"/>
      <c r="AA67" s="276"/>
      <c r="AB67" s="276"/>
      <c r="AC67" s="276"/>
      <c r="AD67" s="276"/>
      <c r="AE67" s="276"/>
      <c r="AF67" s="276"/>
      <c r="AG67" s="276"/>
      <c r="AH67" s="276"/>
      <c r="AI67" s="276"/>
      <c r="AJ67" s="276"/>
      <c r="AK67" s="276"/>
      <c r="AL67" s="276"/>
    </row>
    <row r="68" spans="1:38" ht="15.75" customHeight="1" x14ac:dyDescent="0.25">
      <c r="A68" s="533"/>
      <c r="B68" s="276"/>
      <c r="C68" s="276"/>
      <c r="D68" s="276"/>
      <c r="E68" s="276"/>
      <c r="F68" s="276"/>
      <c r="G68" s="353"/>
      <c r="H68" s="276"/>
      <c r="I68" s="353"/>
      <c r="J68" s="276"/>
      <c r="K68" s="276"/>
      <c r="L68" s="276"/>
      <c r="M68" s="276"/>
      <c r="N68" s="276"/>
      <c r="O68" s="276"/>
      <c r="P68" s="276"/>
      <c r="Q68" s="276"/>
      <c r="R68" s="276"/>
      <c r="S68" s="276"/>
      <c r="T68" s="276"/>
      <c r="U68" s="276"/>
      <c r="V68" s="276"/>
      <c r="W68" s="276"/>
      <c r="X68" s="276"/>
      <c r="Y68" s="354"/>
      <c r="Z68" s="276"/>
      <c r="AA68" s="276"/>
      <c r="AB68" s="276"/>
      <c r="AC68" s="276"/>
      <c r="AD68" s="276"/>
      <c r="AE68" s="276"/>
      <c r="AF68" s="276"/>
      <c r="AG68" s="276"/>
      <c r="AH68" s="276"/>
      <c r="AI68" s="276"/>
      <c r="AJ68" s="276"/>
      <c r="AK68" s="276"/>
      <c r="AL68" s="276"/>
    </row>
    <row r="69" spans="1:38" ht="15.75" customHeight="1" x14ac:dyDescent="0.25">
      <c r="A69" s="533"/>
      <c r="B69" s="276"/>
      <c r="C69" s="276"/>
      <c r="D69" s="276"/>
      <c r="E69" s="276"/>
      <c r="F69" s="276"/>
      <c r="G69" s="353"/>
      <c r="H69" s="276"/>
      <c r="I69" s="353"/>
      <c r="J69" s="276"/>
      <c r="K69" s="276"/>
      <c r="L69" s="276"/>
      <c r="M69" s="276"/>
      <c r="N69" s="276"/>
      <c r="O69" s="276"/>
      <c r="P69" s="276"/>
      <c r="Q69" s="276"/>
      <c r="R69" s="276"/>
      <c r="S69" s="276"/>
      <c r="T69" s="276"/>
      <c r="U69" s="276"/>
      <c r="V69" s="276"/>
      <c r="W69" s="276"/>
      <c r="X69" s="276"/>
      <c r="Y69" s="354"/>
      <c r="Z69" s="276"/>
      <c r="AA69" s="276"/>
      <c r="AB69" s="276"/>
      <c r="AC69" s="276"/>
      <c r="AD69" s="276"/>
      <c r="AE69" s="276"/>
      <c r="AF69" s="276"/>
      <c r="AG69" s="276"/>
      <c r="AH69" s="276"/>
      <c r="AI69" s="276"/>
      <c r="AJ69" s="276"/>
      <c r="AK69" s="276"/>
      <c r="AL69" s="276"/>
    </row>
    <row r="70" spans="1:38" ht="15.75" customHeight="1" x14ac:dyDescent="0.25">
      <c r="A70" s="533"/>
      <c r="B70" s="276"/>
      <c r="C70" s="276"/>
      <c r="D70" s="276"/>
      <c r="E70" s="276"/>
      <c r="F70" s="276"/>
      <c r="G70" s="353"/>
      <c r="H70" s="276"/>
      <c r="I70" s="353"/>
      <c r="J70" s="276"/>
      <c r="K70" s="276"/>
      <c r="L70" s="276"/>
      <c r="M70" s="276"/>
      <c r="N70" s="276"/>
      <c r="O70" s="276"/>
      <c r="P70" s="276"/>
      <c r="Q70" s="276"/>
      <c r="R70" s="276"/>
      <c r="S70" s="276"/>
      <c r="T70" s="276"/>
      <c r="U70" s="276"/>
      <c r="V70" s="276"/>
      <c r="W70" s="276"/>
      <c r="X70" s="276"/>
      <c r="Y70" s="354"/>
      <c r="Z70" s="276"/>
      <c r="AA70" s="276"/>
      <c r="AB70" s="276"/>
      <c r="AC70" s="276"/>
      <c r="AD70" s="276"/>
      <c r="AE70" s="276"/>
      <c r="AF70" s="276"/>
      <c r="AG70" s="276"/>
      <c r="AH70" s="276"/>
      <c r="AI70" s="276"/>
      <c r="AJ70" s="276"/>
      <c r="AK70" s="276"/>
      <c r="AL70" s="276"/>
    </row>
    <row r="71" spans="1:38" ht="15.75" customHeight="1" x14ac:dyDescent="0.25">
      <c r="A71" s="533"/>
      <c r="B71" s="276"/>
      <c r="C71" s="276"/>
      <c r="D71" s="276"/>
      <c r="E71" s="276"/>
      <c r="F71" s="276"/>
      <c r="G71" s="353"/>
      <c r="H71" s="276"/>
      <c r="I71" s="353"/>
      <c r="J71" s="276"/>
      <c r="K71" s="276"/>
      <c r="L71" s="276"/>
      <c r="M71" s="276"/>
      <c r="N71" s="276"/>
      <c r="O71" s="276"/>
      <c r="P71" s="276"/>
      <c r="Q71" s="276"/>
      <c r="R71" s="276"/>
      <c r="S71" s="276"/>
      <c r="T71" s="276"/>
      <c r="U71" s="276"/>
      <c r="V71" s="276"/>
      <c r="W71" s="276"/>
      <c r="X71" s="276"/>
      <c r="Y71" s="354"/>
      <c r="Z71" s="276"/>
      <c r="AA71" s="276"/>
      <c r="AB71" s="276"/>
      <c r="AC71" s="276"/>
      <c r="AD71" s="276"/>
      <c r="AE71" s="276"/>
      <c r="AF71" s="276"/>
      <c r="AG71" s="276"/>
      <c r="AH71" s="276"/>
      <c r="AI71" s="276"/>
      <c r="AJ71" s="276"/>
      <c r="AK71" s="276"/>
      <c r="AL71" s="276"/>
    </row>
    <row r="72" spans="1:38" ht="15.75" customHeight="1" x14ac:dyDescent="0.25">
      <c r="A72" s="533"/>
      <c r="B72" s="276"/>
      <c r="C72" s="276"/>
      <c r="D72" s="276"/>
      <c r="E72" s="276"/>
      <c r="F72" s="276"/>
      <c r="G72" s="353"/>
      <c r="H72" s="276"/>
      <c r="I72" s="353"/>
      <c r="J72" s="276"/>
      <c r="K72" s="276"/>
      <c r="L72" s="276"/>
      <c r="M72" s="276"/>
      <c r="N72" s="276"/>
      <c r="O72" s="276"/>
      <c r="P72" s="276"/>
      <c r="Q72" s="276"/>
      <c r="R72" s="276"/>
      <c r="S72" s="276"/>
      <c r="T72" s="276"/>
      <c r="U72" s="276"/>
      <c r="V72" s="276"/>
      <c r="W72" s="276"/>
      <c r="X72" s="276"/>
      <c r="Y72" s="354"/>
      <c r="Z72" s="276"/>
      <c r="AA72" s="276"/>
      <c r="AB72" s="276"/>
      <c r="AC72" s="276"/>
      <c r="AD72" s="276"/>
      <c r="AE72" s="276"/>
      <c r="AF72" s="276"/>
      <c r="AG72" s="276"/>
      <c r="AH72" s="276"/>
      <c r="AI72" s="276"/>
      <c r="AJ72" s="276"/>
      <c r="AK72" s="276"/>
      <c r="AL72" s="276"/>
    </row>
    <row r="73" spans="1:38" ht="15.75" customHeight="1" x14ac:dyDescent="0.25">
      <c r="A73" s="533"/>
      <c r="B73" s="276"/>
      <c r="C73" s="276"/>
      <c r="D73" s="276"/>
      <c r="E73" s="276"/>
      <c r="F73" s="276"/>
      <c r="G73" s="353"/>
      <c r="H73" s="276"/>
      <c r="I73" s="353"/>
      <c r="J73" s="276"/>
      <c r="K73" s="276"/>
      <c r="L73" s="276"/>
      <c r="M73" s="276"/>
      <c r="N73" s="276"/>
      <c r="O73" s="276"/>
      <c r="P73" s="276"/>
      <c r="Q73" s="276"/>
      <c r="R73" s="276"/>
      <c r="S73" s="276"/>
      <c r="T73" s="276"/>
      <c r="U73" s="276"/>
      <c r="V73" s="276"/>
      <c r="W73" s="276"/>
      <c r="X73" s="276"/>
      <c r="Y73" s="354"/>
      <c r="Z73" s="276"/>
      <c r="AA73" s="276"/>
      <c r="AB73" s="276"/>
      <c r="AC73" s="276"/>
      <c r="AD73" s="276"/>
      <c r="AE73" s="276"/>
      <c r="AF73" s="276"/>
      <c r="AG73" s="276"/>
      <c r="AH73" s="276"/>
      <c r="AI73" s="276"/>
      <c r="AJ73" s="276"/>
      <c r="AK73" s="276"/>
      <c r="AL73" s="276"/>
    </row>
    <row r="74" spans="1:38" ht="15.75" customHeight="1" x14ac:dyDescent="0.25">
      <c r="A74" s="533"/>
      <c r="B74" s="276"/>
      <c r="C74" s="276"/>
      <c r="D74" s="276"/>
      <c r="E74" s="276"/>
      <c r="F74" s="276"/>
      <c r="G74" s="353"/>
      <c r="H74" s="276"/>
      <c r="I74" s="353"/>
      <c r="J74" s="276"/>
      <c r="K74" s="276"/>
      <c r="L74" s="276"/>
      <c r="M74" s="276"/>
      <c r="N74" s="276"/>
      <c r="O74" s="276"/>
      <c r="P74" s="276"/>
      <c r="Q74" s="276"/>
      <c r="R74" s="276"/>
      <c r="S74" s="276"/>
      <c r="T74" s="276"/>
      <c r="U74" s="276"/>
      <c r="V74" s="276"/>
      <c r="W74" s="276"/>
      <c r="X74" s="276"/>
      <c r="Y74" s="354"/>
      <c r="Z74" s="276"/>
      <c r="AA74" s="276"/>
      <c r="AB74" s="276"/>
      <c r="AC74" s="276"/>
      <c r="AD74" s="276"/>
      <c r="AE74" s="276"/>
      <c r="AF74" s="276"/>
      <c r="AG74" s="276"/>
      <c r="AH74" s="276"/>
      <c r="AI74" s="276"/>
      <c r="AJ74" s="276"/>
      <c r="AK74" s="276"/>
      <c r="AL74" s="276"/>
    </row>
    <row r="75" spans="1:38" ht="15.75" customHeight="1" x14ac:dyDescent="0.25">
      <c r="A75" s="533"/>
      <c r="B75" s="276"/>
      <c r="C75" s="276"/>
      <c r="D75" s="276"/>
      <c r="E75" s="276"/>
      <c r="F75" s="276"/>
      <c r="G75" s="353"/>
      <c r="H75" s="276"/>
      <c r="I75" s="353"/>
      <c r="J75" s="276"/>
      <c r="K75" s="276"/>
      <c r="L75" s="276"/>
      <c r="M75" s="276"/>
      <c r="N75" s="276"/>
      <c r="O75" s="276"/>
      <c r="P75" s="276"/>
      <c r="Q75" s="276"/>
      <c r="R75" s="276"/>
      <c r="S75" s="276"/>
      <c r="T75" s="276"/>
      <c r="U75" s="276"/>
      <c r="V75" s="276"/>
      <c r="W75" s="276"/>
      <c r="X75" s="276"/>
      <c r="Y75" s="354"/>
      <c r="Z75" s="276"/>
      <c r="AA75" s="276"/>
      <c r="AB75" s="276"/>
      <c r="AC75" s="276"/>
      <c r="AD75" s="276"/>
      <c r="AE75" s="276"/>
      <c r="AF75" s="276"/>
      <c r="AG75" s="276"/>
      <c r="AH75" s="276"/>
      <c r="AI75" s="276"/>
      <c r="AJ75" s="276"/>
      <c r="AK75" s="276"/>
      <c r="AL75" s="276"/>
    </row>
    <row r="76" spans="1:38" ht="15.75" customHeight="1" x14ac:dyDescent="0.25">
      <c r="A76" s="533"/>
      <c r="B76" s="276"/>
      <c r="C76" s="276"/>
      <c r="D76" s="276"/>
      <c r="E76" s="276"/>
      <c r="F76" s="276"/>
      <c r="G76" s="353"/>
      <c r="H76" s="276"/>
      <c r="I76" s="353"/>
      <c r="J76" s="276"/>
      <c r="K76" s="276"/>
      <c r="L76" s="276"/>
      <c r="M76" s="276"/>
      <c r="N76" s="276"/>
      <c r="O76" s="276"/>
      <c r="P76" s="276"/>
      <c r="Q76" s="276"/>
      <c r="R76" s="276"/>
      <c r="S76" s="276"/>
      <c r="T76" s="276"/>
      <c r="U76" s="276"/>
      <c r="V76" s="276"/>
      <c r="W76" s="276"/>
      <c r="X76" s="276"/>
      <c r="Y76" s="354"/>
      <c r="Z76" s="276"/>
      <c r="AA76" s="276"/>
      <c r="AB76" s="276"/>
      <c r="AC76" s="276"/>
      <c r="AD76" s="276"/>
      <c r="AE76" s="276"/>
      <c r="AF76" s="276"/>
      <c r="AG76" s="276"/>
      <c r="AH76" s="276"/>
      <c r="AI76" s="276"/>
      <c r="AJ76" s="276"/>
      <c r="AK76" s="276"/>
      <c r="AL76" s="276"/>
    </row>
    <row r="77" spans="1:38" ht="15.75" customHeight="1" x14ac:dyDescent="0.25">
      <c r="A77" s="533"/>
      <c r="B77" s="276"/>
      <c r="C77" s="276"/>
      <c r="D77" s="276"/>
      <c r="E77" s="276"/>
      <c r="F77" s="276"/>
      <c r="G77" s="353"/>
      <c r="H77" s="276"/>
      <c r="I77" s="353"/>
      <c r="J77" s="276"/>
      <c r="K77" s="276"/>
      <c r="L77" s="276"/>
      <c r="M77" s="276"/>
      <c r="N77" s="276"/>
      <c r="O77" s="276"/>
      <c r="P77" s="276"/>
      <c r="Q77" s="276"/>
      <c r="R77" s="276"/>
      <c r="S77" s="276"/>
      <c r="T77" s="276"/>
      <c r="U77" s="276"/>
      <c r="V77" s="276"/>
      <c r="W77" s="276"/>
      <c r="X77" s="276"/>
      <c r="Y77" s="354"/>
      <c r="Z77" s="276"/>
      <c r="AA77" s="276"/>
      <c r="AB77" s="276"/>
      <c r="AC77" s="276"/>
      <c r="AD77" s="276"/>
      <c r="AE77" s="276"/>
      <c r="AF77" s="276"/>
      <c r="AG77" s="276"/>
      <c r="AH77" s="276"/>
      <c r="AI77" s="276"/>
      <c r="AJ77" s="276"/>
      <c r="AK77" s="276"/>
      <c r="AL77" s="276"/>
    </row>
    <row r="78" spans="1:38" ht="15.75" customHeight="1" x14ac:dyDescent="0.25">
      <c r="A78" s="533"/>
      <c r="B78" s="276"/>
      <c r="C78" s="276"/>
      <c r="D78" s="276"/>
      <c r="E78" s="276"/>
      <c r="F78" s="276"/>
      <c r="G78" s="353"/>
      <c r="H78" s="276"/>
      <c r="I78" s="353"/>
      <c r="J78" s="276"/>
      <c r="K78" s="276"/>
      <c r="L78" s="276"/>
      <c r="M78" s="276"/>
      <c r="N78" s="276"/>
      <c r="O78" s="276"/>
      <c r="P78" s="276"/>
      <c r="Q78" s="276"/>
      <c r="R78" s="276"/>
      <c r="S78" s="276"/>
      <c r="T78" s="276"/>
      <c r="U78" s="276"/>
      <c r="V78" s="276"/>
      <c r="W78" s="276"/>
      <c r="X78" s="276"/>
      <c r="Y78" s="354"/>
      <c r="Z78" s="276"/>
      <c r="AA78" s="276"/>
      <c r="AB78" s="276"/>
      <c r="AC78" s="276"/>
      <c r="AD78" s="276"/>
      <c r="AE78" s="276"/>
      <c r="AF78" s="276"/>
      <c r="AG78" s="276"/>
      <c r="AH78" s="276"/>
      <c r="AI78" s="276"/>
      <c r="AJ78" s="276"/>
      <c r="AK78" s="276"/>
      <c r="AL78" s="276"/>
    </row>
    <row r="79" spans="1:38" ht="15.75" customHeight="1" x14ac:dyDescent="0.25">
      <c r="A79" s="533"/>
      <c r="B79" s="276"/>
      <c r="C79" s="276"/>
      <c r="D79" s="276"/>
      <c r="E79" s="276"/>
      <c r="F79" s="276"/>
      <c r="G79" s="353"/>
      <c r="H79" s="276"/>
      <c r="I79" s="353"/>
      <c r="J79" s="276"/>
      <c r="K79" s="276"/>
      <c r="L79" s="276"/>
      <c r="M79" s="276"/>
      <c r="N79" s="276"/>
      <c r="O79" s="276"/>
      <c r="P79" s="276"/>
      <c r="Q79" s="276"/>
      <c r="R79" s="276"/>
      <c r="S79" s="276"/>
      <c r="T79" s="276"/>
      <c r="U79" s="276"/>
      <c r="V79" s="276"/>
      <c r="W79" s="276"/>
      <c r="X79" s="276"/>
      <c r="Y79" s="354"/>
      <c r="Z79" s="276"/>
      <c r="AA79" s="276"/>
      <c r="AB79" s="276"/>
      <c r="AC79" s="276"/>
      <c r="AD79" s="276"/>
      <c r="AE79" s="276"/>
      <c r="AF79" s="276"/>
      <c r="AG79" s="276"/>
      <c r="AH79" s="276"/>
      <c r="AI79" s="276"/>
      <c r="AJ79" s="276"/>
      <c r="AK79" s="276"/>
      <c r="AL79" s="276"/>
    </row>
    <row r="80" spans="1:38" ht="15.75" customHeight="1" x14ac:dyDescent="0.25">
      <c r="A80" s="533"/>
      <c r="B80" s="276"/>
      <c r="C80" s="276"/>
      <c r="D80" s="276"/>
      <c r="E80" s="276"/>
      <c r="F80" s="276"/>
      <c r="G80" s="353"/>
      <c r="H80" s="276"/>
      <c r="I80" s="353"/>
      <c r="J80" s="276"/>
      <c r="K80" s="276"/>
      <c r="L80" s="276"/>
      <c r="M80" s="276"/>
      <c r="N80" s="276"/>
      <c r="O80" s="276"/>
      <c r="P80" s="276"/>
      <c r="Q80" s="276"/>
      <c r="R80" s="276"/>
      <c r="S80" s="276"/>
      <c r="T80" s="276"/>
      <c r="U80" s="276"/>
      <c r="V80" s="276"/>
      <c r="W80" s="276"/>
      <c r="X80" s="276"/>
      <c r="Y80" s="354"/>
      <c r="Z80" s="276"/>
      <c r="AA80" s="276"/>
      <c r="AB80" s="276"/>
      <c r="AC80" s="276"/>
      <c r="AD80" s="276"/>
      <c r="AE80" s="276"/>
      <c r="AF80" s="276"/>
      <c r="AG80" s="276"/>
      <c r="AH80" s="276"/>
      <c r="AI80" s="276"/>
      <c r="AJ80" s="276"/>
      <c r="AK80" s="276"/>
      <c r="AL80" s="276"/>
    </row>
    <row r="81" spans="1:38" ht="15.75" customHeight="1" x14ac:dyDescent="0.25">
      <c r="A81" s="533"/>
      <c r="B81" s="276"/>
      <c r="C81" s="276"/>
      <c r="D81" s="276"/>
      <c r="E81" s="276"/>
      <c r="F81" s="276"/>
      <c r="G81" s="353"/>
      <c r="H81" s="276"/>
      <c r="I81" s="353"/>
      <c r="J81" s="276"/>
      <c r="K81" s="276"/>
      <c r="L81" s="276"/>
      <c r="M81" s="276"/>
      <c r="N81" s="276"/>
      <c r="O81" s="276"/>
      <c r="P81" s="276"/>
      <c r="Q81" s="276"/>
      <c r="R81" s="276"/>
      <c r="S81" s="276"/>
      <c r="T81" s="276"/>
      <c r="U81" s="276"/>
      <c r="V81" s="276"/>
      <c r="W81" s="276"/>
      <c r="X81" s="276"/>
      <c r="Y81" s="354"/>
      <c r="Z81" s="276"/>
      <c r="AA81" s="276"/>
      <c r="AB81" s="276"/>
      <c r="AC81" s="276"/>
      <c r="AD81" s="276"/>
      <c r="AE81" s="276"/>
      <c r="AF81" s="276"/>
      <c r="AG81" s="276"/>
      <c r="AH81" s="276"/>
      <c r="AI81" s="276"/>
      <c r="AJ81" s="276"/>
      <c r="AK81" s="276"/>
      <c r="AL81" s="276"/>
    </row>
    <row r="82" spans="1:38" ht="15.75" customHeight="1" x14ac:dyDescent="0.25">
      <c r="A82" s="533"/>
      <c r="B82" s="276"/>
      <c r="C82" s="276"/>
      <c r="D82" s="276"/>
      <c r="E82" s="276"/>
      <c r="F82" s="276"/>
      <c r="G82" s="353"/>
      <c r="H82" s="276"/>
      <c r="I82" s="353"/>
      <c r="J82" s="276"/>
      <c r="K82" s="276"/>
      <c r="L82" s="276"/>
      <c r="M82" s="276"/>
      <c r="N82" s="276"/>
      <c r="O82" s="276"/>
      <c r="P82" s="276"/>
      <c r="Q82" s="276"/>
      <c r="R82" s="276"/>
      <c r="S82" s="276"/>
      <c r="T82" s="276"/>
      <c r="U82" s="276"/>
      <c r="V82" s="276"/>
      <c r="W82" s="276"/>
      <c r="X82" s="276"/>
      <c r="Y82" s="354"/>
      <c r="Z82" s="276"/>
      <c r="AA82" s="276"/>
      <c r="AB82" s="276"/>
      <c r="AC82" s="276"/>
      <c r="AD82" s="276"/>
      <c r="AE82" s="276"/>
      <c r="AF82" s="276"/>
      <c r="AG82" s="276"/>
      <c r="AH82" s="276"/>
      <c r="AI82" s="276"/>
      <c r="AJ82" s="276"/>
      <c r="AK82" s="276"/>
      <c r="AL82" s="276"/>
    </row>
    <row r="83" spans="1:38" ht="15.75" customHeight="1" x14ac:dyDescent="0.25">
      <c r="A83" s="533"/>
      <c r="B83" s="276"/>
      <c r="C83" s="276"/>
      <c r="D83" s="276"/>
      <c r="E83" s="276"/>
      <c r="F83" s="276"/>
      <c r="G83" s="353"/>
      <c r="H83" s="276"/>
      <c r="I83" s="353"/>
      <c r="J83" s="276"/>
      <c r="K83" s="276"/>
      <c r="L83" s="276"/>
      <c r="M83" s="276"/>
      <c r="N83" s="276"/>
      <c r="O83" s="276"/>
      <c r="P83" s="276"/>
      <c r="Q83" s="276"/>
      <c r="R83" s="276"/>
      <c r="S83" s="276"/>
      <c r="T83" s="276"/>
      <c r="U83" s="276"/>
      <c r="V83" s="276"/>
      <c r="W83" s="276"/>
      <c r="X83" s="276"/>
      <c r="Y83" s="354"/>
      <c r="Z83" s="276"/>
      <c r="AA83" s="276"/>
      <c r="AB83" s="276"/>
      <c r="AC83" s="276"/>
      <c r="AD83" s="276"/>
      <c r="AE83" s="276"/>
      <c r="AF83" s="276"/>
      <c r="AG83" s="276"/>
      <c r="AH83" s="276"/>
      <c r="AI83" s="276"/>
      <c r="AJ83" s="276"/>
      <c r="AK83" s="276"/>
      <c r="AL83" s="276"/>
    </row>
    <row r="84" spans="1:38" ht="15.75" customHeight="1" x14ac:dyDescent="0.25">
      <c r="A84" s="533"/>
      <c r="B84" s="276"/>
      <c r="C84" s="276"/>
      <c r="D84" s="276"/>
      <c r="E84" s="276"/>
      <c r="F84" s="276"/>
      <c r="G84" s="353"/>
      <c r="H84" s="276"/>
      <c r="I84" s="353"/>
      <c r="J84" s="276"/>
      <c r="K84" s="276"/>
      <c r="L84" s="276"/>
      <c r="M84" s="276"/>
      <c r="N84" s="276"/>
      <c r="O84" s="276"/>
      <c r="P84" s="276"/>
      <c r="Q84" s="276"/>
      <c r="R84" s="276"/>
      <c r="S84" s="276"/>
      <c r="T84" s="276"/>
      <c r="U84" s="276"/>
      <c r="V84" s="276"/>
      <c r="W84" s="276"/>
      <c r="X84" s="276"/>
      <c r="Y84" s="354"/>
      <c r="Z84" s="276"/>
      <c r="AA84" s="276"/>
      <c r="AB84" s="276"/>
      <c r="AC84" s="276"/>
      <c r="AD84" s="276"/>
      <c r="AE84" s="276"/>
      <c r="AF84" s="276"/>
      <c r="AG84" s="276"/>
      <c r="AH84" s="276"/>
      <c r="AI84" s="276"/>
      <c r="AJ84" s="276"/>
      <c r="AK84" s="276"/>
      <c r="AL84" s="276"/>
    </row>
    <row r="85" spans="1:38" ht="15.75" customHeight="1" x14ac:dyDescent="0.25">
      <c r="A85" s="533"/>
      <c r="B85" s="276"/>
      <c r="C85" s="276"/>
      <c r="D85" s="276"/>
      <c r="E85" s="276"/>
      <c r="F85" s="276"/>
      <c r="G85" s="353"/>
      <c r="H85" s="276"/>
      <c r="I85" s="353"/>
      <c r="J85" s="276"/>
      <c r="K85" s="276"/>
      <c r="L85" s="276"/>
      <c r="M85" s="276"/>
      <c r="N85" s="276"/>
      <c r="O85" s="276"/>
      <c r="P85" s="276"/>
      <c r="Q85" s="276"/>
      <c r="R85" s="276"/>
      <c r="S85" s="276"/>
      <c r="T85" s="276"/>
      <c r="U85" s="276"/>
      <c r="V85" s="276"/>
      <c r="W85" s="276"/>
      <c r="X85" s="276"/>
      <c r="Y85" s="354"/>
      <c r="Z85" s="276"/>
      <c r="AA85" s="276"/>
      <c r="AB85" s="276"/>
      <c r="AC85" s="276"/>
      <c r="AD85" s="276"/>
      <c r="AE85" s="276"/>
      <c r="AF85" s="276"/>
      <c r="AG85" s="276"/>
      <c r="AH85" s="276"/>
      <c r="AI85" s="276"/>
      <c r="AJ85" s="276"/>
      <c r="AK85" s="276"/>
      <c r="AL85" s="276"/>
    </row>
    <row r="86" spans="1:38" ht="15.75" customHeight="1" x14ac:dyDescent="0.25">
      <c r="A86" s="533"/>
      <c r="B86" s="276"/>
      <c r="C86" s="276"/>
      <c r="D86" s="276"/>
      <c r="E86" s="276"/>
      <c r="F86" s="276"/>
      <c r="G86" s="353"/>
      <c r="H86" s="276"/>
      <c r="I86" s="353"/>
      <c r="J86" s="276"/>
      <c r="K86" s="276"/>
      <c r="L86" s="276"/>
      <c r="M86" s="276"/>
      <c r="N86" s="276"/>
      <c r="O86" s="276"/>
      <c r="P86" s="276"/>
      <c r="Q86" s="276"/>
      <c r="R86" s="276"/>
      <c r="S86" s="276"/>
      <c r="T86" s="276"/>
      <c r="U86" s="276"/>
      <c r="V86" s="276"/>
      <c r="W86" s="276"/>
      <c r="X86" s="276"/>
      <c r="Y86" s="354"/>
      <c r="Z86" s="276"/>
      <c r="AA86" s="276"/>
      <c r="AB86" s="276"/>
      <c r="AC86" s="276"/>
      <c r="AD86" s="276"/>
      <c r="AE86" s="276"/>
      <c r="AF86" s="276"/>
      <c r="AG86" s="276"/>
      <c r="AH86" s="276"/>
      <c r="AI86" s="276"/>
      <c r="AJ86" s="276"/>
      <c r="AK86" s="276"/>
      <c r="AL86" s="276"/>
    </row>
    <row r="87" spans="1:38" ht="15.75" customHeight="1" x14ac:dyDescent="0.25">
      <c r="A87" s="533"/>
      <c r="B87" s="276"/>
      <c r="C87" s="276"/>
      <c r="D87" s="276"/>
      <c r="E87" s="276"/>
      <c r="F87" s="276"/>
      <c r="G87" s="353"/>
      <c r="H87" s="276"/>
      <c r="I87" s="353"/>
      <c r="J87" s="276"/>
      <c r="K87" s="276"/>
      <c r="L87" s="276"/>
      <c r="M87" s="276"/>
      <c r="N87" s="276"/>
      <c r="O87" s="276"/>
      <c r="P87" s="276"/>
      <c r="Q87" s="276"/>
      <c r="R87" s="276"/>
      <c r="S87" s="276"/>
      <c r="T87" s="276"/>
      <c r="U87" s="276"/>
      <c r="V87" s="276"/>
      <c r="W87" s="276"/>
      <c r="X87" s="276"/>
      <c r="Y87" s="354"/>
      <c r="Z87" s="276"/>
      <c r="AA87" s="276"/>
      <c r="AB87" s="276"/>
      <c r="AC87" s="276"/>
      <c r="AD87" s="276"/>
      <c r="AE87" s="276"/>
      <c r="AF87" s="276"/>
      <c r="AG87" s="276"/>
      <c r="AH87" s="276"/>
      <c r="AI87" s="276"/>
      <c r="AJ87" s="276"/>
      <c r="AK87" s="276"/>
      <c r="AL87" s="276"/>
    </row>
    <row r="88" spans="1:38" ht="15.75" customHeight="1" x14ac:dyDescent="0.25">
      <c r="A88" s="533"/>
      <c r="B88" s="276"/>
      <c r="C88" s="276"/>
      <c r="D88" s="276"/>
      <c r="E88" s="276"/>
      <c r="F88" s="276"/>
      <c r="G88" s="353"/>
      <c r="H88" s="276"/>
      <c r="I88" s="353"/>
      <c r="J88" s="276"/>
      <c r="K88" s="276"/>
      <c r="L88" s="276"/>
      <c r="M88" s="276"/>
      <c r="N88" s="276"/>
      <c r="O88" s="276"/>
      <c r="P88" s="276"/>
      <c r="Q88" s="276"/>
      <c r="R88" s="276"/>
      <c r="S88" s="276"/>
      <c r="T88" s="276"/>
      <c r="U88" s="276"/>
      <c r="V88" s="276"/>
      <c r="W88" s="276"/>
      <c r="X88" s="276"/>
      <c r="Y88" s="354"/>
      <c r="Z88" s="276"/>
      <c r="AA88" s="276"/>
      <c r="AB88" s="276"/>
      <c r="AC88" s="276"/>
      <c r="AD88" s="276"/>
      <c r="AE88" s="276"/>
      <c r="AF88" s="276"/>
      <c r="AG88" s="276"/>
      <c r="AH88" s="276"/>
      <c r="AI88" s="276"/>
      <c r="AJ88" s="276"/>
      <c r="AK88" s="276"/>
      <c r="AL88" s="276"/>
    </row>
    <row r="89" spans="1:38" ht="15.75" customHeight="1" x14ac:dyDescent="0.25">
      <c r="A89" s="533"/>
      <c r="B89" s="276"/>
      <c r="C89" s="276"/>
      <c r="D89" s="276"/>
      <c r="E89" s="276"/>
      <c r="F89" s="276"/>
      <c r="G89" s="353"/>
      <c r="H89" s="276"/>
      <c r="I89" s="353"/>
      <c r="J89" s="276"/>
      <c r="K89" s="276"/>
      <c r="L89" s="276"/>
      <c r="M89" s="276"/>
      <c r="N89" s="276"/>
      <c r="O89" s="276"/>
      <c r="P89" s="276"/>
      <c r="Q89" s="276"/>
      <c r="R89" s="276"/>
      <c r="S89" s="276"/>
      <c r="T89" s="276"/>
      <c r="U89" s="276"/>
      <c r="V89" s="276"/>
      <c r="W89" s="276"/>
      <c r="X89" s="276"/>
      <c r="Y89" s="354"/>
      <c r="Z89" s="276"/>
      <c r="AA89" s="276"/>
      <c r="AB89" s="276"/>
      <c r="AC89" s="276"/>
      <c r="AD89" s="276"/>
      <c r="AE89" s="276"/>
      <c r="AF89" s="276"/>
      <c r="AG89" s="276"/>
      <c r="AH89" s="276"/>
      <c r="AI89" s="276"/>
      <c r="AJ89" s="276"/>
      <c r="AK89" s="276"/>
      <c r="AL89" s="276"/>
    </row>
    <row r="90" spans="1:38" ht="15.75" customHeight="1" x14ac:dyDescent="0.25">
      <c r="A90" s="533"/>
      <c r="B90" s="276"/>
      <c r="C90" s="276"/>
      <c r="D90" s="276"/>
      <c r="E90" s="276"/>
      <c r="F90" s="276"/>
      <c r="G90" s="353"/>
      <c r="H90" s="276"/>
      <c r="I90" s="353"/>
      <c r="J90" s="276"/>
      <c r="K90" s="276"/>
      <c r="L90" s="276"/>
      <c r="M90" s="276"/>
      <c r="N90" s="276"/>
      <c r="O90" s="276"/>
      <c r="P90" s="276"/>
      <c r="Q90" s="276"/>
      <c r="R90" s="276"/>
      <c r="S90" s="276"/>
      <c r="T90" s="276"/>
      <c r="U90" s="276"/>
      <c r="V90" s="276"/>
      <c r="W90" s="276"/>
      <c r="X90" s="276"/>
      <c r="Y90" s="354"/>
      <c r="Z90" s="276"/>
      <c r="AA90" s="276"/>
      <c r="AB90" s="276"/>
      <c r="AC90" s="276"/>
      <c r="AD90" s="276"/>
      <c r="AE90" s="276"/>
      <c r="AF90" s="276"/>
      <c r="AG90" s="276"/>
      <c r="AH90" s="276"/>
      <c r="AI90" s="276"/>
      <c r="AJ90" s="276"/>
      <c r="AK90" s="276"/>
      <c r="AL90" s="276"/>
    </row>
    <row r="91" spans="1:38" ht="15.75" customHeight="1" x14ac:dyDescent="0.25">
      <c r="A91" s="533"/>
      <c r="B91" s="276"/>
      <c r="C91" s="276"/>
      <c r="D91" s="276"/>
      <c r="E91" s="276"/>
      <c r="F91" s="276"/>
      <c r="G91" s="353"/>
      <c r="H91" s="276"/>
      <c r="I91" s="353"/>
      <c r="J91" s="276"/>
      <c r="K91" s="276"/>
      <c r="L91" s="276"/>
      <c r="M91" s="276"/>
      <c r="N91" s="276"/>
      <c r="O91" s="276"/>
      <c r="P91" s="276"/>
      <c r="Q91" s="276"/>
      <c r="R91" s="276"/>
      <c r="S91" s="276"/>
      <c r="T91" s="276"/>
      <c r="U91" s="276"/>
      <c r="V91" s="276"/>
      <c r="W91" s="276"/>
      <c r="X91" s="276"/>
      <c r="Y91" s="354"/>
      <c r="Z91" s="276"/>
      <c r="AA91" s="276"/>
      <c r="AB91" s="276"/>
      <c r="AC91" s="276"/>
      <c r="AD91" s="276"/>
      <c r="AE91" s="276"/>
      <c r="AF91" s="276"/>
      <c r="AG91" s="276"/>
      <c r="AH91" s="276"/>
      <c r="AI91" s="276"/>
      <c r="AJ91" s="276"/>
      <c r="AK91" s="276"/>
      <c r="AL91" s="276"/>
    </row>
    <row r="92" spans="1:38" ht="15.75" customHeight="1" x14ac:dyDescent="0.25">
      <c r="A92" s="533"/>
      <c r="B92" s="276"/>
      <c r="C92" s="276"/>
      <c r="D92" s="276"/>
      <c r="E92" s="276"/>
      <c r="F92" s="276"/>
      <c r="G92" s="353"/>
      <c r="H92" s="276"/>
      <c r="I92" s="353"/>
      <c r="J92" s="276"/>
      <c r="K92" s="276"/>
      <c r="L92" s="276"/>
      <c r="M92" s="276"/>
      <c r="N92" s="276"/>
      <c r="O92" s="276"/>
      <c r="P92" s="276"/>
      <c r="Q92" s="276"/>
      <c r="R92" s="276"/>
      <c r="S92" s="276"/>
      <c r="T92" s="276"/>
      <c r="U92" s="276"/>
      <c r="V92" s="276"/>
      <c r="W92" s="276"/>
      <c r="X92" s="276"/>
      <c r="Y92" s="354"/>
      <c r="Z92" s="276"/>
      <c r="AA92" s="276"/>
      <c r="AB92" s="276"/>
      <c r="AC92" s="276"/>
      <c r="AD92" s="276"/>
      <c r="AE92" s="276"/>
      <c r="AF92" s="276"/>
      <c r="AG92" s="276"/>
      <c r="AH92" s="276"/>
      <c r="AI92" s="276"/>
      <c r="AJ92" s="276"/>
      <c r="AK92" s="276"/>
      <c r="AL92" s="276"/>
    </row>
    <row r="93" spans="1:38" ht="15.75" customHeight="1" x14ac:dyDescent="0.25">
      <c r="A93" s="533"/>
      <c r="B93" s="276"/>
      <c r="C93" s="276"/>
      <c r="D93" s="276"/>
      <c r="E93" s="276"/>
      <c r="F93" s="276"/>
      <c r="G93" s="353"/>
      <c r="H93" s="276"/>
      <c r="I93" s="353"/>
      <c r="J93" s="276"/>
      <c r="K93" s="276"/>
      <c r="L93" s="276"/>
      <c r="M93" s="276"/>
      <c r="N93" s="276"/>
      <c r="O93" s="276"/>
      <c r="P93" s="276"/>
      <c r="Q93" s="276"/>
      <c r="R93" s="276"/>
      <c r="S93" s="276"/>
      <c r="T93" s="276"/>
      <c r="U93" s="276"/>
      <c r="V93" s="276"/>
      <c r="W93" s="276"/>
      <c r="X93" s="276"/>
      <c r="Y93" s="354"/>
      <c r="Z93" s="276"/>
      <c r="AA93" s="276"/>
      <c r="AB93" s="276"/>
      <c r="AC93" s="276"/>
      <c r="AD93" s="276"/>
      <c r="AE93" s="276"/>
      <c r="AF93" s="276"/>
      <c r="AG93" s="276"/>
      <c r="AH93" s="276"/>
      <c r="AI93" s="276"/>
      <c r="AJ93" s="276"/>
      <c r="AK93" s="276"/>
      <c r="AL93" s="276"/>
    </row>
    <row r="94" spans="1:38" ht="15.75" customHeight="1" x14ac:dyDescent="0.25">
      <c r="A94" s="533"/>
      <c r="B94" s="276"/>
      <c r="C94" s="276"/>
      <c r="D94" s="276"/>
      <c r="E94" s="276"/>
      <c r="F94" s="276"/>
      <c r="G94" s="353"/>
      <c r="H94" s="276"/>
      <c r="I94" s="353"/>
      <c r="J94" s="276"/>
      <c r="K94" s="276"/>
      <c r="L94" s="276"/>
      <c r="M94" s="276"/>
      <c r="N94" s="276"/>
      <c r="O94" s="276"/>
      <c r="P94" s="276"/>
      <c r="Q94" s="276"/>
      <c r="R94" s="276"/>
      <c r="S94" s="276"/>
      <c r="T94" s="276"/>
      <c r="U94" s="276"/>
      <c r="V94" s="276"/>
      <c r="W94" s="276"/>
      <c r="X94" s="276"/>
      <c r="Y94" s="354"/>
      <c r="Z94" s="276"/>
      <c r="AA94" s="276"/>
      <c r="AB94" s="276"/>
      <c r="AC94" s="276"/>
      <c r="AD94" s="276"/>
      <c r="AE94" s="276"/>
      <c r="AF94" s="276"/>
      <c r="AG94" s="276"/>
      <c r="AH94" s="276"/>
      <c r="AI94" s="276"/>
      <c r="AJ94" s="276"/>
      <c r="AK94" s="276"/>
      <c r="AL94" s="276"/>
    </row>
    <row r="95" spans="1:38" ht="15.75" customHeight="1" x14ac:dyDescent="0.25">
      <c r="A95" s="533"/>
      <c r="B95" s="276"/>
      <c r="C95" s="276"/>
      <c r="D95" s="276"/>
      <c r="E95" s="276"/>
      <c r="F95" s="276"/>
      <c r="G95" s="353"/>
      <c r="H95" s="276"/>
      <c r="I95" s="353"/>
      <c r="J95" s="276"/>
      <c r="K95" s="276"/>
      <c r="L95" s="276"/>
      <c r="M95" s="276"/>
      <c r="N95" s="276"/>
      <c r="O95" s="276"/>
      <c r="P95" s="276"/>
      <c r="Q95" s="276"/>
      <c r="R95" s="276"/>
      <c r="S95" s="276"/>
      <c r="T95" s="276"/>
      <c r="U95" s="276"/>
      <c r="V95" s="276"/>
      <c r="W95" s="276"/>
      <c r="X95" s="276"/>
      <c r="Y95" s="354"/>
      <c r="Z95" s="276"/>
      <c r="AA95" s="276"/>
      <c r="AB95" s="276"/>
      <c r="AC95" s="276"/>
      <c r="AD95" s="276"/>
      <c r="AE95" s="276"/>
      <c r="AF95" s="276"/>
      <c r="AG95" s="276"/>
      <c r="AH95" s="276"/>
      <c r="AI95" s="276"/>
      <c r="AJ95" s="276"/>
      <c r="AK95" s="276"/>
      <c r="AL95" s="276"/>
    </row>
    <row r="96" spans="1:38" ht="15.75" customHeight="1" x14ac:dyDescent="0.25">
      <c r="A96" s="533"/>
      <c r="B96" s="276"/>
      <c r="C96" s="276"/>
      <c r="D96" s="276"/>
      <c r="E96" s="276"/>
      <c r="F96" s="276"/>
      <c r="G96" s="353"/>
      <c r="H96" s="276"/>
      <c r="I96" s="353"/>
      <c r="J96" s="276"/>
      <c r="K96" s="276"/>
      <c r="L96" s="276"/>
      <c r="M96" s="276"/>
      <c r="N96" s="276"/>
      <c r="O96" s="276"/>
      <c r="P96" s="276"/>
      <c r="Q96" s="276"/>
      <c r="R96" s="276"/>
      <c r="S96" s="276"/>
      <c r="T96" s="276"/>
      <c r="U96" s="276"/>
      <c r="V96" s="276"/>
      <c r="W96" s="276"/>
      <c r="X96" s="276"/>
      <c r="Y96" s="354"/>
      <c r="Z96" s="276"/>
      <c r="AA96" s="276"/>
      <c r="AB96" s="276"/>
      <c r="AC96" s="276"/>
      <c r="AD96" s="276"/>
      <c r="AE96" s="276"/>
      <c r="AF96" s="276"/>
      <c r="AG96" s="276"/>
      <c r="AH96" s="276"/>
      <c r="AI96" s="276"/>
      <c r="AJ96" s="276"/>
      <c r="AK96" s="276"/>
      <c r="AL96" s="276"/>
    </row>
    <row r="97" spans="1:38" ht="15.75" customHeight="1" x14ac:dyDescent="0.25">
      <c r="A97" s="533"/>
      <c r="B97" s="276"/>
      <c r="C97" s="276"/>
      <c r="D97" s="276"/>
      <c r="E97" s="276"/>
      <c r="F97" s="276"/>
      <c r="G97" s="353"/>
      <c r="H97" s="276"/>
      <c r="I97" s="353"/>
      <c r="J97" s="276"/>
      <c r="K97" s="276"/>
      <c r="L97" s="276"/>
      <c r="M97" s="276"/>
      <c r="N97" s="276"/>
      <c r="O97" s="276"/>
      <c r="P97" s="276"/>
      <c r="Q97" s="276"/>
      <c r="R97" s="276"/>
      <c r="S97" s="276"/>
      <c r="T97" s="276"/>
      <c r="U97" s="276"/>
      <c r="V97" s="276"/>
      <c r="W97" s="276"/>
      <c r="X97" s="276"/>
      <c r="Y97" s="354"/>
      <c r="Z97" s="276"/>
      <c r="AA97" s="276"/>
      <c r="AB97" s="276"/>
      <c r="AC97" s="276"/>
      <c r="AD97" s="276"/>
      <c r="AE97" s="276"/>
      <c r="AF97" s="276"/>
      <c r="AG97" s="276"/>
      <c r="AH97" s="276"/>
      <c r="AI97" s="276"/>
      <c r="AJ97" s="276"/>
      <c r="AK97" s="276"/>
      <c r="AL97" s="276"/>
    </row>
    <row r="98" spans="1:38" ht="15.75" customHeight="1" x14ac:dyDescent="0.25">
      <c r="A98" s="533"/>
      <c r="B98" s="276"/>
      <c r="C98" s="276"/>
      <c r="D98" s="276"/>
      <c r="E98" s="276"/>
      <c r="F98" s="276"/>
      <c r="G98" s="353"/>
      <c r="H98" s="276"/>
      <c r="I98" s="353"/>
      <c r="J98" s="276"/>
      <c r="K98" s="276"/>
      <c r="L98" s="276"/>
      <c r="M98" s="276"/>
      <c r="N98" s="276"/>
      <c r="O98" s="276"/>
      <c r="P98" s="276"/>
      <c r="Q98" s="276"/>
      <c r="R98" s="276"/>
      <c r="S98" s="276"/>
      <c r="T98" s="276"/>
      <c r="U98" s="276"/>
      <c r="V98" s="276"/>
      <c r="W98" s="276"/>
      <c r="X98" s="276"/>
      <c r="Y98" s="354"/>
      <c r="Z98" s="276"/>
      <c r="AA98" s="276"/>
      <c r="AB98" s="276"/>
      <c r="AC98" s="276"/>
      <c r="AD98" s="276"/>
      <c r="AE98" s="276"/>
      <c r="AF98" s="276"/>
      <c r="AG98" s="276"/>
      <c r="AH98" s="276"/>
      <c r="AI98" s="276"/>
      <c r="AJ98" s="276"/>
      <c r="AK98" s="276"/>
      <c r="AL98" s="276"/>
    </row>
    <row r="99" spans="1:38" ht="15.75" customHeight="1" x14ac:dyDescent="0.25">
      <c r="A99" s="533"/>
      <c r="B99" s="276"/>
      <c r="C99" s="276"/>
      <c r="D99" s="276"/>
      <c r="E99" s="276"/>
      <c r="F99" s="276"/>
      <c r="G99" s="353"/>
      <c r="H99" s="276"/>
      <c r="I99" s="353"/>
      <c r="J99" s="276"/>
      <c r="K99" s="276"/>
      <c r="L99" s="276"/>
      <c r="M99" s="276"/>
      <c r="N99" s="276"/>
      <c r="O99" s="276"/>
      <c r="P99" s="276"/>
      <c r="Q99" s="276"/>
      <c r="R99" s="276"/>
      <c r="S99" s="276"/>
      <c r="T99" s="276"/>
      <c r="U99" s="276"/>
      <c r="V99" s="276"/>
      <c r="W99" s="276"/>
      <c r="X99" s="276"/>
      <c r="Y99" s="354"/>
      <c r="Z99" s="276"/>
      <c r="AA99" s="276"/>
      <c r="AB99" s="276"/>
      <c r="AC99" s="276"/>
      <c r="AD99" s="276"/>
      <c r="AE99" s="276"/>
      <c r="AF99" s="276"/>
      <c r="AG99" s="276"/>
      <c r="AH99" s="276"/>
      <c r="AI99" s="276"/>
      <c r="AJ99" s="276"/>
      <c r="AK99" s="276"/>
      <c r="AL99" s="276"/>
    </row>
    <row r="100" spans="1:38" ht="15.75" customHeight="1" x14ac:dyDescent="0.25">
      <c r="A100" s="533"/>
      <c r="B100" s="276"/>
      <c r="C100" s="276"/>
      <c r="D100" s="276"/>
      <c r="E100" s="276"/>
      <c r="F100" s="276"/>
      <c r="G100" s="353"/>
      <c r="H100" s="276"/>
      <c r="I100" s="353"/>
      <c r="J100" s="276"/>
      <c r="K100" s="276"/>
      <c r="L100" s="276"/>
      <c r="M100" s="276"/>
      <c r="N100" s="276"/>
      <c r="O100" s="276"/>
      <c r="P100" s="276"/>
      <c r="Q100" s="276"/>
      <c r="R100" s="276"/>
      <c r="S100" s="276"/>
      <c r="T100" s="276"/>
      <c r="U100" s="276"/>
      <c r="V100" s="276"/>
      <c r="W100" s="276"/>
      <c r="X100" s="276"/>
      <c r="Y100" s="354"/>
      <c r="Z100" s="276"/>
      <c r="AA100" s="276"/>
      <c r="AB100" s="276"/>
      <c r="AC100" s="276"/>
      <c r="AD100" s="276"/>
      <c r="AE100" s="276"/>
      <c r="AF100" s="276"/>
      <c r="AG100" s="276"/>
      <c r="AH100" s="276"/>
      <c r="AI100" s="276"/>
      <c r="AJ100" s="276"/>
      <c r="AK100" s="276"/>
      <c r="AL100" s="276"/>
    </row>
    <row r="101" spans="1:38" ht="15.75" customHeight="1" x14ac:dyDescent="0.25">
      <c r="A101" s="533"/>
      <c r="B101" s="276"/>
      <c r="C101" s="276"/>
      <c r="D101" s="276"/>
      <c r="E101" s="276"/>
      <c r="F101" s="276"/>
      <c r="G101" s="353"/>
      <c r="H101" s="276"/>
      <c r="I101" s="353"/>
      <c r="J101" s="276"/>
      <c r="K101" s="276"/>
      <c r="L101" s="276"/>
      <c r="M101" s="276"/>
      <c r="N101" s="276"/>
      <c r="O101" s="276"/>
      <c r="P101" s="276"/>
      <c r="Q101" s="276"/>
      <c r="R101" s="276"/>
      <c r="S101" s="276"/>
      <c r="T101" s="276"/>
      <c r="U101" s="276"/>
      <c r="V101" s="276"/>
      <c r="W101" s="276"/>
      <c r="X101" s="276"/>
      <c r="Y101" s="354"/>
      <c r="Z101" s="276"/>
      <c r="AA101" s="276"/>
      <c r="AB101" s="276"/>
      <c r="AC101" s="276"/>
      <c r="AD101" s="276"/>
      <c r="AE101" s="276"/>
      <c r="AF101" s="276"/>
      <c r="AG101" s="276"/>
      <c r="AH101" s="276"/>
      <c r="AI101" s="276"/>
      <c r="AJ101" s="276"/>
      <c r="AK101" s="276"/>
      <c r="AL101" s="276"/>
    </row>
    <row r="102" spans="1:38" ht="15.75" customHeight="1" x14ac:dyDescent="0.25">
      <c r="A102" s="533"/>
      <c r="B102" s="276"/>
      <c r="C102" s="276"/>
      <c r="D102" s="276"/>
      <c r="E102" s="276"/>
      <c r="F102" s="276"/>
      <c r="G102" s="353"/>
      <c r="H102" s="276"/>
      <c r="I102" s="353"/>
      <c r="J102" s="276"/>
      <c r="K102" s="276"/>
      <c r="L102" s="276"/>
      <c r="M102" s="276"/>
      <c r="N102" s="276"/>
      <c r="O102" s="276"/>
      <c r="P102" s="276"/>
      <c r="Q102" s="276"/>
      <c r="R102" s="276"/>
      <c r="S102" s="276"/>
      <c r="T102" s="276"/>
      <c r="U102" s="276"/>
      <c r="V102" s="276"/>
      <c r="W102" s="276"/>
      <c r="X102" s="276"/>
      <c r="Y102" s="354"/>
      <c r="Z102" s="276"/>
      <c r="AA102" s="276"/>
      <c r="AB102" s="276"/>
      <c r="AC102" s="276"/>
      <c r="AD102" s="276"/>
      <c r="AE102" s="276"/>
      <c r="AF102" s="276"/>
      <c r="AG102" s="276"/>
      <c r="AH102" s="276"/>
      <c r="AI102" s="276"/>
      <c r="AJ102" s="276"/>
      <c r="AK102" s="276"/>
      <c r="AL102" s="276"/>
    </row>
    <row r="103" spans="1:38" ht="15.75" customHeight="1" x14ac:dyDescent="0.25">
      <c r="A103" s="533"/>
      <c r="B103" s="276"/>
      <c r="C103" s="276"/>
      <c r="D103" s="276"/>
      <c r="E103" s="276"/>
      <c r="F103" s="276"/>
      <c r="G103" s="353"/>
      <c r="H103" s="276"/>
      <c r="I103" s="353"/>
      <c r="J103" s="276"/>
      <c r="K103" s="276"/>
      <c r="L103" s="276"/>
      <c r="M103" s="276"/>
      <c r="N103" s="276"/>
      <c r="O103" s="276"/>
      <c r="P103" s="276"/>
      <c r="Q103" s="276"/>
      <c r="R103" s="276"/>
      <c r="S103" s="276"/>
      <c r="T103" s="276"/>
      <c r="U103" s="276"/>
      <c r="V103" s="276"/>
      <c r="W103" s="276"/>
      <c r="X103" s="276"/>
      <c r="Y103" s="354"/>
      <c r="Z103" s="276"/>
      <c r="AA103" s="276"/>
      <c r="AB103" s="276"/>
      <c r="AC103" s="276"/>
      <c r="AD103" s="276"/>
      <c r="AE103" s="276"/>
      <c r="AF103" s="276"/>
      <c r="AG103" s="276"/>
      <c r="AH103" s="276"/>
      <c r="AI103" s="276"/>
      <c r="AJ103" s="276"/>
      <c r="AK103" s="276"/>
      <c r="AL103" s="276"/>
    </row>
    <row r="104" spans="1:38" ht="15.75" customHeight="1" x14ac:dyDescent="0.25">
      <c r="A104" s="533"/>
      <c r="B104" s="276"/>
      <c r="C104" s="276"/>
      <c r="D104" s="276"/>
      <c r="E104" s="276"/>
      <c r="F104" s="276"/>
      <c r="G104" s="353"/>
      <c r="H104" s="276"/>
      <c r="I104" s="353"/>
      <c r="J104" s="276"/>
      <c r="K104" s="276"/>
      <c r="L104" s="276"/>
      <c r="M104" s="276"/>
      <c r="N104" s="276"/>
      <c r="O104" s="276"/>
      <c r="P104" s="276"/>
      <c r="Q104" s="276"/>
      <c r="R104" s="276"/>
      <c r="S104" s="276"/>
      <c r="T104" s="276"/>
      <c r="U104" s="276"/>
      <c r="V104" s="276"/>
      <c r="W104" s="276"/>
      <c r="X104" s="276"/>
      <c r="Y104" s="354"/>
      <c r="Z104" s="276"/>
      <c r="AA104" s="276"/>
      <c r="AB104" s="276"/>
      <c r="AC104" s="276"/>
      <c r="AD104" s="276"/>
      <c r="AE104" s="276"/>
      <c r="AF104" s="276"/>
      <c r="AG104" s="276"/>
      <c r="AH104" s="276"/>
      <c r="AI104" s="276"/>
      <c r="AJ104" s="276"/>
      <c r="AK104" s="276"/>
      <c r="AL104" s="276"/>
    </row>
    <row r="105" spans="1:38" ht="15.75" customHeight="1" x14ac:dyDescent="0.25">
      <c r="A105" s="533"/>
      <c r="B105" s="276"/>
      <c r="C105" s="276"/>
      <c r="D105" s="276"/>
      <c r="E105" s="276"/>
      <c r="F105" s="276"/>
      <c r="G105" s="353"/>
      <c r="H105" s="276"/>
      <c r="I105" s="353"/>
      <c r="J105" s="276"/>
      <c r="K105" s="276"/>
      <c r="L105" s="276"/>
      <c r="M105" s="276"/>
      <c r="N105" s="276"/>
      <c r="O105" s="276"/>
      <c r="P105" s="276"/>
      <c r="Q105" s="276"/>
      <c r="R105" s="276"/>
      <c r="S105" s="276"/>
      <c r="T105" s="276"/>
      <c r="U105" s="276"/>
      <c r="V105" s="276"/>
      <c r="W105" s="276"/>
      <c r="X105" s="276"/>
      <c r="Y105" s="354"/>
      <c r="Z105" s="276"/>
      <c r="AA105" s="276"/>
      <c r="AB105" s="276"/>
      <c r="AC105" s="276"/>
      <c r="AD105" s="276"/>
      <c r="AE105" s="276"/>
      <c r="AF105" s="276"/>
      <c r="AG105" s="276"/>
      <c r="AH105" s="276"/>
      <c r="AI105" s="276"/>
      <c r="AJ105" s="276"/>
      <c r="AK105" s="276"/>
      <c r="AL105" s="276"/>
    </row>
    <row r="106" spans="1:38" ht="15.75" customHeight="1" x14ac:dyDescent="0.25">
      <c r="A106" s="533"/>
      <c r="B106" s="276"/>
      <c r="C106" s="276"/>
      <c r="D106" s="276"/>
      <c r="E106" s="276"/>
      <c r="F106" s="276"/>
      <c r="G106" s="353"/>
      <c r="H106" s="276"/>
      <c r="I106" s="353"/>
      <c r="J106" s="276"/>
      <c r="K106" s="276"/>
      <c r="L106" s="276"/>
      <c r="M106" s="276"/>
      <c r="N106" s="276"/>
      <c r="O106" s="276"/>
      <c r="P106" s="276"/>
      <c r="Q106" s="276"/>
      <c r="R106" s="276"/>
      <c r="S106" s="276"/>
      <c r="T106" s="276"/>
      <c r="U106" s="276"/>
      <c r="V106" s="276"/>
      <c r="W106" s="276"/>
      <c r="X106" s="276"/>
      <c r="Y106" s="354"/>
      <c r="Z106" s="276"/>
      <c r="AA106" s="276"/>
      <c r="AB106" s="276"/>
      <c r="AC106" s="276"/>
      <c r="AD106" s="276"/>
      <c r="AE106" s="276"/>
      <c r="AF106" s="276"/>
      <c r="AG106" s="276"/>
      <c r="AH106" s="276"/>
      <c r="AI106" s="276"/>
      <c r="AJ106" s="276"/>
      <c r="AK106" s="276"/>
      <c r="AL106" s="276"/>
    </row>
    <row r="107" spans="1:38" ht="15.75" customHeight="1" x14ac:dyDescent="0.25">
      <c r="A107" s="533"/>
      <c r="B107" s="276"/>
      <c r="C107" s="276"/>
      <c r="D107" s="276"/>
      <c r="E107" s="276"/>
      <c r="F107" s="276"/>
      <c r="G107" s="353"/>
      <c r="H107" s="276"/>
      <c r="I107" s="353"/>
      <c r="J107" s="276"/>
      <c r="K107" s="276"/>
      <c r="L107" s="276"/>
      <c r="M107" s="276"/>
      <c r="N107" s="276"/>
      <c r="O107" s="276"/>
      <c r="P107" s="276"/>
      <c r="Q107" s="276"/>
      <c r="R107" s="276"/>
      <c r="S107" s="276"/>
      <c r="T107" s="276"/>
      <c r="U107" s="276"/>
      <c r="V107" s="276"/>
      <c r="W107" s="276"/>
      <c r="X107" s="276"/>
      <c r="Y107" s="354"/>
      <c r="Z107" s="276"/>
      <c r="AA107" s="276"/>
      <c r="AB107" s="276"/>
      <c r="AC107" s="276"/>
      <c r="AD107" s="276"/>
      <c r="AE107" s="276"/>
      <c r="AF107" s="276"/>
      <c r="AG107" s="276"/>
      <c r="AH107" s="276"/>
      <c r="AI107" s="276"/>
      <c r="AJ107" s="276"/>
      <c r="AK107" s="276"/>
      <c r="AL107" s="276"/>
    </row>
    <row r="108" spans="1:38" ht="15.75" customHeight="1" x14ac:dyDescent="0.25">
      <c r="A108" s="533"/>
      <c r="B108" s="276"/>
      <c r="C108" s="276"/>
      <c r="D108" s="276"/>
      <c r="E108" s="276"/>
      <c r="F108" s="276"/>
      <c r="G108" s="353"/>
      <c r="H108" s="276"/>
      <c r="I108" s="353"/>
      <c r="J108" s="276"/>
      <c r="K108" s="276"/>
      <c r="L108" s="276"/>
      <c r="M108" s="276"/>
      <c r="N108" s="276"/>
      <c r="O108" s="276"/>
      <c r="P108" s="276"/>
      <c r="Q108" s="276"/>
      <c r="R108" s="276"/>
      <c r="S108" s="276"/>
      <c r="T108" s="276"/>
      <c r="U108" s="276"/>
      <c r="V108" s="276"/>
      <c r="W108" s="276"/>
      <c r="X108" s="276"/>
      <c r="Y108" s="354"/>
      <c r="Z108" s="276"/>
      <c r="AA108" s="276"/>
      <c r="AB108" s="276"/>
      <c r="AC108" s="276"/>
      <c r="AD108" s="276"/>
      <c r="AE108" s="276"/>
      <c r="AF108" s="276"/>
      <c r="AG108" s="276"/>
      <c r="AH108" s="276"/>
      <c r="AI108" s="276"/>
      <c r="AJ108" s="276"/>
      <c r="AK108" s="276"/>
      <c r="AL108" s="276"/>
    </row>
    <row r="109" spans="1:38" ht="15.75" customHeight="1" x14ac:dyDescent="0.25">
      <c r="A109" s="533"/>
      <c r="B109" s="276"/>
      <c r="C109" s="276"/>
      <c r="D109" s="276"/>
      <c r="E109" s="276"/>
      <c r="F109" s="276"/>
      <c r="G109" s="353"/>
      <c r="H109" s="276"/>
      <c r="I109" s="353"/>
      <c r="J109" s="276"/>
      <c r="K109" s="276"/>
      <c r="L109" s="276"/>
      <c r="M109" s="276"/>
      <c r="N109" s="276"/>
      <c r="O109" s="276"/>
      <c r="P109" s="276"/>
      <c r="Q109" s="276"/>
      <c r="R109" s="276"/>
      <c r="S109" s="276"/>
      <c r="T109" s="276"/>
      <c r="U109" s="276"/>
      <c r="V109" s="276"/>
      <c r="W109" s="276"/>
      <c r="X109" s="276"/>
      <c r="Y109" s="354"/>
      <c r="Z109" s="276"/>
      <c r="AA109" s="276"/>
      <c r="AB109" s="276"/>
      <c r="AC109" s="276"/>
      <c r="AD109" s="276"/>
      <c r="AE109" s="276"/>
      <c r="AF109" s="276"/>
      <c r="AG109" s="276"/>
      <c r="AH109" s="276"/>
      <c r="AI109" s="276"/>
      <c r="AJ109" s="276"/>
      <c r="AK109" s="276"/>
      <c r="AL109" s="276"/>
    </row>
    <row r="110" spans="1:38" ht="15.75" customHeight="1" x14ac:dyDescent="0.25">
      <c r="A110" s="533"/>
      <c r="B110" s="276"/>
      <c r="C110" s="276"/>
      <c r="D110" s="276"/>
      <c r="E110" s="276"/>
      <c r="F110" s="276"/>
      <c r="G110" s="353"/>
      <c r="H110" s="276"/>
      <c r="I110" s="353"/>
      <c r="J110" s="276"/>
      <c r="K110" s="276"/>
      <c r="L110" s="276"/>
      <c r="M110" s="276"/>
      <c r="N110" s="276"/>
      <c r="O110" s="276"/>
      <c r="P110" s="276"/>
      <c r="Q110" s="276"/>
      <c r="R110" s="276"/>
      <c r="S110" s="276"/>
      <c r="T110" s="276"/>
      <c r="U110" s="276"/>
      <c r="V110" s="276"/>
      <c r="W110" s="276"/>
      <c r="X110" s="276"/>
      <c r="Y110" s="354"/>
      <c r="Z110" s="276"/>
      <c r="AA110" s="276"/>
      <c r="AB110" s="276"/>
      <c r="AC110" s="276"/>
      <c r="AD110" s="276"/>
      <c r="AE110" s="276"/>
      <c r="AF110" s="276"/>
      <c r="AG110" s="276"/>
      <c r="AH110" s="276"/>
      <c r="AI110" s="276"/>
      <c r="AJ110" s="276"/>
      <c r="AK110" s="276"/>
      <c r="AL110" s="276"/>
    </row>
    <row r="111" spans="1:38" ht="15.75" customHeight="1" x14ac:dyDescent="0.25">
      <c r="A111" s="533"/>
      <c r="B111" s="276"/>
      <c r="C111" s="276"/>
      <c r="D111" s="276"/>
      <c r="E111" s="276"/>
      <c r="F111" s="276"/>
      <c r="G111" s="353"/>
      <c r="H111" s="276"/>
      <c r="I111" s="353"/>
      <c r="J111" s="276"/>
      <c r="K111" s="276"/>
      <c r="L111" s="276"/>
      <c r="M111" s="276"/>
      <c r="N111" s="276"/>
      <c r="O111" s="276"/>
      <c r="P111" s="276"/>
      <c r="Q111" s="276"/>
      <c r="R111" s="276"/>
      <c r="S111" s="276"/>
      <c r="T111" s="276"/>
      <c r="U111" s="276"/>
      <c r="V111" s="276"/>
      <c r="W111" s="276"/>
      <c r="X111" s="276"/>
      <c r="Y111" s="354"/>
      <c r="Z111" s="276"/>
      <c r="AA111" s="276"/>
      <c r="AB111" s="276"/>
      <c r="AC111" s="276"/>
      <c r="AD111" s="276"/>
      <c r="AE111" s="276"/>
      <c r="AF111" s="276"/>
      <c r="AG111" s="276"/>
      <c r="AH111" s="276"/>
      <c r="AI111" s="276"/>
      <c r="AJ111" s="276"/>
      <c r="AK111" s="276"/>
      <c r="AL111" s="276"/>
    </row>
    <row r="112" spans="1:38" ht="15.75" customHeight="1" x14ac:dyDescent="0.25">
      <c r="A112" s="533"/>
      <c r="B112" s="276"/>
      <c r="C112" s="276"/>
      <c r="D112" s="276"/>
      <c r="E112" s="276"/>
      <c r="F112" s="276"/>
      <c r="G112" s="353"/>
      <c r="H112" s="276"/>
      <c r="I112" s="353"/>
      <c r="J112" s="276"/>
      <c r="K112" s="276"/>
      <c r="L112" s="276"/>
      <c r="M112" s="276"/>
      <c r="N112" s="276"/>
      <c r="O112" s="276"/>
      <c r="P112" s="276"/>
      <c r="Q112" s="276"/>
      <c r="R112" s="276"/>
      <c r="S112" s="276"/>
      <c r="T112" s="276"/>
      <c r="U112" s="276"/>
      <c r="V112" s="276"/>
      <c r="W112" s="276"/>
      <c r="X112" s="276"/>
      <c r="Y112" s="354"/>
      <c r="Z112" s="276"/>
      <c r="AA112" s="276"/>
      <c r="AB112" s="276"/>
      <c r="AC112" s="276"/>
      <c r="AD112" s="276"/>
      <c r="AE112" s="276"/>
      <c r="AF112" s="276"/>
      <c r="AG112" s="276"/>
      <c r="AH112" s="276"/>
      <c r="AI112" s="276"/>
      <c r="AJ112" s="276"/>
      <c r="AK112" s="276"/>
      <c r="AL112" s="276"/>
    </row>
    <row r="113" spans="1:38" ht="15.75" customHeight="1" x14ac:dyDescent="0.25">
      <c r="A113" s="533"/>
      <c r="B113" s="276"/>
      <c r="C113" s="276"/>
      <c r="D113" s="276"/>
      <c r="E113" s="276"/>
      <c r="F113" s="276"/>
      <c r="G113" s="353"/>
      <c r="H113" s="276"/>
      <c r="I113" s="353"/>
      <c r="J113" s="276"/>
      <c r="K113" s="276"/>
      <c r="L113" s="276"/>
      <c r="M113" s="276"/>
      <c r="N113" s="276"/>
      <c r="O113" s="276"/>
      <c r="P113" s="276"/>
      <c r="Q113" s="276"/>
      <c r="R113" s="276"/>
      <c r="S113" s="276"/>
      <c r="T113" s="276"/>
      <c r="U113" s="276"/>
      <c r="V113" s="276"/>
      <c r="W113" s="276"/>
      <c r="X113" s="276"/>
      <c r="Y113" s="354"/>
      <c r="Z113" s="276"/>
      <c r="AA113" s="276"/>
      <c r="AB113" s="276"/>
      <c r="AC113" s="276"/>
      <c r="AD113" s="276"/>
      <c r="AE113" s="276"/>
      <c r="AF113" s="276"/>
      <c r="AG113" s="276"/>
      <c r="AH113" s="276"/>
      <c r="AI113" s="276"/>
      <c r="AJ113" s="276"/>
      <c r="AK113" s="276"/>
      <c r="AL113" s="276"/>
    </row>
    <row r="114" spans="1:38" ht="15.75" customHeight="1" x14ac:dyDescent="0.25">
      <c r="A114" s="533"/>
      <c r="B114" s="276"/>
      <c r="C114" s="276"/>
      <c r="D114" s="276"/>
      <c r="E114" s="276"/>
      <c r="F114" s="276"/>
      <c r="G114" s="353"/>
      <c r="H114" s="276"/>
      <c r="I114" s="353"/>
      <c r="J114" s="276"/>
      <c r="K114" s="276"/>
      <c r="L114" s="276"/>
      <c r="M114" s="276"/>
      <c r="N114" s="276"/>
      <c r="O114" s="276"/>
      <c r="P114" s="276"/>
      <c r="Q114" s="276"/>
      <c r="R114" s="276"/>
      <c r="S114" s="276"/>
      <c r="T114" s="276"/>
      <c r="U114" s="276"/>
      <c r="V114" s="276"/>
      <c r="W114" s="276"/>
      <c r="X114" s="276"/>
      <c r="Y114" s="354"/>
      <c r="Z114" s="276"/>
      <c r="AA114" s="276"/>
      <c r="AB114" s="276"/>
      <c r="AC114" s="276"/>
      <c r="AD114" s="276"/>
      <c r="AE114" s="276"/>
      <c r="AF114" s="276"/>
      <c r="AG114" s="276"/>
      <c r="AH114" s="276"/>
      <c r="AI114" s="276"/>
      <c r="AJ114" s="276"/>
      <c r="AK114" s="276"/>
      <c r="AL114" s="276"/>
    </row>
    <row r="115" spans="1:38" ht="15.75" customHeight="1" x14ac:dyDescent="0.25">
      <c r="A115" s="533"/>
      <c r="B115" s="276"/>
      <c r="C115" s="276"/>
      <c r="D115" s="276"/>
      <c r="E115" s="276"/>
      <c r="F115" s="276"/>
      <c r="G115" s="353"/>
      <c r="H115" s="276"/>
      <c r="I115" s="353"/>
      <c r="J115" s="276"/>
      <c r="K115" s="276"/>
      <c r="L115" s="276"/>
      <c r="M115" s="276"/>
      <c r="N115" s="276"/>
      <c r="O115" s="276"/>
      <c r="P115" s="276"/>
      <c r="Q115" s="276"/>
      <c r="R115" s="276"/>
      <c r="S115" s="276"/>
      <c r="T115" s="276"/>
      <c r="U115" s="276"/>
      <c r="V115" s="276"/>
      <c r="W115" s="276"/>
      <c r="X115" s="276"/>
      <c r="Y115" s="354"/>
      <c r="Z115" s="276"/>
      <c r="AA115" s="276"/>
      <c r="AB115" s="276"/>
      <c r="AC115" s="276"/>
      <c r="AD115" s="276"/>
      <c r="AE115" s="276"/>
      <c r="AF115" s="276"/>
      <c r="AG115" s="276"/>
      <c r="AH115" s="276"/>
      <c r="AI115" s="276"/>
      <c r="AJ115" s="276"/>
      <c r="AK115" s="276"/>
      <c r="AL115" s="276"/>
    </row>
    <row r="116" spans="1:38" ht="15.75" customHeight="1" x14ac:dyDescent="0.25">
      <c r="A116" s="533"/>
      <c r="B116" s="276"/>
      <c r="C116" s="276"/>
      <c r="D116" s="276"/>
      <c r="E116" s="276"/>
      <c r="F116" s="276"/>
      <c r="G116" s="353"/>
      <c r="H116" s="276"/>
      <c r="I116" s="353"/>
      <c r="J116" s="276"/>
      <c r="K116" s="276"/>
      <c r="L116" s="276"/>
      <c r="M116" s="276"/>
      <c r="N116" s="276"/>
      <c r="O116" s="276"/>
      <c r="P116" s="276"/>
      <c r="Q116" s="276"/>
      <c r="R116" s="276"/>
      <c r="S116" s="276"/>
      <c r="T116" s="276"/>
      <c r="U116" s="276"/>
      <c r="V116" s="276"/>
      <c r="W116" s="276"/>
      <c r="X116" s="276"/>
      <c r="Y116" s="354"/>
      <c r="Z116" s="276"/>
      <c r="AA116" s="276"/>
      <c r="AB116" s="276"/>
      <c r="AC116" s="276"/>
      <c r="AD116" s="276"/>
      <c r="AE116" s="276"/>
      <c r="AF116" s="276"/>
      <c r="AG116" s="276"/>
      <c r="AH116" s="276"/>
      <c r="AI116" s="276"/>
      <c r="AJ116" s="276"/>
      <c r="AK116" s="276"/>
      <c r="AL116" s="276"/>
    </row>
    <row r="117" spans="1:38" ht="15.75" customHeight="1" x14ac:dyDescent="0.25">
      <c r="A117" s="533"/>
      <c r="B117" s="276"/>
      <c r="C117" s="276"/>
      <c r="D117" s="276"/>
      <c r="E117" s="276"/>
      <c r="F117" s="276"/>
      <c r="G117" s="353"/>
      <c r="H117" s="276"/>
      <c r="I117" s="353"/>
      <c r="J117" s="276"/>
      <c r="K117" s="276"/>
      <c r="L117" s="276"/>
      <c r="M117" s="276"/>
      <c r="N117" s="276"/>
      <c r="O117" s="276"/>
      <c r="P117" s="276"/>
      <c r="Q117" s="276"/>
      <c r="R117" s="276"/>
      <c r="S117" s="276"/>
      <c r="T117" s="276"/>
      <c r="U117" s="276"/>
      <c r="V117" s="276"/>
      <c r="W117" s="276"/>
      <c r="X117" s="276"/>
      <c r="Y117" s="354"/>
      <c r="Z117" s="276"/>
      <c r="AA117" s="276"/>
      <c r="AB117" s="276"/>
      <c r="AC117" s="276"/>
      <c r="AD117" s="276"/>
      <c r="AE117" s="276"/>
      <c r="AF117" s="276"/>
      <c r="AG117" s="276"/>
      <c r="AH117" s="276"/>
      <c r="AI117" s="276"/>
      <c r="AJ117" s="276"/>
      <c r="AK117" s="276"/>
      <c r="AL117" s="276"/>
    </row>
    <row r="118" spans="1:38" ht="15.75" customHeight="1" x14ac:dyDescent="0.25">
      <c r="A118" s="533"/>
      <c r="B118" s="276"/>
      <c r="C118" s="276"/>
      <c r="D118" s="276"/>
      <c r="E118" s="276"/>
      <c r="F118" s="276"/>
      <c r="G118" s="353"/>
      <c r="H118" s="276"/>
      <c r="I118" s="353"/>
      <c r="J118" s="276"/>
      <c r="K118" s="276"/>
      <c r="L118" s="276"/>
      <c r="M118" s="276"/>
      <c r="N118" s="276"/>
      <c r="O118" s="276"/>
      <c r="P118" s="276"/>
      <c r="Q118" s="276"/>
      <c r="R118" s="276"/>
      <c r="S118" s="276"/>
      <c r="T118" s="276"/>
      <c r="U118" s="276"/>
      <c r="V118" s="276"/>
      <c r="W118" s="276"/>
      <c r="X118" s="276"/>
      <c r="Y118" s="354"/>
      <c r="Z118" s="276"/>
      <c r="AA118" s="276"/>
      <c r="AB118" s="276"/>
      <c r="AC118" s="276"/>
      <c r="AD118" s="276"/>
      <c r="AE118" s="276"/>
      <c r="AF118" s="276"/>
      <c r="AG118" s="276"/>
      <c r="AH118" s="276"/>
      <c r="AI118" s="276"/>
      <c r="AJ118" s="276"/>
      <c r="AK118" s="276"/>
      <c r="AL118" s="276"/>
    </row>
    <row r="119" spans="1:38" ht="15.75" customHeight="1" x14ac:dyDescent="0.25">
      <c r="A119" s="533"/>
      <c r="B119" s="276"/>
      <c r="C119" s="276"/>
      <c r="D119" s="276"/>
      <c r="E119" s="276"/>
      <c r="F119" s="276"/>
      <c r="G119" s="353"/>
      <c r="H119" s="276"/>
      <c r="I119" s="353"/>
      <c r="J119" s="276"/>
      <c r="K119" s="276"/>
      <c r="L119" s="276"/>
      <c r="M119" s="276"/>
      <c r="N119" s="276"/>
      <c r="O119" s="276"/>
      <c r="P119" s="276"/>
      <c r="Q119" s="276"/>
      <c r="R119" s="276"/>
      <c r="S119" s="276"/>
      <c r="T119" s="276"/>
      <c r="U119" s="276"/>
      <c r="V119" s="276"/>
      <c r="W119" s="276"/>
      <c r="X119" s="276"/>
      <c r="Y119" s="354"/>
      <c r="Z119" s="276"/>
      <c r="AA119" s="276"/>
      <c r="AB119" s="276"/>
      <c r="AC119" s="276"/>
      <c r="AD119" s="276"/>
      <c r="AE119" s="276"/>
      <c r="AF119" s="276"/>
      <c r="AG119" s="276"/>
      <c r="AH119" s="276"/>
      <c r="AI119" s="276"/>
      <c r="AJ119" s="276"/>
      <c r="AK119" s="276"/>
      <c r="AL119" s="276"/>
    </row>
    <row r="120" spans="1:38" ht="15.75" customHeight="1" x14ac:dyDescent="0.25">
      <c r="A120" s="533"/>
      <c r="B120" s="276"/>
      <c r="C120" s="276"/>
      <c r="D120" s="276"/>
      <c r="E120" s="276"/>
      <c r="F120" s="276"/>
      <c r="G120" s="353"/>
      <c r="H120" s="276"/>
      <c r="I120" s="353"/>
      <c r="J120" s="276"/>
      <c r="K120" s="276"/>
      <c r="L120" s="276"/>
      <c r="M120" s="276"/>
      <c r="N120" s="276"/>
      <c r="O120" s="276"/>
      <c r="P120" s="276"/>
      <c r="Q120" s="276"/>
      <c r="R120" s="276"/>
      <c r="S120" s="276"/>
      <c r="T120" s="276"/>
      <c r="U120" s="276"/>
      <c r="V120" s="276"/>
      <c r="W120" s="276"/>
      <c r="X120" s="276"/>
      <c r="Y120" s="354"/>
      <c r="Z120" s="276"/>
      <c r="AA120" s="276"/>
      <c r="AB120" s="276"/>
      <c r="AC120" s="276"/>
      <c r="AD120" s="276"/>
      <c r="AE120" s="276"/>
      <c r="AF120" s="276"/>
      <c r="AG120" s="276"/>
      <c r="AH120" s="276"/>
      <c r="AI120" s="276"/>
      <c r="AJ120" s="276"/>
      <c r="AK120" s="276"/>
      <c r="AL120" s="276"/>
    </row>
    <row r="121" spans="1:38" ht="15.75" customHeight="1" x14ac:dyDescent="0.25">
      <c r="A121" s="533"/>
      <c r="B121" s="276"/>
      <c r="C121" s="276"/>
      <c r="D121" s="276"/>
      <c r="E121" s="276"/>
      <c r="F121" s="276"/>
      <c r="G121" s="353"/>
      <c r="H121" s="276"/>
      <c r="I121" s="353"/>
      <c r="J121" s="276"/>
      <c r="K121" s="276"/>
      <c r="L121" s="276"/>
      <c r="M121" s="276"/>
      <c r="N121" s="276"/>
      <c r="O121" s="276"/>
      <c r="P121" s="276"/>
      <c r="Q121" s="276"/>
      <c r="R121" s="276"/>
      <c r="S121" s="276"/>
      <c r="T121" s="276"/>
      <c r="U121" s="276"/>
      <c r="V121" s="276"/>
      <c r="W121" s="276"/>
      <c r="X121" s="276"/>
      <c r="Y121" s="354"/>
      <c r="Z121" s="276"/>
      <c r="AA121" s="276"/>
      <c r="AB121" s="276"/>
      <c r="AC121" s="276"/>
      <c r="AD121" s="276"/>
      <c r="AE121" s="276"/>
      <c r="AF121" s="276"/>
      <c r="AG121" s="276"/>
      <c r="AH121" s="276"/>
      <c r="AI121" s="276"/>
      <c r="AJ121" s="276"/>
      <c r="AK121" s="276"/>
      <c r="AL121" s="276"/>
    </row>
    <row r="122" spans="1:38" ht="15.75" customHeight="1" x14ac:dyDescent="0.25">
      <c r="A122" s="533"/>
      <c r="B122" s="276"/>
      <c r="C122" s="276"/>
      <c r="D122" s="276"/>
      <c r="E122" s="276"/>
      <c r="F122" s="276"/>
      <c r="G122" s="353"/>
      <c r="H122" s="276"/>
      <c r="I122" s="353"/>
      <c r="J122" s="276"/>
      <c r="K122" s="276"/>
      <c r="L122" s="276"/>
      <c r="M122" s="276"/>
      <c r="N122" s="276"/>
      <c r="O122" s="276"/>
      <c r="P122" s="276"/>
      <c r="Q122" s="276"/>
      <c r="R122" s="276"/>
      <c r="S122" s="276"/>
      <c r="T122" s="276"/>
      <c r="U122" s="276"/>
      <c r="V122" s="276"/>
      <c r="W122" s="276"/>
      <c r="X122" s="276"/>
      <c r="Y122" s="354"/>
      <c r="Z122" s="276"/>
      <c r="AA122" s="276"/>
      <c r="AB122" s="276"/>
      <c r="AC122" s="276"/>
      <c r="AD122" s="276"/>
      <c r="AE122" s="276"/>
      <c r="AF122" s="276"/>
      <c r="AG122" s="276"/>
      <c r="AH122" s="276"/>
      <c r="AI122" s="276"/>
      <c r="AJ122" s="276"/>
      <c r="AK122" s="276"/>
      <c r="AL122" s="276"/>
    </row>
    <row r="123" spans="1:38" ht="15.75" customHeight="1" x14ac:dyDescent="0.25">
      <c r="A123" s="533"/>
      <c r="B123" s="276"/>
      <c r="C123" s="276"/>
      <c r="D123" s="276"/>
      <c r="E123" s="276"/>
      <c r="F123" s="276"/>
      <c r="G123" s="353"/>
      <c r="H123" s="276"/>
      <c r="I123" s="353"/>
      <c r="J123" s="276"/>
      <c r="K123" s="276"/>
      <c r="L123" s="276"/>
      <c r="M123" s="276"/>
      <c r="N123" s="276"/>
      <c r="O123" s="276"/>
      <c r="P123" s="276"/>
      <c r="Q123" s="276"/>
      <c r="R123" s="276"/>
      <c r="S123" s="276"/>
      <c r="T123" s="276"/>
      <c r="U123" s="276"/>
      <c r="V123" s="276"/>
      <c r="W123" s="276"/>
      <c r="X123" s="276"/>
      <c r="Y123" s="354"/>
      <c r="Z123" s="276"/>
      <c r="AA123" s="276"/>
      <c r="AB123" s="276"/>
      <c r="AC123" s="276"/>
      <c r="AD123" s="276"/>
      <c r="AE123" s="276"/>
      <c r="AF123" s="276"/>
      <c r="AG123" s="276"/>
      <c r="AH123" s="276"/>
      <c r="AI123" s="276"/>
      <c r="AJ123" s="276"/>
      <c r="AK123" s="276"/>
      <c r="AL123" s="276"/>
    </row>
    <row r="124" spans="1:38" ht="15.75" customHeight="1" x14ac:dyDescent="0.25">
      <c r="A124" s="533"/>
      <c r="B124" s="276"/>
      <c r="C124" s="276"/>
      <c r="D124" s="276"/>
      <c r="E124" s="276"/>
      <c r="F124" s="276"/>
      <c r="G124" s="353"/>
      <c r="H124" s="276"/>
      <c r="I124" s="353"/>
      <c r="J124" s="276"/>
      <c r="K124" s="276"/>
      <c r="L124" s="276"/>
      <c r="M124" s="276"/>
      <c r="N124" s="276"/>
      <c r="O124" s="276"/>
      <c r="P124" s="276"/>
      <c r="Q124" s="276"/>
      <c r="R124" s="276"/>
      <c r="S124" s="276"/>
      <c r="T124" s="276"/>
      <c r="U124" s="276"/>
      <c r="V124" s="276"/>
      <c r="W124" s="276"/>
      <c r="X124" s="276"/>
      <c r="Y124" s="354"/>
      <c r="Z124" s="276"/>
      <c r="AA124" s="276"/>
      <c r="AB124" s="276"/>
      <c r="AC124" s="276"/>
      <c r="AD124" s="276"/>
      <c r="AE124" s="276"/>
      <c r="AF124" s="276"/>
      <c r="AG124" s="276"/>
      <c r="AH124" s="276"/>
      <c r="AI124" s="276"/>
      <c r="AJ124" s="276"/>
      <c r="AK124" s="276"/>
      <c r="AL124" s="276"/>
    </row>
    <row r="125" spans="1:38" ht="15.75" customHeight="1" x14ac:dyDescent="0.25">
      <c r="A125" s="533"/>
      <c r="B125" s="276"/>
      <c r="C125" s="276"/>
      <c r="D125" s="276"/>
      <c r="E125" s="276"/>
      <c r="F125" s="276"/>
      <c r="G125" s="353"/>
      <c r="H125" s="276"/>
      <c r="I125" s="353"/>
      <c r="J125" s="276"/>
      <c r="K125" s="276"/>
      <c r="L125" s="276"/>
      <c r="M125" s="276"/>
      <c r="N125" s="276"/>
      <c r="O125" s="276"/>
      <c r="P125" s="276"/>
      <c r="Q125" s="276"/>
      <c r="R125" s="276"/>
      <c r="S125" s="276"/>
      <c r="T125" s="276"/>
      <c r="U125" s="276"/>
      <c r="V125" s="276"/>
      <c r="W125" s="276"/>
      <c r="X125" s="276"/>
      <c r="Y125" s="354"/>
      <c r="Z125" s="276"/>
      <c r="AA125" s="276"/>
      <c r="AB125" s="276"/>
      <c r="AC125" s="276"/>
      <c r="AD125" s="276"/>
      <c r="AE125" s="276"/>
      <c r="AF125" s="276"/>
      <c r="AG125" s="276"/>
      <c r="AH125" s="276"/>
      <c r="AI125" s="276"/>
      <c r="AJ125" s="276"/>
      <c r="AK125" s="276"/>
      <c r="AL125" s="276"/>
    </row>
    <row r="126" spans="1:38" ht="15.75" customHeight="1" x14ac:dyDescent="0.25">
      <c r="A126" s="533"/>
      <c r="B126" s="276"/>
      <c r="C126" s="276"/>
      <c r="D126" s="276"/>
      <c r="E126" s="276"/>
      <c r="F126" s="276"/>
      <c r="G126" s="353"/>
      <c r="H126" s="276"/>
      <c r="I126" s="353"/>
      <c r="J126" s="276"/>
      <c r="K126" s="276"/>
      <c r="L126" s="276"/>
      <c r="M126" s="276"/>
      <c r="N126" s="276"/>
      <c r="O126" s="276"/>
      <c r="P126" s="276"/>
      <c r="Q126" s="276"/>
      <c r="R126" s="276"/>
      <c r="S126" s="276"/>
      <c r="T126" s="276"/>
      <c r="U126" s="276"/>
      <c r="V126" s="276"/>
      <c r="W126" s="276"/>
      <c r="X126" s="276"/>
      <c r="Y126" s="354"/>
      <c r="Z126" s="276"/>
      <c r="AA126" s="276"/>
      <c r="AB126" s="276"/>
      <c r="AC126" s="276"/>
      <c r="AD126" s="276"/>
      <c r="AE126" s="276"/>
      <c r="AF126" s="276"/>
      <c r="AG126" s="276"/>
      <c r="AH126" s="276"/>
      <c r="AI126" s="276"/>
      <c r="AJ126" s="276"/>
      <c r="AK126" s="276"/>
      <c r="AL126" s="276"/>
    </row>
    <row r="127" spans="1:38" ht="15.75" customHeight="1" x14ac:dyDescent="0.25">
      <c r="A127" s="533"/>
      <c r="B127" s="276"/>
      <c r="C127" s="276"/>
      <c r="D127" s="276"/>
      <c r="E127" s="276"/>
      <c r="F127" s="276"/>
      <c r="G127" s="353"/>
      <c r="H127" s="276"/>
      <c r="I127" s="353"/>
      <c r="J127" s="276"/>
      <c r="K127" s="276"/>
      <c r="L127" s="276"/>
      <c r="M127" s="276"/>
      <c r="N127" s="276"/>
      <c r="O127" s="276"/>
      <c r="P127" s="276"/>
      <c r="Q127" s="276"/>
      <c r="R127" s="276"/>
      <c r="S127" s="276"/>
      <c r="T127" s="276"/>
      <c r="U127" s="276"/>
      <c r="V127" s="276"/>
      <c r="W127" s="276"/>
      <c r="X127" s="276"/>
      <c r="Y127" s="354"/>
      <c r="Z127" s="276"/>
      <c r="AA127" s="276"/>
      <c r="AB127" s="276"/>
      <c r="AC127" s="276"/>
      <c r="AD127" s="276"/>
      <c r="AE127" s="276"/>
      <c r="AF127" s="276"/>
      <c r="AG127" s="276"/>
      <c r="AH127" s="276"/>
      <c r="AI127" s="276"/>
      <c r="AJ127" s="276"/>
      <c r="AK127" s="276"/>
      <c r="AL127" s="276"/>
    </row>
    <row r="128" spans="1:38" ht="15.75" customHeight="1" x14ac:dyDescent="0.25">
      <c r="A128" s="533"/>
      <c r="B128" s="276"/>
      <c r="C128" s="276"/>
      <c r="D128" s="276"/>
      <c r="E128" s="276"/>
      <c r="F128" s="276"/>
      <c r="G128" s="353"/>
      <c r="H128" s="276"/>
      <c r="I128" s="353"/>
      <c r="J128" s="276"/>
      <c r="K128" s="276"/>
      <c r="L128" s="276"/>
      <c r="M128" s="276"/>
      <c r="N128" s="276"/>
      <c r="O128" s="276"/>
      <c r="P128" s="276"/>
      <c r="Q128" s="276"/>
      <c r="R128" s="276"/>
      <c r="S128" s="276"/>
      <c r="T128" s="276"/>
      <c r="U128" s="276"/>
      <c r="V128" s="276"/>
      <c r="W128" s="276"/>
      <c r="X128" s="276"/>
      <c r="Y128" s="354"/>
      <c r="Z128" s="276"/>
      <c r="AA128" s="276"/>
      <c r="AB128" s="276"/>
      <c r="AC128" s="276"/>
      <c r="AD128" s="276"/>
      <c r="AE128" s="276"/>
      <c r="AF128" s="276"/>
      <c r="AG128" s="276"/>
      <c r="AH128" s="276"/>
      <c r="AI128" s="276"/>
      <c r="AJ128" s="276"/>
      <c r="AK128" s="276"/>
      <c r="AL128" s="276"/>
    </row>
    <row r="129" spans="1:38" ht="15.75" customHeight="1" x14ac:dyDescent="0.25">
      <c r="A129" s="533"/>
      <c r="B129" s="276"/>
      <c r="C129" s="276"/>
      <c r="D129" s="276"/>
      <c r="E129" s="276"/>
      <c r="F129" s="276"/>
      <c r="G129" s="353"/>
      <c r="H129" s="276"/>
      <c r="I129" s="353"/>
      <c r="J129" s="276"/>
      <c r="K129" s="276"/>
      <c r="L129" s="276"/>
      <c r="M129" s="276"/>
      <c r="N129" s="276"/>
      <c r="O129" s="276"/>
      <c r="P129" s="276"/>
      <c r="Q129" s="276"/>
      <c r="R129" s="276"/>
      <c r="S129" s="276"/>
      <c r="T129" s="276"/>
      <c r="U129" s="276"/>
      <c r="V129" s="276"/>
      <c r="W129" s="276"/>
      <c r="X129" s="276"/>
      <c r="Y129" s="354"/>
      <c r="Z129" s="276"/>
      <c r="AA129" s="276"/>
      <c r="AB129" s="276"/>
      <c r="AC129" s="276"/>
      <c r="AD129" s="276"/>
      <c r="AE129" s="276"/>
      <c r="AF129" s="276"/>
      <c r="AG129" s="276"/>
      <c r="AH129" s="276"/>
      <c r="AI129" s="276"/>
      <c r="AJ129" s="276"/>
      <c r="AK129" s="276"/>
      <c r="AL129" s="276"/>
    </row>
    <row r="130" spans="1:38" ht="15.75" customHeight="1" x14ac:dyDescent="0.25">
      <c r="A130" s="533"/>
      <c r="B130" s="276"/>
      <c r="C130" s="276"/>
      <c r="D130" s="276"/>
      <c r="E130" s="276"/>
      <c r="F130" s="276"/>
      <c r="G130" s="353"/>
      <c r="H130" s="276"/>
      <c r="I130" s="353"/>
      <c r="J130" s="276"/>
      <c r="K130" s="276"/>
      <c r="L130" s="276"/>
      <c r="M130" s="276"/>
      <c r="N130" s="276"/>
      <c r="O130" s="276"/>
      <c r="P130" s="276"/>
      <c r="Q130" s="276"/>
      <c r="R130" s="276"/>
      <c r="S130" s="276"/>
      <c r="T130" s="276"/>
      <c r="U130" s="276"/>
      <c r="V130" s="276"/>
      <c r="W130" s="276"/>
      <c r="X130" s="276"/>
      <c r="Y130" s="354"/>
      <c r="Z130" s="276"/>
      <c r="AA130" s="276"/>
      <c r="AB130" s="276"/>
      <c r="AC130" s="276"/>
      <c r="AD130" s="276"/>
      <c r="AE130" s="276"/>
      <c r="AF130" s="276"/>
      <c r="AG130" s="276"/>
      <c r="AH130" s="276"/>
      <c r="AI130" s="276"/>
      <c r="AJ130" s="276"/>
      <c r="AK130" s="276"/>
      <c r="AL130" s="276"/>
    </row>
    <row r="131" spans="1:38" ht="15.75" customHeight="1" x14ac:dyDescent="0.25">
      <c r="A131" s="533"/>
      <c r="B131" s="276"/>
      <c r="C131" s="276"/>
      <c r="D131" s="276"/>
      <c r="E131" s="276"/>
      <c r="F131" s="276"/>
      <c r="G131" s="353"/>
      <c r="H131" s="276"/>
      <c r="I131" s="353"/>
      <c r="J131" s="276"/>
      <c r="K131" s="276"/>
      <c r="L131" s="276"/>
      <c r="M131" s="276"/>
      <c r="N131" s="276"/>
      <c r="O131" s="276"/>
      <c r="P131" s="276"/>
      <c r="Q131" s="276"/>
      <c r="R131" s="276"/>
      <c r="S131" s="276"/>
      <c r="T131" s="276"/>
      <c r="U131" s="276"/>
      <c r="V131" s="276"/>
      <c r="W131" s="276"/>
      <c r="X131" s="276"/>
      <c r="Y131" s="354"/>
      <c r="Z131" s="276"/>
      <c r="AA131" s="276"/>
      <c r="AB131" s="276"/>
      <c r="AC131" s="276"/>
      <c r="AD131" s="276"/>
      <c r="AE131" s="276"/>
      <c r="AF131" s="276"/>
      <c r="AG131" s="276"/>
      <c r="AH131" s="276"/>
      <c r="AI131" s="276"/>
      <c r="AJ131" s="276"/>
      <c r="AK131" s="276"/>
      <c r="AL131" s="276"/>
    </row>
    <row r="132" spans="1:38" ht="15.75" customHeight="1" x14ac:dyDescent="0.25">
      <c r="A132" s="533"/>
      <c r="B132" s="276"/>
      <c r="C132" s="276"/>
      <c r="D132" s="276"/>
      <c r="E132" s="276"/>
      <c r="F132" s="276"/>
      <c r="G132" s="353"/>
      <c r="H132" s="276"/>
      <c r="I132" s="353"/>
      <c r="J132" s="276"/>
      <c r="K132" s="276"/>
      <c r="L132" s="276"/>
      <c r="M132" s="276"/>
      <c r="N132" s="276"/>
      <c r="O132" s="276"/>
      <c r="P132" s="276"/>
      <c r="Q132" s="276"/>
      <c r="R132" s="276"/>
      <c r="S132" s="276"/>
      <c r="T132" s="276"/>
      <c r="U132" s="276"/>
      <c r="V132" s="276"/>
      <c r="W132" s="276"/>
      <c r="X132" s="276"/>
      <c r="Y132" s="354"/>
      <c r="Z132" s="276"/>
      <c r="AA132" s="276"/>
      <c r="AB132" s="276"/>
      <c r="AC132" s="276"/>
      <c r="AD132" s="276"/>
      <c r="AE132" s="276"/>
      <c r="AF132" s="276"/>
      <c r="AG132" s="276"/>
      <c r="AH132" s="276"/>
      <c r="AI132" s="276"/>
      <c r="AJ132" s="276"/>
      <c r="AK132" s="276"/>
      <c r="AL132" s="276"/>
    </row>
    <row r="133" spans="1:38" ht="15.75" customHeight="1" x14ac:dyDescent="0.25">
      <c r="A133" s="533"/>
      <c r="B133" s="276"/>
      <c r="C133" s="276"/>
      <c r="D133" s="276"/>
      <c r="E133" s="276"/>
      <c r="F133" s="276"/>
      <c r="G133" s="353"/>
      <c r="H133" s="276"/>
      <c r="I133" s="353"/>
      <c r="J133" s="276"/>
      <c r="K133" s="276"/>
      <c r="L133" s="276"/>
      <c r="M133" s="276"/>
      <c r="N133" s="276"/>
      <c r="O133" s="276"/>
      <c r="P133" s="276"/>
      <c r="Q133" s="276"/>
      <c r="R133" s="276"/>
      <c r="S133" s="276"/>
      <c r="T133" s="276"/>
      <c r="U133" s="276"/>
      <c r="V133" s="276"/>
      <c r="W133" s="276"/>
      <c r="X133" s="276"/>
      <c r="Y133" s="354"/>
      <c r="Z133" s="276"/>
      <c r="AA133" s="276"/>
      <c r="AB133" s="276"/>
      <c r="AC133" s="276"/>
      <c r="AD133" s="276"/>
      <c r="AE133" s="276"/>
      <c r="AF133" s="276"/>
      <c r="AG133" s="276"/>
      <c r="AH133" s="276"/>
      <c r="AI133" s="276"/>
      <c r="AJ133" s="276"/>
      <c r="AK133" s="276"/>
      <c r="AL133" s="276"/>
    </row>
    <row r="134" spans="1:38" ht="15.75" customHeight="1" x14ac:dyDescent="0.25">
      <c r="A134" s="533"/>
      <c r="B134" s="276"/>
      <c r="C134" s="276"/>
      <c r="D134" s="276"/>
      <c r="E134" s="276"/>
      <c r="F134" s="276"/>
      <c r="G134" s="353"/>
      <c r="H134" s="276"/>
      <c r="I134" s="353"/>
      <c r="J134" s="276"/>
      <c r="K134" s="276"/>
      <c r="L134" s="276"/>
      <c r="M134" s="276"/>
      <c r="N134" s="276"/>
      <c r="O134" s="276"/>
      <c r="P134" s="276"/>
      <c r="Q134" s="276"/>
      <c r="R134" s="276"/>
      <c r="S134" s="276"/>
      <c r="T134" s="276"/>
      <c r="U134" s="276"/>
      <c r="V134" s="276"/>
      <c r="W134" s="276"/>
      <c r="X134" s="276"/>
      <c r="Y134" s="354"/>
      <c r="Z134" s="276"/>
      <c r="AA134" s="276"/>
      <c r="AB134" s="276"/>
      <c r="AC134" s="276"/>
      <c r="AD134" s="276"/>
      <c r="AE134" s="276"/>
      <c r="AF134" s="276"/>
      <c r="AG134" s="276"/>
      <c r="AH134" s="276"/>
      <c r="AI134" s="276"/>
      <c r="AJ134" s="276"/>
      <c r="AK134" s="276"/>
      <c r="AL134" s="276"/>
    </row>
    <row r="135" spans="1:38" ht="15.75" customHeight="1" x14ac:dyDescent="0.25">
      <c r="A135" s="533"/>
      <c r="B135" s="276"/>
      <c r="C135" s="276"/>
      <c r="D135" s="276"/>
      <c r="E135" s="276"/>
      <c r="F135" s="276"/>
      <c r="G135" s="353"/>
      <c r="H135" s="276"/>
      <c r="I135" s="353"/>
      <c r="J135" s="276"/>
      <c r="K135" s="276"/>
      <c r="L135" s="276"/>
      <c r="M135" s="276"/>
      <c r="N135" s="276"/>
      <c r="O135" s="276"/>
      <c r="P135" s="276"/>
      <c r="Q135" s="276"/>
      <c r="R135" s="276"/>
      <c r="S135" s="276"/>
      <c r="T135" s="276"/>
      <c r="U135" s="276"/>
      <c r="V135" s="276"/>
      <c r="W135" s="276"/>
      <c r="X135" s="276"/>
      <c r="Y135" s="354"/>
      <c r="Z135" s="276"/>
      <c r="AA135" s="276"/>
      <c r="AB135" s="276"/>
      <c r="AC135" s="276"/>
      <c r="AD135" s="276"/>
      <c r="AE135" s="276"/>
      <c r="AF135" s="276"/>
      <c r="AG135" s="276"/>
      <c r="AH135" s="276"/>
      <c r="AI135" s="276"/>
      <c r="AJ135" s="276"/>
      <c r="AK135" s="276"/>
      <c r="AL135" s="276"/>
    </row>
    <row r="136" spans="1:38" ht="15.75" customHeight="1" x14ac:dyDescent="0.25">
      <c r="A136" s="533"/>
      <c r="B136" s="276"/>
      <c r="C136" s="276"/>
      <c r="D136" s="276"/>
      <c r="E136" s="276"/>
      <c r="F136" s="276"/>
      <c r="G136" s="353"/>
      <c r="H136" s="276"/>
      <c r="I136" s="353"/>
      <c r="J136" s="276"/>
      <c r="K136" s="276"/>
      <c r="L136" s="276"/>
      <c r="M136" s="276"/>
      <c r="N136" s="276"/>
      <c r="O136" s="276"/>
      <c r="P136" s="276"/>
      <c r="Q136" s="276"/>
      <c r="R136" s="276"/>
      <c r="S136" s="276"/>
      <c r="T136" s="276"/>
      <c r="U136" s="276"/>
      <c r="V136" s="276"/>
      <c r="W136" s="276"/>
      <c r="X136" s="276"/>
      <c r="Y136" s="354"/>
      <c r="Z136" s="276"/>
      <c r="AA136" s="276"/>
      <c r="AB136" s="276"/>
      <c r="AC136" s="276"/>
      <c r="AD136" s="276"/>
      <c r="AE136" s="276"/>
      <c r="AF136" s="276"/>
      <c r="AG136" s="276"/>
      <c r="AH136" s="276"/>
      <c r="AI136" s="276"/>
      <c r="AJ136" s="276"/>
      <c r="AK136" s="276"/>
      <c r="AL136" s="276"/>
    </row>
    <row r="137" spans="1:38" ht="15.75" customHeight="1" x14ac:dyDescent="0.25">
      <c r="A137" s="533"/>
      <c r="B137" s="276"/>
      <c r="C137" s="276"/>
      <c r="D137" s="276"/>
      <c r="E137" s="276"/>
      <c r="F137" s="276"/>
      <c r="G137" s="353"/>
      <c r="H137" s="276"/>
      <c r="I137" s="353"/>
      <c r="J137" s="276"/>
      <c r="K137" s="276"/>
      <c r="L137" s="276"/>
      <c r="M137" s="276"/>
      <c r="N137" s="276"/>
      <c r="O137" s="276"/>
      <c r="P137" s="276"/>
      <c r="Q137" s="276"/>
      <c r="R137" s="276"/>
      <c r="S137" s="276"/>
      <c r="T137" s="276"/>
      <c r="U137" s="276"/>
      <c r="V137" s="276"/>
      <c r="W137" s="276"/>
      <c r="X137" s="276"/>
      <c r="Y137" s="354"/>
      <c r="Z137" s="276"/>
      <c r="AA137" s="276"/>
      <c r="AB137" s="276"/>
      <c r="AC137" s="276"/>
      <c r="AD137" s="276"/>
      <c r="AE137" s="276"/>
      <c r="AF137" s="276"/>
      <c r="AG137" s="276"/>
      <c r="AH137" s="276"/>
      <c r="AI137" s="276"/>
      <c r="AJ137" s="276"/>
      <c r="AK137" s="276"/>
      <c r="AL137" s="276"/>
    </row>
    <row r="138" spans="1:38" ht="15.75" customHeight="1" x14ac:dyDescent="0.25">
      <c r="A138" s="533"/>
      <c r="B138" s="276"/>
      <c r="C138" s="276"/>
      <c r="D138" s="276"/>
      <c r="E138" s="276"/>
      <c r="F138" s="276"/>
      <c r="G138" s="353"/>
      <c r="H138" s="276"/>
      <c r="I138" s="353"/>
      <c r="J138" s="276"/>
      <c r="K138" s="276"/>
      <c r="L138" s="276"/>
      <c r="M138" s="276"/>
      <c r="N138" s="276"/>
      <c r="O138" s="276"/>
      <c r="P138" s="276"/>
      <c r="Q138" s="276"/>
      <c r="R138" s="276"/>
      <c r="S138" s="276"/>
      <c r="T138" s="276"/>
      <c r="U138" s="276"/>
      <c r="V138" s="276"/>
      <c r="W138" s="276"/>
      <c r="X138" s="276"/>
      <c r="Y138" s="354"/>
      <c r="Z138" s="276"/>
      <c r="AA138" s="276"/>
      <c r="AB138" s="276"/>
      <c r="AC138" s="276"/>
      <c r="AD138" s="276"/>
      <c r="AE138" s="276"/>
      <c r="AF138" s="276"/>
      <c r="AG138" s="276"/>
      <c r="AH138" s="276"/>
      <c r="AI138" s="276"/>
      <c r="AJ138" s="276"/>
      <c r="AK138" s="276"/>
      <c r="AL138" s="276"/>
    </row>
    <row r="139" spans="1:38" ht="15.75" customHeight="1" x14ac:dyDescent="0.25">
      <c r="A139" s="533"/>
      <c r="B139" s="276"/>
      <c r="C139" s="276"/>
      <c r="D139" s="276"/>
      <c r="E139" s="276"/>
      <c r="F139" s="276"/>
      <c r="G139" s="353"/>
      <c r="H139" s="276"/>
      <c r="I139" s="353"/>
      <c r="J139" s="276"/>
      <c r="K139" s="276"/>
      <c r="L139" s="276"/>
      <c r="M139" s="276"/>
      <c r="N139" s="276"/>
      <c r="O139" s="276"/>
      <c r="P139" s="276"/>
      <c r="Q139" s="276"/>
      <c r="R139" s="276"/>
      <c r="S139" s="276"/>
      <c r="T139" s="276"/>
      <c r="U139" s="276"/>
      <c r="V139" s="276"/>
      <c r="W139" s="276"/>
      <c r="X139" s="276"/>
      <c r="Y139" s="354"/>
      <c r="Z139" s="276"/>
      <c r="AA139" s="276"/>
      <c r="AB139" s="276"/>
      <c r="AC139" s="276"/>
      <c r="AD139" s="276"/>
      <c r="AE139" s="276"/>
      <c r="AF139" s="276"/>
      <c r="AG139" s="276"/>
      <c r="AH139" s="276"/>
      <c r="AI139" s="276"/>
      <c r="AJ139" s="276"/>
      <c r="AK139" s="276"/>
      <c r="AL139" s="276"/>
    </row>
    <row r="140" spans="1:38" ht="15.75" customHeight="1" x14ac:dyDescent="0.25">
      <c r="A140" s="533"/>
      <c r="B140" s="276"/>
      <c r="C140" s="276"/>
      <c r="D140" s="276"/>
      <c r="E140" s="276"/>
      <c r="F140" s="276"/>
      <c r="G140" s="353"/>
      <c r="H140" s="276"/>
      <c r="I140" s="353"/>
      <c r="J140" s="276"/>
      <c r="K140" s="276"/>
      <c r="L140" s="276"/>
      <c r="M140" s="276"/>
      <c r="N140" s="276"/>
      <c r="O140" s="276"/>
      <c r="P140" s="276"/>
      <c r="Q140" s="276"/>
      <c r="R140" s="276"/>
      <c r="S140" s="276"/>
      <c r="T140" s="276"/>
      <c r="U140" s="276"/>
      <c r="V140" s="276"/>
      <c r="W140" s="276"/>
      <c r="X140" s="276"/>
      <c r="Y140" s="354"/>
      <c r="Z140" s="276"/>
      <c r="AA140" s="276"/>
      <c r="AB140" s="276"/>
      <c r="AC140" s="276"/>
      <c r="AD140" s="276"/>
      <c r="AE140" s="276"/>
      <c r="AF140" s="276"/>
      <c r="AG140" s="276"/>
      <c r="AH140" s="276"/>
      <c r="AI140" s="276"/>
      <c r="AJ140" s="276"/>
      <c r="AK140" s="276"/>
      <c r="AL140" s="276"/>
    </row>
    <row r="141" spans="1:38" ht="15.75" customHeight="1" x14ac:dyDescent="0.25">
      <c r="A141" s="533"/>
      <c r="B141" s="276"/>
      <c r="C141" s="276"/>
      <c r="D141" s="276"/>
      <c r="E141" s="276"/>
      <c r="F141" s="276"/>
      <c r="G141" s="353"/>
      <c r="H141" s="276"/>
      <c r="I141" s="353"/>
      <c r="J141" s="276"/>
      <c r="K141" s="276"/>
      <c r="L141" s="276"/>
      <c r="M141" s="276"/>
      <c r="N141" s="276"/>
      <c r="O141" s="276"/>
      <c r="P141" s="276"/>
      <c r="Q141" s="276"/>
      <c r="R141" s="276"/>
      <c r="S141" s="276"/>
      <c r="T141" s="276"/>
      <c r="U141" s="276"/>
      <c r="V141" s="276"/>
      <c r="W141" s="276"/>
      <c r="X141" s="276"/>
      <c r="Y141" s="354"/>
      <c r="Z141" s="276"/>
      <c r="AA141" s="276"/>
      <c r="AB141" s="276"/>
      <c r="AC141" s="276"/>
      <c r="AD141" s="276"/>
      <c r="AE141" s="276"/>
      <c r="AF141" s="276"/>
      <c r="AG141" s="276"/>
      <c r="AH141" s="276"/>
      <c r="AI141" s="276"/>
      <c r="AJ141" s="276"/>
      <c r="AK141" s="276"/>
      <c r="AL141" s="276"/>
    </row>
    <row r="142" spans="1:38" ht="15.75" customHeight="1" x14ac:dyDescent="0.25">
      <c r="A142" s="533"/>
      <c r="B142" s="276"/>
      <c r="C142" s="276"/>
      <c r="D142" s="276"/>
      <c r="E142" s="276"/>
      <c r="F142" s="276"/>
      <c r="G142" s="353"/>
      <c r="H142" s="276"/>
      <c r="I142" s="353"/>
      <c r="J142" s="276"/>
      <c r="K142" s="276"/>
      <c r="L142" s="276"/>
      <c r="M142" s="276"/>
      <c r="N142" s="276"/>
      <c r="O142" s="276"/>
      <c r="P142" s="276"/>
      <c r="Q142" s="276"/>
      <c r="R142" s="276"/>
      <c r="S142" s="276"/>
      <c r="T142" s="276"/>
      <c r="U142" s="276"/>
      <c r="V142" s="276"/>
      <c r="W142" s="276"/>
      <c r="X142" s="276"/>
      <c r="Y142" s="354"/>
      <c r="Z142" s="276"/>
      <c r="AA142" s="276"/>
      <c r="AB142" s="276"/>
      <c r="AC142" s="276"/>
      <c r="AD142" s="276"/>
      <c r="AE142" s="276"/>
      <c r="AF142" s="276"/>
      <c r="AG142" s="276"/>
      <c r="AH142" s="276"/>
      <c r="AI142" s="276"/>
      <c r="AJ142" s="276"/>
      <c r="AK142" s="276"/>
      <c r="AL142" s="276"/>
    </row>
    <row r="143" spans="1:38" ht="15.75" customHeight="1" x14ac:dyDescent="0.25">
      <c r="A143" s="533"/>
      <c r="B143" s="276"/>
      <c r="C143" s="276"/>
      <c r="D143" s="276"/>
      <c r="E143" s="276"/>
      <c r="F143" s="276"/>
      <c r="G143" s="353"/>
      <c r="H143" s="276"/>
      <c r="I143" s="353"/>
      <c r="J143" s="276"/>
      <c r="K143" s="276"/>
      <c r="L143" s="276"/>
      <c r="M143" s="276"/>
      <c r="N143" s="276"/>
      <c r="O143" s="276"/>
      <c r="P143" s="276"/>
      <c r="Q143" s="276"/>
      <c r="R143" s="276"/>
      <c r="S143" s="276"/>
      <c r="T143" s="276"/>
      <c r="U143" s="276"/>
      <c r="V143" s="276"/>
      <c r="W143" s="276"/>
      <c r="X143" s="276"/>
      <c r="Y143" s="354"/>
      <c r="Z143" s="276"/>
      <c r="AA143" s="276"/>
      <c r="AB143" s="276"/>
      <c r="AC143" s="276"/>
      <c r="AD143" s="276"/>
      <c r="AE143" s="276"/>
      <c r="AF143" s="276"/>
      <c r="AG143" s="276"/>
      <c r="AH143" s="276"/>
      <c r="AI143" s="276"/>
      <c r="AJ143" s="276"/>
      <c r="AK143" s="276"/>
      <c r="AL143" s="276"/>
    </row>
    <row r="144" spans="1:38" ht="15.75" customHeight="1" x14ac:dyDescent="0.25">
      <c r="A144" s="533"/>
      <c r="B144" s="276"/>
      <c r="C144" s="276"/>
      <c r="D144" s="276"/>
      <c r="E144" s="276"/>
      <c r="F144" s="276"/>
      <c r="G144" s="353"/>
      <c r="H144" s="276"/>
      <c r="I144" s="353"/>
      <c r="J144" s="276"/>
      <c r="K144" s="276"/>
      <c r="L144" s="276"/>
      <c r="M144" s="276"/>
      <c r="N144" s="276"/>
      <c r="O144" s="276"/>
      <c r="P144" s="276"/>
      <c r="Q144" s="276"/>
      <c r="R144" s="276"/>
      <c r="S144" s="276"/>
      <c r="T144" s="276"/>
      <c r="U144" s="276"/>
      <c r="V144" s="276"/>
      <c r="W144" s="276"/>
      <c r="X144" s="276"/>
      <c r="Y144" s="354"/>
      <c r="Z144" s="276"/>
      <c r="AA144" s="276"/>
      <c r="AB144" s="276"/>
      <c r="AC144" s="276"/>
      <c r="AD144" s="276"/>
      <c r="AE144" s="276"/>
      <c r="AF144" s="276"/>
      <c r="AG144" s="276"/>
      <c r="AH144" s="276"/>
      <c r="AI144" s="276"/>
      <c r="AJ144" s="276"/>
      <c r="AK144" s="276"/>
      <c r="AL144" s="276"/>
    </row>
    <row r="145" spans="1:38" ht="15.75" customHeight="1" x14ac:dyDescent="0.25">
      <c r="A145" s="533"/>
      <c r="B145" s="276"/>
      <c r="C145" s="276"/>
      <c r="D145" s="276"/>
      <c r="E145" s="276"/>
      <c r="F145" s="276"/>
      <c r="G145" s="353"/>
      <c r="H145" s="276"/>
      <c r="I145" s="353"/>
      <c r="J145" s="276"/>
      <c r="K145" s="276"/>
      <c r="L145" s="276"/>
      <c r="M145" s="276"/>
      <c r="N145" s="276"/>
      <c r="O145" s="276"/>
      <c r="P145" s="276"/>
      <c r="Q145" s="276"/>
      <c r="R145" s="276"/>
      <c r="S145" s="276"/>
      <c r="T145" s="276"/>
      <c r="U145" s="276"/>
      <c r="V145" s="276"/>
      <c r="W145" s="276"/>
      <c r="X145" s="276"/>
      <c r="Y145" s="354"/>
      <c r="Z145" s="276"/>
      <c r="AA145" s="276"/>
      <c r="AB145" s="276"/>
      <c r="AC145" s="276"/>
      <c r="AD145" s="276"/>
      <c r="AE145" s="276"/>
      <c r="AF145" s="276"/>
      <c r="AG145" s="276"/>
      <c r="AH145" s="276"/>
      <c r="AI145" s="276"/>
      <c r="AJ145" s="276"/>
      <c r="AK145" s="276"/>
      <c r="AL145" s="276"/>
    </row>
    <row r="146" spans="1:38" ht="15.75" customHeight="1" x14ac:dyDescent="0.25">
      <c r="A146" s="533"/>
      <c r="B146" s="276"/>
      <c r="C146" s="276"/>
      <c r="D146" s="276"/>
      <c r="E146" s="276"/>
      <c r="F146" s="276"/>
      <c r="G146" s="353"/>
      <c r="H146" s="276"/>
      <c r="I146" s="353"/>
      <c r="J146" s="276"/>
      <c r="K146" s="276"/>
      <c r="L146" s="276"/>
      <c r="M146" s="276"/>
      <c r="N146" s="276"/>
      <c r="O146" s="276"/>
      <c r="P146" s="276"/>
      <c r="Q146" s="276"/>
      <c r="R146" s="276"/>
      <c r="S146" s="276"/>
      <c r="T146" s="276"/>
      <c r="U146" s="276"/>
      <c r="V146" s="276"/>
      <c r="W146" s="276"/>
      <c r="X146" s="276"/>
      <c r="Y146" s="354"/>
      <c r="Z146" s="276"/>
      <c r="AA146" s="276"/>
      <c r="AB146" s="276"/>
      <c r="AC146" s="276"/>
      <c r="AD146" s="276"/>
      <c r="AE146" s="276"/>
      <c r="AF146" s="276"/>
      <c r="AG146" s="276"/>
      <c r="AH146" s="276"/>
      <c r="AI146" s="276"/>
      <c r="AJ146" s="276"/>
      <c r="AK146" s="276"/>
      <c r="AL146" s="276"/>
    </row>
    <row r="147" spans="1:38" ht="15.75" customHeight="1" x14ac:dyDescent="0.25">
      <c r="A147" s="533"/>
      <c r="B147" s="276"/>
      <c r="C147" s="276"/>
      <c r="D147" s="276"/>
      <c r="E147" s="276"/>
      <c r="F147" s="276"/>
      <c r="G147" s="353"/>
      <c r="H147" s="276"/>
      <c r="I147" s="353"/>
      <c r="J147" s="276"/>
      <c r="K147" s="276"/>
      <c r="L147" s="276"/>
      <c r="M147" s="276"/>
      <c r="N147" s="276"/>
      <c r="O147" s="276"/>
      <c r="P147" s="276"/>
      <c r="Q147" s="276"/>
      <c r="R147" s="276"/>
      <c r="S147" s="276"/>
      <c r="T147" s="276"/>
      <c r="U147" s="276"/>
      <c r="V147" s="276"/>
      <c r="W147" s="276"/>
      <c r="X147" s="276"/>
      <c r="Y147" s="354"/>
      <c r="Z147" s="276"/>
      <c r="AA147" s="276"/>
      <c r="AB147" s="276"/>
      <c r="AC147" s="276"/>
      <c r="AD147" s="276"/>
      <c r="AE147" s="276"/>
      <c r="AF147" s="276"/>
      <c r="AG147" s="276"/>
      <c r="AH147" s="276"/>
      <c r="AI147" s="276"/>
      <c r="AJ147" s="276"/>
      <c r="AK147" s="276"/>
      <c r="AL147" s="276"/>
    </row>
    <row r="148" spans="1:38" ht="15.75" customHeight="1" x14ac:dyDescent="0.25">
      <c r="A148" s="533"/>
      <c r="B148" s="276"/>
      <c r="C148" s="276"/>
      <c r="D148" s="276"/>
      <c r="E148" s="276"/>
      <c r="F148" s="276"/>
      <c r="G148" s="353"/>
      <c r="H148" s="276"/>
      <c r="I148" s="353"/>
      <c r="J148" s="276"/>
      <c r="K148" s="276"/>
      <c r="L148" s="276"/>
      <c r="M148" s="276"/>
      <c r="N148" s="276"/>
      <c r="O148" s="276"/>
      <c r="P148" s="276"/>
      <c r="Q148" s="276"/>
      <c r="R148" s="276"/>
      <c r="S148" s="276"/>
      <c r="T148" s="276"/>
      <c r="U148" s="276"/>
      <c r="V148" s="276"/>
      <c r="W148" s="276"/>
      <c r="X148" s="276"/>
      <c r="Y148" s="354"/>
      <c r="Z148" s="276"/>
      <c r="AA148" s="276"/>
      <c r="AB148" s="276"/>
      <c r="AC148" s="276"/>
      <c r="AD148" s="276"/>
      <c r="AE148" s="276"/>
      <c r="AF148" s="276"/>
      <c r="AG148" s="276"/>
      <c r="AH148" s="276"/>
      <c r="AI148" s="276"/>
      <c r="AJ148" s="276"/>
      <c r="AK148" s="276"/>
      <c r="AL148" s="276"/>
    </row>
    <row r="149" spans="1:38" ht="15.75" customHeight="1" x14ac:dyDescent="0.25">
      <c r="A149" s="533"/>
      <c r="B149" s="276"/>
      <c r="C149" s="276"/>
      <c r="D149" s="276"/>
      <c r="E149" s="276"/>
      <c r="F149" s="276"/>
      <c r="G149" s="353"/>
      <c r="H149" s="276"/>
      <c r="I149" s="353"/>
      <c r="J149" s="276"/>
      <c r="K149" s="276"/>
      <c r="L149" s="276"/>
      <c r="M149" s="276"/>
      <c r="N149" s="276"/>
      <c r="O149" s="276"/>
      <c r="P149" s="276"/>
      <c r="Q149" s="276"/>
      <c r="R149" s="276"/>
      <c r="S149" s="276"/>
      <c r="T149" s="276"/>
      <c r="U149" s="276"/>
      <c r="V149" s="276"/>
      <c r="W149" s="276"/>
      <c r="X149" s="276"/>
      <c r="Y149" s="354"/>
      <c r="Z149" s="276"/>
      <c r="AA149" s="276"/>
      <c r="AB149" s="276"/>
      <c r="AC149" s="276"/>
      <c r="AD149" s="276"/>
      <c r="AE149" s="276"/>
      <c r="AF149" s="276"/>
      <c r="AG149" s="276"/>
      <c r="AH149" s="276"/>
      <c r="AI149" s="276"/>
      <c r="AJ149" s="276"/>
      <c r="AK149" s="276"/>
      <c r="AL149" s="276"/>
    </row>
    <row r="150" spans="1:38" ht="15.75" customHeight="1" x14ac:dyDescent="0.25">
      <c r="A150" s="533"/>
      <c r="B150" s="276"/>
      <c r="C150" s="276"/>
      <c r="D150" s="276"/>
      <c r="E150" s="276"/>
      <c r="F150" s="276"/>
      <c r="G150" s="353"/>
      <c r="H150" s="276"/>
      <c r="I150" s="353"/>
      <c r="J150" s="276"/>
      <c r="K150" s="276"/>
      <c r="L150" s="276"/>
      <c r="M150" s="276"/>
      <c r="N150" s="276"/>
      <c r="O150" s="276"/>
      <c r="P150" s="276"/>
      <c r="Q150" s="276"/>
      <c r="R150" s="276"/>
      <c r="S150" s="276"/>
      <c r="T150" s="276"/>
      <c r="U150" s="276"/>
      <c r="V150" s="276"/>
      <c r="W150" s="276"/>
      <c r="X150" s="276"/>
      <c r="Y150" s="354"/>
      <c r="Z150" s="276"/>
      <c r="AA150" s="276"/>
      <c r="AB150" s="276"/>
      <c r="AC150" s="276"/>
      <c r="AD150" s="276"/>
      <c r="AE150" s="276"/>
      <c r="AF150" s="276"/>
      <c r="AG150" s="276"/>
      <c r="AH150" s="276"/>
      <c r="AI150" s="276"/>
      <c r="AJ150" s="276"/>
      <c r="AK150" s="276"/>
      <c r="AL150" s="276"/>
    </row>
    <row r="151" spans="1:38" ht="15.75" customHeight="1" x14ac:dyDescent="0.25">
      <c r="A151" s="533"/>
      <c r="B151" s="276"/>
      <c r="C151" s="276"/>
      <c r="D151" s="276"/>
      <c r="E151" s="276"/>
      <c r="F151" s="276"/>
      <c r="G151" s="353"/>
      <c r="H151" s="276"/>
      <c r="I151" s="353"/>
      <c r="J151" s="276"/>
      <c r="K151" s="276"/>
      <c r="L151" s="276"/>
      <c r="M151" s="276"/>
      <c r="N151" s="276"/>
      <c r="O151" s="276"/>
      <c r="P151" s="276"/>
      <c r="Q151" s="276"/>
      <c r="R151" s="276"/>
      <c r="S151" s="276"/>
      <c r="T151" s="276"/>
      <c r="U151" s="276"/>
      <c r="V151" s="276"/>
      <c r="W151" s="276"/>
      <c r="X151" s="276"/>
      <c r="Y151" s="354"/>
      <c r="Z151" s="276"/>
      <c r="AA151" s="276"/>
      <c r="AB151" s="276"/>
      <c r="AC151" s="276"/>
      <c r="AD151" s="276"/>
      <c r="AE151" s="276"/>
      <c r="AF151" s="276"/>
      <c r="AG151" s="276"/>
      <c r="AH151" s="276"/>
      <c r="AI151" s="276"/>
      <c r="AJ151" s="276"/>
      <c r="AK151" s="276"/>
      <c r="AL151" s="276"/>
    </row>
    <row r="152" spans="1:38" ht="15.75" customHeight="1" x14ac:dyDescent="0.25">
      <c r="A152" s="533"/>
      <c r="B152" s="276"/>
      <c r="C152" s="276"/>
      <c r="D152" s="276"/>
      <c r="E152" s="276"/>
      <c r="F152" s="276"/>
      <c r="G152" s="353"/>
      <c r="H152" s="276"/>
      <c r="I152" s="353"/>
      <c r="J152" s="276"/>
      <c r="K152" s="276"/>
      <c r="L152" s="276"/>
      <c r="M152" s="276"/>
      <c r="N152" s="276"/>
      <c r="O152" s="276"/>
      <c r="P152" s="276"/>
      <c r="Q152" s="276"/>
      <c r="R152" s="276"/>
      <c r="S152" s="276"/>
      <c r="T152" s="276"/>
      <c r="U152" s="276"/>
      <c r="V152" s="276"/>
      <c r="W152" s="276"/>
      <c r="X152" s="276"/>
      <c r="Y152" s="354"/>
      <c r="Z152" s="276"/>
      <c r="AA152" s="276"/>
      <c r="AB152" s="276"/>
      <c r="AC152" s="276"/>
      <c r="AD152" s="276"/>
      <c r="AE152" s="276"/>
      <c r="AF152" s="276"/>
      <c r="AG152" s="276"/>
      <c r="AH152" s="276"/>
      <c r="AI152" s="276"/>
      <c r="AJ152" s="276"/>
      <c r="AK152" s="276"/>
      <c r="AL152" s="276"/>
    </row>
    <row r="153" spans="1:38" ht="15.75" customHeight="1" x14ac:dyDescent="0.25">
      <c r="A153" s="533"/>
      <c r="B153" s="276"/>
      <c r="C153" s="276"/>
      <c r="D153" s="276"/>
      <c r="E153" s="276"/>
      <c r="F153" s="276"/>
      <c r="G153" s="353"/>
      <c r="H153" s="276"/>
      <c r="I153" s="353"/>
      <c r="J153" s="276"/>
      <c r="K153" s="276"/>
      <c r="L153" s="276"/>
      <c r="M153" s="276"/>
      <c r="N153" s="276"/>
      <c r="O153" s="276"/>
      <c r="P153" s="276"/>
      <c r="Q153" s="276"/>
      <c r="R153" s="276"/>
      <c r="S153" s="276"/>
      <c r="T153" s="276"/>
      <c r="U153" s="276"/>
      <c r="V153" s="276"/>
      <c r="W153" s="276"/>
      <c r="X153" s="276"/>
      <c r="Y153" s="354"/>
      <c r="Z153" s="276"/>
      <c r="AA153" s="276"/>
      <c r="AB153" s="276"/>
      <c r="AC153" s="276"/>
      <c r="AD153" s="276"/>
      <c r="AE153" s="276"/>
      <c r="AF153" s="276"/>
      <c r="AG153" s="276"/>
      <c r="AH153" s="276"/>
      <c r="AI153" s="276"/>
      <c r="AJ153" s="276"/>
      <c r="AK153" s="276"/>
      <c r="AL153" s="276"/>
    </row>
    <row r="154" spans="1:38" ht="15.75" customHeight="1" x14ac:dyDescent="0.25">
      <c r="A154" s="533"/>
      <c r="B154" s="276"/>
      <c r="C154" s="276"/>
      <c r="D154" s="276"/>
      <c r="E154" s="276"/>
      <c r="F154" s="276"/>
      <c r="G154" s="353"/>
      <c r="H154" s="276"/>
      <c r="I154" s="353"/>
      <c r="J154" s="276"/>
      <c r="K154" s="276"/>
      <c r="L154" s="276"/>
      <c r="M154" s="276"/>
      <c r="N154" s="276"/>
      <c r="O154" s="276"/>
      <c r="P154" s="276"/>
      <c r="Q154" s="276"/>
      <c r="R154" s="276"/>
      <c r="S154" s="276"/>
      <c r="T154" s="276"/>
      <c r="U154" s="276"/>
      <c r="V154" s="276"/>
      <c r="W154" s="276"/>
      <c r="X154" s="276"/>
      <c r="Y154" s="354"/>
      <c r="Z154" s="276"/>
      <c r="AA154" s="276"/>
      <c r="AB154" s="276"/>
      <c r="AC154" s="276"/>
      <c r="AD154" s="276"/>
      <c r="AE154" s="276"/>
      <c r="AF154" s="276"/>
      <c r="AG154" s="276"/>
      <c r="AH154" s="276"/>
      <c r="AI154" s="276"/>
      <c r="AJ154" s="276"/>
      <c r="AK154" s="276"/>
      <c r="AL154" s="276"/>
    </row>
    <row r="155" spans="1:38" ht="15.75" customHeight="1" x14ac:dyDescent="0.25">
      <c r="A155" s="533"/>
      <c r="B155" s="276"/>
      <c r="C155" s="276"/>
      <c r="D155" s="276"/>
      <c r="E155" s="276"/>
      <c r="F155" s="276"/>
      <c r="G155" s="353"/>
      <c r="H155" s="276"/>
      <c r="I155" s="353"/>
      <c r="J155" s="276"/>
      <c r="K155" s="276"/>
      <c r="L155" s="276"/>
      <c r="M155" s="276"/>
      <c r="N155" s="276"/>
      <c r="O155" s="276"/>
      <c r="P155" s="276"/>
      <c r="Q155" s="276"/>
      <c r="R155" s="276"/>
      <c r="S155" s="276"/>
      <c r="T155" s="276"/>
      <c r="U155" s="276"/>
      <c r="V155" s="276"/>
      <c r="W155" s="276"/>
      <c r="X155" s="276"/>
      <c r="Y155" s="354"/>
      <c r="Z155" s="276"/>
      <c r="AA155" s="276"/>
      <c r="AB155" s="276"/>
      <c r="AC155" s="276"/>
      <c r="AD155" s="276"/>
      <c r="AE155" s="276"/>
      <c r="AF155" s="276"/>
      <c r="AG155" s="276"/>
      <c r="AH155" s="276"/>
      <c r="AI155" s="276"/>
      <c r="AJ155" s="276"/>
      <c r="AK155" s="276"/>
      <c r="AL155" s="276"/>
    </row>
    <row r="156" spans="1:38" ht="15.75" customHeight="1" x14ac:dyDescent="0.25">
      <c r="A156" s="533"/>
      <c r="B156" s="276"/>
      <c r="C156" s="276"/>
      <c r="D156" s="276"/>
      <c r="E156" s="276"/>
      <c r="F156" s="276"/>
      <c r="G156" s="353"/>
      <c r="H156" s="276"/>
      <c r="I156" s="353"/>
      <c r="J156" s="276"/>
      <c r="K156" s="276"/>
      <c r="L156" s="276"/>
      <c r="M156" s="276"/>
      <c r="N156" s="276"/>
      <c r="O156" s="276"/>
      <c r="P156" s="276"/>
      <c r="Q156" s="276"/>
      <c r="R156" s="276"/>
      <c r="S156" s="276"/>
      <c r="T156" s="276"/>
      <c r="U156" s="276"/>
      <c r="V156" s="276"/>
      <c r="W156" s="276"/>
      <c r="X156" s="276"/>
      <c r="Y156" s="354"/>
      <c r="Z156" s="276"/>
      <c r="AA156" s="276"/>
      <c r="AB156" s="276"/>
      <c r="AC156" s="276"/>
      <c r="AD156" s="276"/>
      <c r="AE156" s="276"/>
      <c r="AF156" s="276"/>
      <c r="AG156" s="276"/>
      <c r="AH156" s="276"/>
      <c r="AI156" s="276"/>
      <c r="AJ156" s="276"/>
      <c r="AK156" s="276"/>
      <c r="AL156" s="276"/>
    </row>
    <row r="157" spans="1:38" ht="15.75" customHeight="1" x14ac:dyDescent="0.25">
      <c r="A157" s="533"/>
      <c r="B157" s="276"/>
      <c r="C157" s="276"/>
      <c r="D157" s="276"/>
      <c r="E157" s="276"/>
      <c r="F157" s="276"/>
      <c r="G157" s="353"/>
      <c r="H157" s="276"/>
      <c r="I157" s="353"/>
      <c r="J157" s="276"/>
      <c r="K157" s="276"/>
      <c r="L157" s="276"/>
      <c r="M157" s="276"/>
      <c r="N157" s="276"/>
      <c r="O157" s="276"/>
      <c r="P157" s="276"/>
      <c r="Q157" s="276"/>
      <c r="R157" s="276"/>
      <c r="S157" s="276"/>
      <c r="T157" s="276"/>
      <c r="U157" s="276"/>
      <c r="V157" s="276"/>
      <c r="W157" s="276"/>
      <c r="X157" s="276"/>
      <c r="Y157" s="354"/>
      <c r="Z157" s="276"/>
      <c r="AA157" s="276"/>
      <c r="AB157" s="276"/>
      <c r="AC157" s="276"/>
      <c r="AD157" s="276"/>
      <c r="AE157" s="276"/>
      <c r="AF157" s="276"/>
      <c r="AG157" s="276"/>
      <c r="AH157" s="276"/>
      <c r="AI157" s="276"/>
      <c r="AJ157" s="276"/>
      <c r="AK157" s="276"/>
      <c r="AL157" s="276"/>
    </row>
    <row r="158" spans="1:38" ht="15.75" customHeight="1" x14ac:dyDescent="0.25">
      <c r="A158" s="533"/>
      <c r="B158" s="276"/>
      <c r="C158" s="276"/>
      <c r="D158" s="276"/>
      <c r="E158" s="276"/>
      <c r="F158" s="276"/>
      <c r="G158" s="353"/>
      <c r="H158" s="276"/>
      <c r="I158" s="353"/>
      <c r="J158" s="276"/>
      <c r="K158" s="276"/>
      <c r="L158" s="276"/>
      <c r="M158" s="276"/>
      <c r="N158" s="276"/>
      <c r="O158" s="276"/>
      <c r="P158" s="276"/>
      <c r="Q158" s="276"/>
      <c r="R158" s="276"/>
      <c r="S158" s="276"/>
      <c r="T158" s="276"/>
      <c r="U158" s="276"/>
      <c r="V158" s="276"/>
      <c r="W158" s="276"/>
      <c r="X158" s="276"/>
      <c r="Y158" s="354"/>
      <c r="Z158" s="276"/>
      <c r="AA158" s="276"/>
      <c r="AB158" s="276"/>
      <c r="AC158" s="276"/>
      <c r="AD158" s="276"/>
      <c r="AE158" s="276"/>
      <c r="AF158" s="276"/>
      <c r="AG158" s="276"/>
      <c r="AH158" s="276"/>
      <c r="AI158" s="276"/>
      <c r="AJ158" s="276"/>
      <c r="AK158" s="276"/>
      <c r="AL158" s="276"/>
    </row>
    <row r="159" spans="1:38" ht="15.75" customHeight="1" x14ac:dyDescent="0.25">
      <c r="A159" s="533"/>
      <c r="B159" s="276"/>
      <c r="C159" s="276"/>
      <c r="D159" s="276"/>
      <c r="E159" s="276"/>
      <c r="F159" s="276"/>
      <c r="G159" s="353"/>
      <c r="H159" s="276"/>
      <c r="I159" s="353"/>
      <c r="J159" s="276"/>
      <c r="K159" s="276"/>
      <c r="L159" s="276"/>
      <c r="M159" s="276"/>
      <c r="N159" s="276"/>
      <c r="O159" s="276"/>
      <c r="P159" s="276"/>
      <c r="Q159" s="276"/>
      <c r="R159" s="276"/>
      <c r="S159" s="276"/>
      <c r="T159" s="276"/>
      <c r="U159" s="276"/>
      <c r="V159" s="276"/>
      <c r="W159" s="276"/>
      <c r="X159" s="276"/>
      <c r="Y159" s="354"/>
      <c r="Z159" s="276"/>
      <c r="AA159" s="276"/>
      <c r="AB159" s="276"/>
      <c r="AC159" s="276"/>
      <c r="AD159" s="276"/>
      <c r="AE159" s="276"/>
      <c r="AF159" s="276"/>
      <c r="AG159" s="276"/>
      <c r="AH159" s="276"/>
      <c r="AI159" s="276"/>
      <c r="AJ159" s="276"/>
      <c r="AK159" s="276"/>
      <c r="AL159" s="276"/>
    </row>
    <row r="160" spans="1:38" ht="15.75" customHeight="1" x14ac:dyDescent="0.25">
      <c r="A160" s="533"/>
      <c r="B160" s="276"/>
      <c r="C160" s="276"/>
      <c r="D160" s="276"/>
      <c r="E160" s="276"/>
      <c r="F160" s="276"/>
      <c r="G160" s="353"/>
      <c r="H160" s="276"/>
      <c r="I160" s="353"/>
      <c r="J160" s="276"/>
      <c r="K160" s="276"/>
      <c r="L160" s="276"/>
      <c r="M160" s="276"/>
      <c r="N160" s="276"/>
      <c r="O160" s="276"/>
      <c r="P160" s="276"/>
      <c r="Q160" s="276"/>
      <c r="R160" s="276"/>
      <c r="S160" s="276"/>
      <c r="T160" s="276"/>
      <c r="U160" s="276"/>
      <c r="V160" s="276"/>
      <c r="W160" s="276"/>
      <c r="X160" s="276"/>
      <c r="Y160" s="354"/>
      <c r="Z160" s="276"/>
      <c r="AA160" s="276"/>
      <c r="AB160" s="276"/>
      <c r="AC160" s="276"/>
      <c r="AD160" s="276"/>
      <c r="AE160" s="276"/>
      <c r="AF160" s="276"/>
      <c r="AG160" s="276"/>
      <c r="AH160" s="276"/>
      <c r="AI160" s="276"/>
      <c r="AJ160" s="276"/>
      <c r="AK160" s="276"/>
      <c r="AL160" s="276"/>
    </row>
    <row r="161" spans="1:38" ht="15.75" customHeight="1" x14ac:dyDescent="0.25">
      <c r="A161" s="533"/>
      <c r="B161" s="276"/>
      <c r="C161" s="276"/>
      <c r="D161" s="276"/>
      <c r="E161" s="276"/>
      <c r="F161" s="276"/>
      <c r="G161" s="353"/>
      <c r="H161" s="276"/>
      <c r="I161" s="353"/>
      <c r="J161" s="276"/>
      <c r="K161" s="276"/>
      <c r="L161" s="276"/>
      <c r="M161" s="276"/>
      <c r="N161" s="276"/>
      <c r="O161" s="276"/>
      <c r="P161" s="276"/>
      <c r="Q161" s="276"/>
      <c r="R161" s="276"/>
      <c r="S161" s="276"/>
      <c r="T161" s="276"/>
      <c r="U161" s="276"/>
      <c r="V161" s="276"/>
      <c r="W161" s="276"/>
      <c r="X161" s="276"/>
      <c r="Y161" s="354"/>
      <c r="Z161" s="276"/>
      <c r="AA161" s="276"/>
      <c r="AB161" s="276"/>
      <c r="AC161" s="276"/>
      <c r="AD161" s="276"/>
      <c r="AE161" s="276"/>
      <c r="AF161" s="276"/>
      <c r="AG161" s="276"/>
      <c r="AH161" s="276"/>
      <c r="AI161" s="276"/>
      <c r="AJ161" s="276"/>
      <c r="AK161" s="276"/>
      <c r="AL161" s="276"/>
    </row>
    <row r="162" spans="1:38" ht="15.75" customHeight="1" x14ac:dyDescent="0.25">
      <c r="A162" s="533"/>
      <c r="B162" s="276"/>
      <c r="C162" s="276"/>
      <c r="D162" s="276"/>
      <c r="E162" s="276"/>
      <c r="F162" s="276"/>
      <c r="G162" s="353"/>
      <c r="H162" s="276"/>
      <c r="I162" s="353"/>
      <c r="J162" s="276"/>
      <c r="K162" s="276"/>
      <c r="L162" s="276"/>
      <c r="M162" s="276"/>
      <c r="N162" s="276"/>
      <c r="O162" s="276"/>
      <c r="P162" s="276"/>
      <c r="Q162" s="276"/>
      <c r="R162" s="276"/>
      <c r="S162" s="276"/>
      <c r="T162" s="276"/>
      <c r="U162" s="276"/>
      <c r="V162" s="276"/>
      <c r="W162" s="276"/>
      <c r="X162" s="276"/>
      <c r="Y162" s="354"/>
      <c r="Z162" s="276"/>
      <c r="AA162" s="276"/>
      <c r="AB162" s="276"/>
      <c r="AC162" s="276"/>
      <c r="AD162" s="276"/>
      <c r="AE162" s="276"/>
      <c r="AF162" s="276"/>
      <c r="AG162" s="276"/>
      <c r="AH162" s="276"/>
      <c r="AI162" s="276"/>
      <c r="AJ162" s="276"/>
      <c r="AK162" s="276"/>
      <c r="AL162" s="276"/>
    </row>
    <row r="163" spans="1:38" ht="15.75" customHeight="1" x14ac:dyDescent="0.25">
      <c r="A163" s="533"/>
      <c r="B163" s="276"/>
      <c r="C163" s="276"/>
      <c r="D163" s="276"/>
      <c r="E163" s="276"/>
      <c r="F163" s="276"/>
      <c r="G163" s="353"/>
      <c r="H163" s="276"/>
      <c r="I163" s="353"/>
      <c r="J163" s="276"/>
      <c r="K163" s="276"/>
      <c r="L163" s="276"/>
      <c r="M163" s="276"/>
      <c r="N163" s="276"/>
      <c r="O163" s="276"/>
      <c r="P163" s="276"/>
      <c r="Q163" s="276"/>
      <c r="R163" s="276"/>
      <c r="S163" s="276"/>
      <c r="T163" s="276"/>
      <c r="U163" s="276"/>
      <c r="V163" s="276"/>
      <c r="W163" s="276"/>
      <c r="X163" s="276"/>
      <c r="Y163" s="354"/>
      <c r="Z163" s="276"/>
      <c r="AA163" s="276"/>
      <c r="AB163" s="276"/>
      <c r="AC163" s="276"/>
      <c r="AD163" s="276"/>
      <c r="AE163" s="276"/>
      <c r="AF163" s="276"/>
      <c r="AG163" s="276"/>
      <c r="AH163" s="276"/>
      <c r="AI163" s="276"/>
      <c r="AJ163" s="276"/>
      <c r="AK163" s="276"/>
      <c r="AL163" s="276"/>
    </row>
    <row r="164" spans="1:38" ht="15.75" customHeight="1" x14ac:dyDescent="0.25">
      <c r="A164" s="533"/>
      <c r="B164" s="276"/>
      <c r="C164" s="276"/>
      <c r="D164" s="276"/>
      <c r="E164" s="276"/>
      <c r="F164" s="276"/>
      <c r="G164" s="353"/>
      <c r="H164" s="276"/>
      <c r="I164" s="353"/>
      <c r="J164" s="276"/>
      <c r="K164" s="276"/>
      <c r="L164" s="276"/>
      <c r="M164" s="276"/>
      <c r="N164" s="276"/>
      <c r="O164" s="276"/>
      <c r="P164" s="276"/>
      <c r="Q164" s="276"/>
      <c r="R164" s="276"/>
      <c r="S164" s="276"/>
      <c r="T164" s="276"/>
      <c r="U164" s="276"/>
      <c r="V164" s="276"/>
      <c r="W164" s="276"/>
      <c r="X164" s="276"/>
      <c r="Y164" s="354"/>
      <c r="Z164" s="276"/>
      <c r="AA164" s="276"/>
      <c r="AB164" s="276"/>
      <c r="AC164" s="276"/>
      <c r="AD164" s="276"/>
      <c r="AE164" s="276"/>
      <c r="AF164" s="276"/>
      <c r="AG164" s="276"/>
      <c r="AH164" s="276"/>
      <c r="AI164" s="276"/>
      <c r="AJ164" s="276"/>
      <c r="AK164" s="276"/>
      <c r="AL164" s="276"/>
    </row>
    <row r="165" spans="1:38" ht="15.75" customHeight="1" x14ac:dyDescent="0.25">
      <c r="A165" s="533"/>
      <c r="B165" s="276"/>
      <c r="C165" s="276"/>
      <c r="D165" s="276"/>
      <c r="E165" s="276"/>
      <c r="F165" s="276"/>
      <c r="G165" s="353"/>
      <c r="H165" s="276"/>
      <c r="I165" s="353"/>
      <c r="J165" s="276"/>
      <c r="K165" s="276"/>
      <c r="L165" s="276"/>
      <c r="M165" s="276"/>
      <c r="N165" s="276"/>
      <c r="O165" s="276"/>
      <c r="P165" s="276"/>
      <c r="Q165" s="276"/>
      <c r="R165" s="276"/>
      <c r="S165" s="276"/>
      <c r="T165" s="276"/>
      <c r="U165" s="276"/>
      <c r="V165" s="276"/>
      <c r="W165" s="276"/>
      <c r="X165" s="276"/>
      <c r="Y165" s="354"/>
      <c r="Z165" s="276"/>
      <c r="AA165" s="276"/>
      <c r="AB165" s="276"/>
      <c r="AC165" s="276"/>
      <c r="AD165" s="276"/>
      <c r="AE165" s="276"/>
      <c r="AF165" s="276"/>
      <c r="AG165" s="276"/>
      <c r="AH165" s="276"/>
      <c r="AI165" s="276"/>
      <c r="AJ165" s="276"/>
      <c r="AK165" s="276"/>
      <c r="AL165" s="276"/>
    </row>
    <row r="166" spans="1:38" ht="15.75" customHeight="1" x14ac:dyDescent="0.25">
      <c r="A166" s="533"/>
      <c r="B166" s="276"/>
      <c r="C166" s="276"/>
      <c r="D166" s="276"/>
      <c r="E166" s="276"/>
      <c r="F166" s="276"/>
      <c r="G166" s="353"/>
      <c r="H166" s="276"/>
      <c r="I166" s="353"/>
      <c r="J166" s="276"/>
      <c r="K166" s="276"/>
      <c r="L166" s="276"/>
      <c r="M166" s="276"/>
      <c r="N166" s="276"/>
      <c r="O166" s="276"/>
      <c r="P166" s="276"/>
      <c r="Q166" s="276"/>
      <c r="R166" s="276"/>
      <c r="S166" s="276"/>
      <c r="T166" s="276"/>
      <c r="U166" s="276"/>
      <c r="V166" s="276"/>
      <c r="W166" s="276"/>
      <c r="X166" s="276"/>
      <c r="Y166" s="354"/>
      <c r="Z166" s="276"/>
      <c r="AA166" s="276"/>
      <c r="AB166" s="276"/>
      <c r="AC166" s="276"/>
      <c r="AD166" s="276"/>
      <c r="AE166" s="276"/>
      <c r="AF166" s="276"/>
      <c r="AG166" s="276"/>
      <c r="AH166" s="276"/>
      <c r="AI166" s="276"/>
      <c r="AJ166" s="276"/>
      <c r="AK166" s="276"/>
      <c r="AL166" s="276"/>
    </row>
    <row r="167" spans="1:38" ht="15.75" customHeight="1" x14ac:dyDescent="0.25">
      <c r="A167" s="533"/>
      <c r="B167" s="276"/>
      <c r="C167" s="276"/>
      <c r="D167" s="276"/>
      <c r="E167" s="276"/>
      <c r="F167" s="276"/>
      <c r="G167" s="353"/>
      <c r="H167" s="276"/>
      <c r="I167" s="353"/>
      <c r="J167" s="276"/>
      <c r="K167" s="276"/>
      <c r="L167" s="276"/>
      <c r="M167" s="276"/>
      <c r="N167" s="276"/>
      <c r="O167" s="276"/>
      <c r="P167" s="276"/>
      <c r="Q167" s="276"/>
      <c r="R167" s="276"/>
      <c r="S167" s="276"/>
      <c r="T167" s="276"/>
      <c r="U167" s="276"/>
      <c r="V167" s="276"/>
      <c r="W167" s="276"/>
      <c r="X167" s="276"/>
      <c r="Y167" s="354"/>
      <c r="Z167" s="276"/>
      <c r="AA167" s="276"/>
      <c r="AB167" s="276"/>
      <c r="AC167" s="276"/>
      <c r="AD167" s="276"/>
      <c r="AE167" s="276"/>
      <c r="AF167" s="276"/>
      <c r="AG167" s="276"/>
      <c r="AH167" s="276"/>
      <c r="AI167" s="276"/>
      <c r="AJ167" s="276"/>
      <c r="AK167" s="276"/>
      <c r="AL167" s="276"/>
    </row>
    <row r="168" spans="1:38" ht="15.75" customHeight="1" x14ac:dyDescent="0.25">
      <c r="A168" s="533"/>
      <c r="B168" s="276"/>
      <c r="C168" s="276"/>
      <c r="D168" s="276"/>
      <c r="E168" s="276"/>
      <c r="F168" s="276"/>
      <c r="G168" s="353"/>
      <c r="H168" s="276"/>
      <c r="I168" s="353"/>
      <c r="J168" s="276"/>
      <c r="K168" s="276"/>
      <c r="L168" s="276"/>
      <c r="M168" s="276"/>
      <c r="N168" s="276"/>
      <c r="O168" s="276"/>
      <c r="P168" s="276"/>
      <c r="Q168" s="276"/>
      <c r="R168" s="276"/>
      <c r="S168" s="276"/>
      <c r="T168" s="276"/>
      <c r="U168" s="276"/>
      <c r="V168" s="276"/>
      <c r="W168" s="276"/>
      <c r="X168" s="276"/>
      <c r="Y168" s="354"/>
      <c r="Z168" s="276"/>
      <c r="AA168" s="276"/>
      <c r="AB168" s="276"/>
      <c r="AC168" s="276"/>
      <c r="AD168" s="276"/>
      <c r="AE168" s="276"/>
      <c r="AF168" s="276"/>
      <c r="AG168" s="276"/>
      <c r="AH168" s="276"/>
      <c r="AI168" s="276"/>
      <c r="AJ168" s="276"/>
      <c r="AK168" s="276"/>
      <c r="AL168" s="276"/>
    </row>
    <row r="169" spans="1:38" ht="15.75" customHeight="1" x14ac:dyDescent="0.25">
      <c r="A169" s="533"/>
      <c r="B169" s="276"/>
      <c r="C169" s="276"/>
      <c r="D169" s="276"/>
      <c r="E169" s="276"/>
      <c r="F169" s="276"/>
      <c r="G169" s="353"/>
      <c r="H169" s="276"/>
      <c r="I169" s="353"/>
      <c r="J169" s="276"/>
      <c r="K169" s="276"/>
      <c r="L169" s="276"/>
      <c r="M169" s="276"/>
      <c r="N169" s="276"/>
      <c r="O169" s="276"/>
      <c r="P169" s="276"/>
      <c r="Q169" s="276"/>
      <c r="R169" s="276"/>
      <c r="S169" s="276"/>
      <c r="T169" s="276"/>
      <c r="U169" s="276"/>
      <c r="V169" s="276"/>
      <c r="W169" s="276"/>
      <c r="X169" s="276"/>
      <c r="Y169" s="354"/>
      <c r="Z169" s="276"/>
      <c r="AA169" s="276"/>
      <c r="AB169" s="276"/>
      <c r="AC169" s="276"/>
      <c r="AD169" s="276"/>
      <c r="AE169" s="276"/>
      <c r="AF169" s="276"/>
      <c r="AG169" s="276"/>
      <c r="AH169" s="276"/>
      <c r="AI169" s="276"/>
      <c r="AJ169" s="276"/>
      <c r="AK169" s="276"/>
      <c r="AL169" s="276"/>
    </row>
    <row r="170" spans="1:38" ht="15.75" customHeight="1" x14ac:dyDescent="0.25">
      <c r="A170" s="533"/>
      <c r="B170" s="276"/>
      <c r="C170" s="276"/>
      <c r="D170" s="276"/>
      <c r="E170" s="276"/>
      <c r="F170" s="276"/>
      <c r="G170" s="353"/>
      <c r="H170" s="276"/>
      <c r="I170" s="353"/>
      <c r="J170" s="276"/>
      <c r="K170" s="276"/>
      <c r="L170" s="276"/>
      <c r="M170" s="276"/>
      <c r="N170" s="276"/>
      <c r="O170" s="276"/>
      <c r="P170" s="276"/>
      <c r="Q170" s="276"/>
      <c r="R170" s="276"/>
      <c r="S170" s="276"/>
      <c r="T170" s="276"/>
      <c r="U170" s="276"/>
      <c r="V170" s="276"/>
      <c r="W170" s="276"/>
      <c r="X170" s="276"/>
      <c r="Y170" s="354"/>
      <c r="Z170" s="276"/>
      <c r="AA170" s="276"/>
      <c r="AB170" s="276"/>
      <c r="AC170" s="276"/>
      <c r="AD170" s="276"/>
      <c r="AE170" s="276"/>
      <c r="AF170" s="276"/>
      <c r="AG170" s="276"/>
      <c r="AH170" s="276"/>
      <c r="AI170" s="276"/>
      <c r="AJ170" s="276"/>
      <c r="AK170" s="276"/>
      <c r="AL170" s="276"/>
    </row>
    <row r="171" spans="1:38" ht="15.75" customHeight="1" x14ac:dyDescent="0.25">
      <c r="A171" s="533"/>
      <c r="B171" s="276"/>
      <c r="C171" s="276"/>
      <c r="D171" s="276"/>
      <c r="E171" s="276"/>
      <c r="F171" s="276"/>
      <c r="G171" s="353"/>
      <c r="H171" s="276"/>
      <c r="I171" s="353"/>
      <c r="J171" s="276"/>
      <c r="K171" s="276"/>
      <c r="L171" s="276"/>
      <c r="M171" s="276"/>
      <c r="N171" s="276"/>
      <c r="O171" s="276"/>
      <c r="P171" s="276"/>
      <c r="Q171" s="276"/>
      <c r="R171" s="276"/>
      <c r="S171" s="276"/>
      <c r="T171" s="276"/>
      <c r="U171" s="276"/>
      <c r="V171" s="276"/>
      <c r="W171" s="276"/>
      <c r="X171" s="276"/>
      <c r="Y171" s="354"/>
      <c r="Z171" s="276"/>
      <c r="AA171" s="276"/>
      <c r="AB171" s="276"/>
      <c r="AC171" s="276"/>
      <c r="AD171" s="276"/>
      <c r="AE171" s="276"/>
      <c r="AF171" s="276"/>
      <c r="AG171" s="276"/>
      <c r="AH171" s="276"/>
      <c r="AI171" s="276"/>
      <c r="AJ171" s="276"/>
      <c r="AK171" s="276"/>
      <c r="AL171" s="276"/>
    </row>
    <row r="172" spans="1:38" ht="15.75" customHeight="1" x14ac:dyDescent="0.25">
      <c r="A172" s="533"/>
      <c r="B172" s="276"/>
      <c r="C172" s="276"/>
      <c r="D172" s="276"/>
      <c r="E172" s="276"/>
      <c r="F172" s="276"/>
      <c r="G172" s="353"/>
      <c r="H172" s="276"/>
      <c r="I172" s="353"/>
      <c r="J172" s="276"/>
      <c r="K172" s="276"/>
      <c r="L172" s="276"/>
      <c r="M172" s="276"/>
      <c r="N172" s="276"/>
      <c r="O172" s="276"/>
      <c r="P172" s="276"/>
      <c r="Q172" s="276"/>
      <c r="R172" s="276"/>
      <c r="S172" s="276"/>
      <c r="T172" s="276"/>
      <c r="U172" s="276"/>
      <c r="V172" s="276"/>
      <c r="W172" s="276"/>
      <c r="X172" s="276"/>
      <c r="Y172" s="354"/>
      <c r="Z172" s="276"/>
      <c r="AA172" s="276"/>
      <c r="AB172" s="276"/>
      <c r="AC172" s="276"/>
      <c r="AD172" s="276"/>
      <c r="AE172" s="276"/>
      <c r="AF172" s="276"/>
      <c r="AG172" s="276"/>
      <c r="AH172" s="276"/>
      <c r="AI172" s="276"/>
      <c r="AJ172" s="276"/>
      <c r="AK172" s="276"/>
      <c r="AL172" s="276"/>
    </row>
    <row r="173" spans="1:38" ht="15.75" customHeight="1" x14ac:dyDescent="0.25">
      <c r="A173" s="533"/>
      <c r="B173" s="276"/>
      <c r="C173" s="276"/>
      <c r="D173" s="276"/>
      <c r="E173" s="276"/>
      <c r="F173" s="276"/>
      <c r="G173" s="353"/>
      <c r="H173" s="276"/>
      <c r="I173" s="353"/>
      <c r="J173" s="276"/>
      <c r="K173" s="276"/>
      <c r="L173" s="276"/>
      <c r="M173" s="276"/>
      <c r="N173" s="276"/>
      <c r="O173" s="276"/>
      <c r="P173" s="276"/>
      <c r="Q173" s="276"/>
      <c r="R173" s="276"/>
      <c r="S173" s="276"/>
      <c r="T173" s="276"/>
      <c r="U173" s="276"/>
      <c r="V173" s="276"/>
      <c r="W173" s="276"/>
      <c r="X173" s="276"/>
      <c r="Y173" s="354"/>
      <c r="Z173" s="276"/>
      <c r="AA173" s="276"/>
      <c r="AB173" s="276"/>
      <c r="AC173" s="276"/>
      <c r="AD173" s="276"/>
      <c r="AE173" s="276"/>
      <c r="AF173" s="276"/>
      <c r="AG173" s="276"/>
      <c r="AH173" s="276"/>
      <c r="AI173" s="276"/>
      <c r="AJ173" s="276"/>
      <c r="AK173" s="276"/>
      <c r="AL173" s="276"/>
    </row>
    <row r="174" spans="1:38" ht="15.75" customHeight="1" x14ac:dyDescent="0.25">
      <c r="A174" s="533"/>
      <c r="B174" s="276"/>
      <c r="C174" s="276"/>
      <c r="D174" s="276"/>
      <c r="E174" s="276"/>
      <c r="F174" s="276"/>
      <c r="G174" s="353"/>
      <c r="H174" s="276"/>
      <c r="I174" s="353"/>
      <c r="J174" s="276"/>
      <c r="K174" s="276"/>
      <c r="L174" s="276"/>
      <c r="M174" s="276"/>
      <c r="N174" s="276"/>
      <c r="O174" s="276"/>
      <c r="P174" s="276"/>
      <c r="Q174" s="276"/>
      <c r="R174" s="276"/>
      <c r="S174" s="276"/>
      <c r="T174" s="276"/>
      <c r="U174" s="276"/>
      <c r="V174" s="276"/>
      <c r="W174" s="276"/>
      <c r="X174" s="276"/>
      <c r="Y174" s="354"/>
      <c r="Z174" s="276"/>
      <c r="AA174" s="276"/>
      <c r="AB174" s="276"/>
      <c r="AC174" s="276"/>
      <c r="AD174" s="276"/>
      <c r="AE174" s="276"/>
      <c r="AF174" s="276"/>
      <c r="AG174" s="276"/>
      <c r="AH174" s="276"/>
      <c r="AI174" s="276"/>
      <c r="AJ174" s="276"/>
      <c r="AK174" s="276"/>
      <c r="AL174" s="276"/>
    </row>
    <row r="175" spans="1:38" ht="15.75" customHeight="1" x14ac:dyDescent="0.25">
      <c r="A175" s="533"/>
      <c r="B175" s="276"/>
      <c r="C175" s="276"/>
      <c r="D175" s="276"/>
      <c r="E175" s="276"/>
      <c r="F175" s="276"/>
      <c r="G175" s="353"/>
      <c r="H175" s="276"/>
      <c r="I175" s="353"/>
      <c r="J175" s="276"/>
      <c r="K175" s="276"/>
      <c r="L175" s="276"/>
      <c r="M175" s="276"/>
      <c r="N175" s="276"/>
      <c r="O175" s="276"/>
      <c r="P175" s="276"/>
      <c r="Q175" s="276"/>
      <c r="R175" s="276"/>
      <c r="S175" s="276"/>
      <c r="T175" s="276"/>
      <c r="U175" s="276"/>
      <c r="V175" s="276"/>
      <c r="W175" s="276"/>
      <c r="X175" s="276"/>
      <c r="Y175" s="354"/>
      <c r="Z175" s="276"/>
      <c r="AA175" s="276"/>
      <c r="AB175" s="276"/>
      <c r="AC175" s="276"/>
      <c r="AD175" s="276"/>
      <c r="AE175" s="276"/>
      <c r="AF175" s="276"/>
      <c r="AG175" s="276"/>
      <c r="AH175" s="276"/>
      <c r="AI175" s="276"/>
      <c r="AJ175" s="276"/>
      <c r="AK175" s="276"/>
      <c r="AL175" s="276"/>
    </row>
    <row r="176" spans="1:38" ht="15.75" customHeight="1" x14ac:dyDescent="0.25">
      <c r="A176" s="533"/>
      <c r="B176" s="276"/>
      <c r="C176" s="276"/>
      <c r="D176" s="276"/>
      <c r="E176" s="276"/>
      <c r="F176" s="276"/>
      <c r="G176" s="353"/>
      <c r="H176" s="276"/>
      <c r="I176" s="353"/>
      <c r="J176" s="276"/>
      <c r="K176" s="276"/>
      <c r="L176" s="276"/>
      <c r="M176" s="276"/>
      <c r="N176" s="276"/>
      <c r="O176" s="276"/>
      <c r="P176" s="276"/>
      <c r="Q176" s="276"/>
      <c r="R176" s="276"/>
      <c r="S176" s="276"/>
      <c r="T176" s="276"/>
      <c r="U176" s="276"/>
      <c r="V176" s="276"/>
      <c r="W176" s="276"/>
      <c r="X176" s="276"/>
      <c r="Y176" s="354"/>
      <c r="Z176" s="276"/>
      <c r="AA176" s="276"/>
      <c r="AB176" s="276"/>
      <c r="AC176" s="276"/>
      <c r="AD176" s="276"/>
      <c r="AE176" s="276"/>
      <c r="AF176" s="276"/>
      <c r="AG176" s="276"/>
      <c r="AH176" s="276"/>
      <c r="AI176" s="276"/>
      <c r="AJ176" s="276"/>
      <c r="AK176" s="276"/>
      <c r="AL176" s="276"/>
    </row>
    <row r="177" spans="1:38" ht="15.75" customHeight="1" x14ac:dyDescent="0.25">
      <c r="A177" s="533"/>
      <c r="B177" s="276"/>
      <c r="C177" s="276"/>
      <c r="D177" s="276"/>
      <c r="E177" s="276"/>
      <c r="F177" s="276"/>
      <c r="G177" s="353"/>
      <c r="H177" s="276"/>
      <c r="I177" s="353"/>
      <c r="J177" s="276"/>
      <c r="K177" s="276"/>
      <c r="L177" s="276"/>
      <c r="M177" s="276"/>
      <c r="N177" s="276"/>
      <c r="O177" s="276"/>
      <c r="P177" s="276"/>
      <c r="Q177" s="276"/>
      <c r="R177" s="276"/>
      <c r="S177" s="276"/>
      <c r="T177" s="276"/>
      <c r="U177" s="276"/>
      <c r="V177" s="276"/>
      <c r="W177" s="276"/>
      <c r="X177" s="276"/>
      <c r="Y177" s="354"/>
      <c r="Z177" s="276"/>
      <c r="AA177" s="276"/>
      <c r="AB177" s="276"/>
      <c r="AC177" s="276"/>
      <c r="AD177" s="276"/>
      <c r="AE177" s="276"/>
      <c r="AF177" s="276"/>
      <c r="AG177" s="276"/>
      <c r="AH177" s="276"/>
      <c r="AI177" s="276"/>
      <c r="AJ177" s="276"/>
      <c r="AK177" s="276"/>
      <c r="AL177" s="276"/>
    </row>
    <row r="178" spans="1:38" ht="15.75" customHeight="1" x14ac:dyDescent="0.25">
      <c r="A178" s="533"/>
      <c r="B178" s="276"/>
      <c r="C178" s="276"/>
      <c r="D178" s="276"/>
      <c r="E178" s="276"/>
      <c r="F178" s="276"/>
      <c r="G178" s="353"/>
      <c r="H178" s="276"/>
      <c r="I178" s="353"/>
      <c r="J178" s="276"/>
      <c r="K178" s="276"/>
      <c r="L178" s="276"/>
      <c r="M178" s="276"/>
      <c r="N178" s="276"/>
      <c r="O178" s="276"/>
      <c r="P178" s="276"/>
      <c r="Q178" s="276"/>
      <c r="R178" s="276"/>
      <c r="S178" s="276"/>
      <c r="T178" s="276"/>
      <c r="U178" s="276"/>
      <c r="V178" s="276"/>
      <c r="W178" s="276"/>
      <c r="X178" s="276"/>
      <c r="Y178" s="354"/>
      <c r="Z178" s="276"/>
      <c r="AA178" s="276"/>
      <c r="AB178" s="276"/>
      <c r="AC178" s="276"/>
      <c r="AD178" s="276"/>
      <c r="AE178" s="276"/>
      <c r="AF178" s="276"/>
      <c r="AG178" s="276"/>
      <c r="AH178" s="276"/>
      <c r="AI178" s="276"/>
      <c r="AJ178" s="276"/>
      <c r="AK178" s="276"/>
      <c r="AL178" s="276"/>
    </row>
    <row r="179" spans="1:38" ht="15.75" customHeight="1" x14ac:dyDescent="0.25">
      <c r="A179" s="533"/>
      <c r="B179" s="276"/>
      <c r="C179" s="276"/>
      <c r="D179" s="276"/>
      <c r="E179" s="276"/>
      <c r="F179" s="276"/>
      <c r="G179" s="353"/>
      <c r="H179" s="276"/>
      <c r="I179" s="353"/>
      <c r="J179" s="276"/>
      <c r="K179" s="276"/>
      <c r="L179" s="276"/>
      <c r="M179" s="276"/>
      <c r="N179" s="276"/>
      <c r="O179" s="276"/>
      <c r="P179" s="276"/>
      <c r="Q179" s="276"/>
      <c r="R179" s="276"/>
      <c r="S179" s="276"/>
      <c r="T179" s="276"/>
      <c r="U179" s="276"/>
      <c r="V179" s="276"/>
      <c r="W179" s="276"/>
      <c r="X179" s="276"/>
      <c r="Y179" s="354"/>
      <c r="Z179" s="276"/>
      <c r="AA179" s="276"/>
      <c r="AB179" s="276"/>
      <c r="AC179" s="276"/>
      <c r="AD179" s="276"/>
      <c r="AE179" s="276"/>
      <c r="AF179" s="276"/>
      <c r="AG179" s="276"/>
      <c r="AH179" s="276"/>
      <c r="AI179" s="276"/>
      <c r="AJ179" s="276"/>
      <c r="AK179" s="276"/>
      <c r="AL179" s="276"/>
    </row>
    <row r="180" spans="1:38" ht="15.75" customHeight="1" x14ac:dyDescent="0.25">
      <c r="A180" s="533"/>
      <c r="B180" s="276"/>
      <c r="C180" s="276"/>
      <c r="D180" s="276"/>
      <c r="E180" s="276"/>
      <c r="F180" s="276"/>
      <c r="G180" s="353"/>
      <c r="H180" s="276"/>
      <c r="I180" s="353"/>
      <c r="J180" s="276"/>
      <c r="K180" s="276"/>
      <c r="L180" s="276"/>
      <c r="M180" s="276"/>
      <c r="N180" s="276"/>
      <c r="O180" s="276"/>
      <c r="P180" s="276"/>
      <c r="Q180" s="276"/>
      <c r="R180" s="276"/>
      <c r="S180" s="276"/>
      <c r="T180" s="276"/>
      <c r="U180" s="276"/>
      <c r="V180" s="276"/>
      <c r="W180" s="276"/>
      <c r="X180" s="276"/>
      <c r="Y180" s="354"/>
      <c r="Z180" s="276"/>
      <c r="AA180" s="276"/>
      <c r="AB180" s="276"/>
      <c r="AC180" s="276"/>
      <c r="AD180" s="276"/>
      <c r="AE180" s="276"/>
      <c r="AF180" s="276"/>
      <c r="AG180" s="276"/>
      <c r="AH180" s="276"/>
      <c r="AI180" s="276"/>
      <c r="AJ180" s="276"/>
      <c r="AK180" s="276"/>
      <c r="AL180" s="276"/>
    </row>
    <row r="181" spans="1:38" ht="15.75" customHeight="1" x14ac:dyDescent="0.25">
      <c r="A181" s="533"/>
      <c r="B181" s="276"/>
      <c r="C181" s="276"/>
      <c r="D181" s="276"/>
      <c r="E181" s="276"/>
      <c r="F181" s="276"/>
      <c r="G181" s="353"/>
      <c r="H181" s="276"/>
      <c r="I181" s="353"/>
      <c r="J181" s="276"/>
      <c r="K181" s="276"/>
      <c r="L181" s="276"/>
      <c r="M181" s="276"/>
      <c r="N181" s="276"/>
      <c r="O181" s="276"/>
      <c r="P181" s="276"/>
      <c r="Q181" s="276"/>
      <c r="R181" s="276"/>
      <c r="S181" s="276"/>
      <c r="T181" s="276"/>
      <c r="U181" s="276"/>
      <c r="V181" s="276"/>
      <c r="W181" s="276"/>
      <c r="X181" s="276"/>
      <c r="Y181" s="354"/>
      <c r="Z181" s="276"/>
      <c r="AA181" s="276"/>
      <c r="AB181" s="276"/>
      <c r="AC181" s="276"/>
      <c r="AD181" s="276"/>
      <c r="AE181" s="276"/>
      <c r="AF181" s="276"/>
      <c r="AG181" s="276"/>
      <c r="AH181" s="276"/>
      <c r="AI181" s="276"/>
      <c r="AJ181" s="276"/>
      <c r="AK181" s="276"/>
      <c r="AL181" s="276"/>
    </row>
    <row r="182" spans="1:38" ht="15.75" customHeight="1" x14ac:dyDescent="0.25">
      <c r="A182" s="533"/>
      <c r="B182" s="276"/>
      <c r="C182" s="276"/>
      <c r="D182" s="276"/>
      <c r="E182" s="276"/>
      <c r="F182" s="276"/>
      <c r="G182" s="353"/>
      <c r="H182" s="276"/>
      <c r="I182" s="353"/>
      <c r="J182" s="276"/>
      <c r="K182" s="276"/>
      <c r="L182" s="276"/>
      <c r="M182" s="276"/>
      <c r="N182" s="276"/>
      <c r="O182" s="276"/>
      <c r="P182" s="276"/>
      <c r="Q182" s="276"/>
      <c r="R182" s="276"/>
      <c r="S182" s="276"/>
      <c r="T182" s="276"/>
      <c r="U182" s="276"/>
      <c r="V182" s="276"/>
      <c r="W182" s="276"/>
      <c r="X182" s="276"/>
      <c r="Y182" s="354"/>
      <c r="Z182" s="276"/>
      <c r="AA182" s="276"/>
      <c r="AB182" s="276"/>
      <c r="AC182" s="276"/>
      <c r="AD182" s="276"/>
      <c r="AE182" s="276"/>
      <c r="AF182" s="276"/>
      <c r="AG182" s="276"/>
      <c r="AH182" s="276"/>
      <c r="AI182" s="276"/>
      <c r="AJ182" s="276"/>
      <c r="AK182" s="276"/>
      <c r="AL182" s="276"/>
    </row>
    <row r="183" spans="1:38" ht="15.75" customHeight="1" x14ac:dyDescent="0.25">
      <c r="A183" s="533"/>
      <c r="B183" s="276"/>
      <c r="C183" s="276"/>
      <c r="D183" s="276"/>
      <c r="E183" s="276"/>
      <c r="F183" s="276"/>
      <c r="G183" s="353"/>
      <c r="H183" s="276"/>
      <c r="I183" s="353"/>
      <c r="J183" s="276"/>
      <c r="K183" s="276"/>
      <c r="L183" s="276"/>
      <c r="M183" s="276"/>
      <c r="N183" s="276"/>
      <c r="O183" s="276"/>
      <c r="P183" s="276"/>
      <c r="Q183" s="276"/>
      <c r="R183" s="276"/>
      <c r="S183" s="276"/>
      <c r="T183" s="276"/>
      <c r="U183" s="276"/>
      <c r="V183" s="276"/>
      <c r="W183" s="276"/>
      <c r="X183" s="276"/>
      <c r="Y183" s="354"/>
      <c r="Z183" s="276"/>
      <c r="AA183" s="276"/>
      <c r="AB183" s="276"/>
      <c r="AC183" s="276"/>
      <c r="AD183" s="276"/>
      <c r="AE183" s="276"/>
      <c r="AF183" s="276"/>
      <c r="AG183" s="276"/>
      <c r="AH183" s="276"/>
      <c r="AI183" s="276"/>
      <c r="AJ183" s="276"/>
      <c r="AK183" s="276"/>
      <c r="AL183" s="276"/>
    </row>
    <row r="184" spans="1:38" ht="15.75" customHeight="1" x14ac:dyDescent="0.25">
      <c r="A184" s="533"/>
      <c r="B184" s="276"/>
      <c r="C184" s="276"/>
      <c r="D184" s="276"/>
      <c r="E184" s="276"/>
      <c r="F184" s="276"/>
      <c r="G184" s="353"/>
      <c r="H184" s="276"/>
      <c r="I184" s="353"/>
      <c r="J184" s="276"/>
      <c r="K184" s="276"/>
      <c r="L184" s="276"/>
      <c r="M184" s="276"/>
      <c r="N184" s="276"/>
      <c r="O184" s="276"/>
      <c r="P184" s="276"/>
      <c r="Q184" s="276"/>
      <c r="R184" s="276"/>
      <c r="S184" s="276"/>
      <c r="T184" s="276"/>
      <c r="U184" s="276"/>
      <c r="V184" s="276"/>
      <c r="W184" s="276"/>
      <c r="X184" s="276"/>
      <c r="Y184" s="354"/>
      <c r="Z184" s="276"/>
      <c r="AA184" s="276"/>
      <c r="AB184" s="276"/>
      <c r="AC184" s="276"/>
      <c r="AD184" s="276"/>
      <c r="AE184" s="276"/>
      <c r="AF184" s="276"/>
      <c r="AG184" s="276"/>
      <c r="AH184" s="276"/>
      <c r="AI184" s="276"/>
      <c r="AJ184" s="276"/>
      <c r="AK184" s="276"/>
      <c r="AL184" s="276"/>
    </row>
    <row r="185" spans="1:38" ht="15.75" customHeight="1" x14ac:dyDescent="0.25">
      <c r="A185" s="533"/>
      <c r="B185" s="276"/>
      <c r="C185" s="276"/>
      <c r="D185" s="276"/>
      <c r="E185" s="276"/>
      <c r="F185" s="276"/>
      <c r="G185" s="353"/>
      <c r="H185" s="276"/>
      <c r="I185" s="353"/>
      <c r="J185" s="276"/>
      <c r="K185" s="276"/>
      <c r="L185" s="276"/>
      <c r="M185" s="276"/>
      <c r="N185" s="276"/>
      <c r="O185" s="276"/>
      <c r="P185" s="276"/>
      <c r="Q185" s="276"/>
      <c r="R185" s="276"/>
      <c r="S185" s="276"/>
      <c r="T185" s="276"/>
      <c r="U185" s="276"/>
      <c r="V185" s="276"/>
      <c r="W185" s="276"/>
      <c r="X185" s="276"/>
      <c r="Y185" s="354"/>
      <c r="Z185" s="276"/>
      <c r="AA185" s="276"/>
      <c r="AB185" s="276"/>
      <c r="AC185" s="276"/>
      <c r="AD185" s="276"/>
      <c r="AE185" s="276"/>
      <c r="AF185" s="276"/>
      <c r="AG185" s="276"/>
      <c r="AH185" s="276"/>
      <c r="AI185" s="276"/>
      <c r="AJ185" s="276"/>
      <c r="AK185" s="276"/>
      <c r="AL185" s="276"/>
    </row>
    <row r="186" spans="1:38" ht="15.75" customHeight="1" x14ac:dyDescent="0.25">
      <c r="A186" s="533"/>
      <c r="B186" s="276"/>
      <c r="C186" s="276"/>
      <c r="D186" s="276"/>
      <c r="E186" s="276"/>
      <c r="F186" s="276"/>
      <c r="G186" s="353"/>
      <c r="H186" s="276"/>
      <c r="I186" s="353"/>
      <c r="J186" s="276"/>
      <c r="K186" s="276"/>
      <c r="L186" s="276"/>
      <c r="M186" s="276"/>
      <c r="N186" s="276"/>
      <c r="O186" s="276"/>
      <c r="P186" s="276"/>
      <c r="Q186" s="276"/>
      <c r="R186" s="276"/>
      <c r="S186" s="276"/>
      <c r="T186" s="276"/>
      <c r="U186" s="276"/>
      <c r="V186" s="276"/>
      <c r="W186" s="276"/>
      <c r="X186" s="276"/>
      <c r="Y186" s="354"/>
      <c r="Z186" s="276"/>
      <c r="AA186" s="276"/>
      <c r="AB186" s="276"/>
      <c r="AC186" s="276"/>
      <c r="AD186" s="276"/>
      <c r="AE186" s="276"/>
      <c r="AF186" s="276"/>
      <c r="AG186" s="276"/>
      <c r="AH186" s="276"/>
      <c r="AI186" s="276"/>
      <c r="AJ186" s="276"/>
      <c r="AK186" s="276"/>
      <c r="AL186" s="276"/>
    </row>
    <row r="187" spans="1:38" ht="15.75" customHeight="1" x14ac:dyDescent="0.25">
      <c r="A187" s="533"/>
      <c r="B187" s="276"/>
      <c r="C187" s="276"/>
      <c r="D187" s="276"/>
      <c r="E187" s="276"/>
      <c r="F187" s="276"/>
      <c r="G187" s="353"/>
      <c r="H187" s="276"/>
      <c r="I187" s="353"/>
      <c r="J187" s="276"/>
      <c r="K187" s="276"/>
      <c r="L187" s="276"/>
      <c r="M187" s="276"/>
      <c r="N187" s="276"/>
      <c r="O187" s="276"/>
      <c r="P187" s="276"/>
      <c r="Q187" s="276"/>
      <c r="R187" s="276"/>
      <c r="S187" s="276"/>
      <c r="T187" s="276"/>
      <c r="U187" s="276"/>
      <c r="V187" s="276"/>
      <c r="W187" s="276"/>
      <c r="X187" s="276"/>
      <c r="Y187" s="354"/>
      <c r="Z187" s="276"/>
      <c r="AA187" s="276"/>
      <c r="AB187" s="276"/>
      <c r="AC187" s="276"/>
      <c r="AD187" s="276"/>
      <c r="AE187" s="276"/>
      <c r="AF187" s="276"/>
      <c r="AG187" s="276"/>
      <c r="AH187" s="276"/>
      <c r="AI187" s="276"/>
      <c r="AJ187" s="276"/>
      <c r="AK187" s="276"/>
      <c r="AL187" s="276"/>
    </row>
    <row r="188" spans="1:38" ht="15.75" customHeight="1" x14ac:dyDescent="0.25">
      <c r="A188" s="533"/>
      <c r="B188" s="276"/>
      <c r="C188" s="276"/>
      <c r="D188" s="276"/>
      <c r="E188" s="276"/>
      <c r="F188" s="276"/>
      <c r="G188" s="353"/>
      <c r="H188" s="276"/>
      <c r="I188" s="353"/>
      <c r="J188" s="276"/>
      <c r="K188" s="276"/>
      <c r="L188" s="276"/>
      <c r="M188" s="276"/>
      <c r="N188" s="276"/>
      <c r="O188" s="276"/>
      <c r="P188" s="276"/>
      <c r="Q188" s="276"/>
      <c r="R188" s="276"/>
      <c r="S188" s="276"/>
      <c r="T188" s="276"/>
      <c r="U188" s="276"/>
      <c r="V188" s="276"/>
      <c r="W188" s="276"/>
      <c r="X188" s="276"/>
      <c r="Y188" s="354"/>
      <c r="Z188" s="276"/>
      <c r="AA188" s="276"/>
      <c r="AB188" s="276"/>
      <c r="AC188" s="276"/>
      <c r="AD188" s="276"/>
      <c r="AE188" s="276"/>
      <c r="AF188" s="276"/>
      <c r="AG188" s="276"/>
      <c r="AH188" s="276"/>
      <c r="AI188" s="276"/>
      <c r="AJ188" s="276"/>
      <c r="AK188" s="276"/>
      <c r="AL188" s="276"/>
    </row>
    <row r="189" spans="1:38" ht="15.75" customHeight="1" x14ac:dyDescent="0.25">
      <c r="A189" s="533"/>
      <c r="B189" s="276"/>
      <c r="C189" s="276"/>
      <c r="D189" s="276"/>
      <c r="E189" s="276"/>
      <c r="F189" s="276"/>
      <c r="G189" s="353"/>
      <c r="H189" s="276"/>
      <c r="I189" s="353"/>
      <c r="J189" s="276"/>
      <c r="K189" s="276"/>
      <c r="L189" s="276"/>
      <c r="M189" s="276"/>
      <c r="N189" s="276"/>
      <c r="O189" s="276"/>
      <c r="P189" s="276"/>
      <c r="Q189" s="276"/>
      <c r="R189" s="276"/>
      <c r="S189" s="276"/>
      <c r="T189" s="276"/>
      <c r="U189" s="276"/>
      <c r="V189" s="276"/>
      <c r="W189" s="276"/>
      <c r="X189" s="276"/>
      <c r="Y189" s="354"/>
      <c r="Z189" s="276"/>
      <c r="AA189" s="276"/>
      <c r="AB189" s="276"/>
      <c r="AC189" s="276"/>
      <c r="AD189" s="276"/>
      <c r="AE189" s="276"/>
      <c r="AF189" s="276"/>
      <c r="AG189" s="276"/>
      <c r="AH189" s="276"/>
      <c r="AI189" s="276"/>
      <c r="AJ189" s="276"/>
      <c r="AK189" s="276"/>
      <c r="AL189" s="276"/>
    </row>
    <row r="190" spans="1:38" ht="15.75" customHeight="1" x14ac:dyDescent="0.25">
      <c r="A190" s="533"/>
      <c r="B190" s="276"/>
      <c r="C190" s="276"/>
      <c r="D190" s="276"/>
      <c r="E190" s="276"/>
      <c r="F190" s="276"/>
      <c r="G190" s="353"/>
      <c r="H190" s="276"/>
      <c r="I190" s="353"/>
      <c r="J190" s="276"/>
      <c r="K190" s="276"/>
      <c r="L190" s="276"/>
      <c r="M190" s="276"/>
      <c r="N190" s="276"/>
      <c r="O190" s="276"/>
      <c r="P190" s="276"/>
      <c r="Q190" s="276"/>
      <c r="R190" s="276"/>
      <c r="S190" s="276"/>
      <c r="T190" s="276"/>
      <c r="U190" s="276"/>
      <c r="V190" s="276"/>
      <c r="W190" s="276"/>
      <c r="X190" s="276"/>
      <c r="Y190" s="354"/>
      <c r="Z190" s="276"/>
      <c r="AA190" s="276"/>
      <c r="AB190" s="276"/>
      <c r="AC190" s="276"/>
      <c r="AD190" s="276"/>
      <c r="AE190" s="276"/>
      <c r="AF190" s="276"/>
      <c r="AG190" s="276"/>
      <c r="AH190" s="276"/>
      <c r="AI190" s="276"/>
      <c r="AJ190" s="276"/>
      <c r="AK190" s="276"/>
      <c r="AL190" s="276"/>
    </row>
    <row r="191" spans="1:38" ht="15.75" customHeight="1" x14ac:dyDescent="0.25">
      <c r="A191" s="533"/>
      <c r="B191" s="276"/>
      <c r="C191" s="276"/>
      <c r="D191" s="276"/>
      <c r="E191" s="276"/>
      <c r="F191" s="276"/>
      <c r="G191" s="353"/>
      <c r="H191" s="276"/>
      <c r="I191" s="353"/>
      <c r="J191" s="276"/>
      <c r="K191" s="276"/>
      <c r="L191" s="276"/>
      <c r="M191" s="276"/>
      <c r="N191" s="276"/>
      <c r="O191" s="276"/>
      <c r="P191" s="276"/>
      <c r="Q191" s="276"/>
      <c r="R191" s="276"/>
      <c r="S191" s="276"/>
      <c r="T191" s="276"/>
      <c r="U191" s="276"/>
      <c r="V191" s="276"/>
      <c r="W191" s="276"/>
      <c r="X191" s="276"/>
      <c r="Y191" s="354"/>
      <c r="Z191" s="276"/>
      <c r="AA191" s="276"/>
      <c r="AB191" s="276"/>
      <c r="AC191" s="276"/>
      <c r="AD191" s="276"/>
      <c r="AE191" s="276"/>
      <c r="AF191" s="276"/>
      <c r="AG191" s="276"/>
      <c r="AH191" s="276"/>
      <c r="AI191" s="276"/>
      <c r="AJ191" s="276"/>
      <c r="AK191" s="276"/>
      <c r="AL191" s="276"/>
    </row>
    <row r="192" spans="1:38" ht="15.75" customHeight="1" x14ac:dyDescent="0.25">
      <c r="A192" s="533"/>
      <c r="B192" s="276"/>
      <c r="C192" s="276"/>
      <c r="D192" s="276"/>
      <c r="E192" s="276"/>
      <c r="F192" s="276"/>
      <c r="G192" s="353"/>
      <c r="H192" s="276"/>
      <c r="I192" s="353"/>
      <c r="J192" s="276"/>
      <c r="K192" s="276"/>
      <c r="L192" s="276"/>
      <c r="M192" s="276"/>
      <c r="N192" s="276"/>
      <c r="O192" s="276"/>
      <c r="P192" s="276"/>
      <c r="Q192" s="276"/>
      <c r="R192" s="276"/>
      <c r="S192" s="276"/>
      <c r="T192" s="276"/>
      <c r="U192" s="276"/>
      <c r="V192" s="276"/>
      <c r="W192" s="276"/>
      <c r="X192" s="276"/>
      <c r="Y192" s="354"/>
      <c r="Z192" s="276"/>
      <c r="AA192" s="276"/>
      <c r="AB192" s="276"/>
      <c r="AC192" s="276"/>
      <c r="AD192" s="276"/>
      <c r="AE192" s="276"/>
      <c r="AF192" s="276"/>
      <c r="AG192" s="276"/>
      <c r="AH192" s="276"/>
      <c r="AI192" s="276"/>
      <c r="AJ192" s="276"/>
      <c r="AK192" s="276"/>
      <c r="AL192" s="276"/>
    </row>
    <row r="193" spans="1:38" ht="15.75" customHeight="1" x14ac:dyDescent="0.25">
      <c r="A193" s="533"/>
      <c r="B193" s="276"/>
      <c r="C193" s="276"/>
      <c r="D193" s="276"/>
      <c r="E193" s="276"/>
      <c r="F193" s="276"/>
      <c r="G193" s="353"/>
      <c r="H193" s="276"/>
      <c r="I193" s="353"/>
      <c r="J193" s="276"/>
      <c r="K193" s="276"/>
      <c r="L193" s="276"/>
      <c r="M193" s="276"/>
      <c r="N193" s="276"/>
      <c r="O193" s="276"/>
      <c r="P193" s="276"/>
      <c r="Q193" s="276"/>
      <c r="R193" s="276"/>
      <c r="S193" s="276"/>
      <c r="T193" s="276"/>
      <c r="U193" s="276"/>
      <c r="V193" s="276"/>
      <c r="W193" s="276"/>
      <c r="X193" s="276"/>
      <c r="Y193" s="354"/>
      <c r="Z193" s="276"/>
      <c r="AA193" s="276"/>
      <c r="AB193" s="276"/>
      <c r="AC193" s="276"/>
      <c r="AD193" s="276"/>
      <c r="AE193" s="276"/>
      <c r="AF193" s="276"/>
      <c r="AG193" s="276"/>
      <c r="AH193" s="276"/>
      <c r="AI193" s="276"/>
      <c r="AJ193" s="276"/>
      <c r="AK193" s="276"/>
      <c r="AL193" s="276"/>
    </row>
    <row r="194" spans="1:38" ht="15.75" customHeight="1" x14ac:dyDescent="0.25">
      <c r="A194" s="533"/>
      <c r="B194" s="276"/>
      <c r="C194" s="276"/>
      <c r="D194" s="276"/>
      <c r="E194" s="276"/>
      <c r="F194" s="276"/>
      <c r="G194" s="353"/>
      <c r="H194" s="276"/>
      <c r="I194" s="353"/>
      <c r="J194" s="276"/>
      <c r="K194" s="276"/>
      <c r="L194" s="276"/>
      <c r="M194" s="276"/>
      <c r="N194" s="276"/>
      <c r="O194" s="276"/>
      <c r="P194" s="276"/>
      <c r="Q194" s="276"/>
      <c r="R194" s="276"/>
      <c r="S194" s="276"/>
      <c r="T194" s="276"/>
      <c r="U194" s="276"/>
      <c r="V194" s="276"/>
      <c r="W194" s="276"/>
      <c r="X194" s="276"/>
      <c r="Y194" s="354"/>
      <c r="Z194" s="276"/>
      <c r="AA194" s="276"/>
      <c r="AB194" s="276"/>
      <c r="AC194" s="276"/>
      <c r="AD194" s="276"/>
      <c r="AE194" s="276"/>
      <c r="AF194" s="276"/>
      <c r="AG194" s="276"/>
      <c r="AH194" s="276"/>
      <c r="AI194" s="276"/>
      <c r="AJ194" s="276"/>
      <c r="AK194" s="276"/>
      <c r="AL194" s="276"/>
    </row>
    <row r="195" spans="1:38" ht="15.75" customHeight="1" x14ac:dyDescent="0.25">
      <c r="A195" s="533"/>
      <c r="B195" s="276"/>
      <c r="C195" s="276"/>
      <c r="D195" s="276"/>
      <c r="E195" s="276"/>
      <c r="F195" s="276"/>
      <c r="G195" s="353"/>
      <c r="H195" s="276"/>
      <c r="I195" s="353"/>
      <c r="J195" s="276"/>
      <c r="K195" s="276"/>
      <c r="L195" s="276"/>
      <c r="M195" s="276"/>
      <c r="N195" s="276"/>
      <c r="O195" s="276"/>
      <c r="P195" s="276"/>
      <c r="Q195" s="276"/>
      <c r="R195" s="276"/>
      <c r="S195" s="276"/>
      <c r="T195" s="276"/>
      <c r="U195" s="276"/>
      <c r="V195" s="276"/>
      <c r="W195" s="276"/>
      <c r="X195" s="276"/>
      <c r="Y195" s="354"/>
      <c r="Z195" s="276"/>
      <c r="AA195" s="276"/>
      <c r="AB195" s="276"/>
      <c r="AC195" s="276"/>
      <c r="AD195" s="276"/>
      <c r="AE195" s="276"/>
      <c r="AF195" s="276"/>
      <c r="AG195" s="276"/>
      <c r="AH195" s="276"/>
      <c r="AI195" s="276"/>
      <c r="AJ195" s="276"/>
      <c r="AK195" s="276"/>
      <c r="AL195" s="276"/>
    </row>
    <row r="196" spans="1:38" ht="15.75" customHeight="1" x14ac:dyDescent="0.25">
      <c r="A196" s="533"/>
      <c r="B196" s="276"/>
      <c r="C196" s="276"/>
      <c r="D196" s="276"/>
      <c r="E196" s="276"/>
      <c r="F196" s="276"/>
      <c r="G196" s="353"/>
      <c r="H196" s="276"/>
      <c r="I196" s="353"/>
      <c r="J196" s="276"/>
      <c r="K196" s="276"/>
      <c r="L196" s="276"/>
      <c r="M196" s="276"/>
      <c r="N196" s="276"/>
      <c r="O196" s="276"/>
      <c r="P196" s="276"/>
      <c r="Q196" s="276"/>
      <c r="R196" s="276"/>
      <c r="S196" s="276"/>
      <c r="T196" s="276"/>
      <c r="U196" s="276"/>
      <c r="V196" s="276"/>
      <c r="W196" s="276"/>
      <c r="X196" s="276"/>
      <c r="Y196" s="354"/>
      <c r="Z196" s="276"/>
      <c r="AA196" s="276"/>
      <c r="AB196" s="276"/>
      <c r="AC196" s="276"/>
      <c r="AD196" s="276"/>
      <c r="AE196" s="276"/>
      <c r="AF196" s="276"/>
      <c r="AG196" s="276"/>
      <c r="AH196" s="276"/>
      <c r="AI196" s="276"/>
      <c r="AJ196" s="276"/>
      <c r="AK196" s="276"/>
      <c r="AL196" s="276"/>
    </row>
    <row r="197" spans="1:38" ht="15.75" customHeight="1" x14ac:dyDescent="0.25">
      <c r="A197" s="533"/>
      <c r="B197" s="276"/>
      <c r="C197" s="276"/>
      <c r="D197" s="276"/>
      <c r="E197" s="276"/>
      <c r="F197" s="276"/>
      <c r="G197" s="353"/>
      <c r="H197" s="276"/>
      <c r="I197" s="353"/>
      <c r="J197" s="276"/>
      <c r="K197" s="276"/>
      <c r="L197" s="276"/>
      <c r="M197" s="276"/>
      <c r="N197" s="276"/>
      <c r="O197" s="276"/>
      <c r="P197" s="276"/>
      <c r="Q197" s="276"/>
      <c r="R197" s="276"/>
      <c r="S197" s="276"/>
      <c r="T197" s="276"/>
      <c r="U197" s="276"/>
      <c r="V197" s="276"/>
      <c r="W197" s="276"/>
      <c r="X197" s="276"/>
      <c r="Y197" s="354"/>
      <c r="Z197" s="276"/>
      <c r="AA197" s="276"/>
      <c r="AB197" s="276"/>
      <c r="AC197" s="276"/>
      <c r="AD197" s="276"/>
      <c r="AE197" s="276"/>
      <c r="AF197" s="276"/>
      <c r="AG197" s="276"/>
      <c r="AH197" s="276"/>
      <c r="AI197" s="276"/>
      <c r="AJ197" s="276"/>
      <c r="AK197" s="276"/>
      <c r="AL197" s="276"/>
    </row>
    <row r="198" spans="1:38" ht="15.75" customHeight="1" x14ac:dyDescent="0.25">
      <c r="A198" s="533"/>
      <c r="B198" s="276"/>
      <c r="C198" s="276"/>
      <c r="D198" s="276"/>
      <c r="E198" s="276"/>
      <c r="F198" s="276"/>
      <c r="G198" s="353"/>
      <c r="H198" s="276"/>
      <c r="I198" s="353"/>
      <c r="J198" s="276"/>
      <c r="K198" s="276"/>
      <c r="L198" s="276"/>
      <c r="M198" s="276"/>
      <c r="N198" s="276"/>
      <c r="O198" s="276"/>
      <c r="P198" s="276"/>
      <c r="Q198" s="276"/>
      <c r="R198" s="276"/>
      <c r="S198" s="276"/>
      <c r="T198" s="276"/>
      <c r="U198" s="276"/>
      <c r="V198" s="276"/>
      <c r="W198" s="276"/>
      <c r="X198" s="276"/>
      <c r="Y198" s="354"/>
      <c r="Z198" s="276"/>
      <c r="AA198" s="276"/>
      <c r="AB198" s="276"/>
      <c r="AC198" s="276"/>
      <c r="AD198" s="276"/>
      <c r="AE198" s="276"/>
      <c r="AF198" s="276"/>
      <c r="AG198" s="276"/>
      <c r="AH198" s="276"/>
      <c r="AI198" s="276"/>
      <c r="AJ198" s="276"/>
      <c r="AK198" s="276"/>
      <c r="AL198" s="276"/>
    </row>
    <row r="199" spans="1:38" ht="15.75" customHeight="1" x14ac:dyDescent="0.25">
      <c r="A199" s="533"/>
      <c r="B199" s="276"/>
      <c r="C199" s="276"/>
      <c r="D199" s="276"/>
      <c r="E199" s="276"/>
      <c r="F199" s="276"/>
      <c r="G199" s="353"/>
      <c r="H199" s="276"/>
      <c r="I199" s="353"/>
      <c r="J199" s="276"/>
      <c r="K199" s="276"/>
      <c r="L199" s="276"/>
      <c r="M199" s="276"/>
      <c r="N199" s="276"/>
      <c r="O199" s="276"/>
      <c r="P199" s="276"/>
      <c r="Q199" s="276"/>
      <c r="R199" s="276"/>
      <c r="S199" s="276"/>
      <c r="T199" s="276"/>
      <c r="U199" s="276"/>
      <c r="V199" s="276"/>
      <c r="W199" s="276"/>
      <c r="X199" s="276"/>
      <c r="Y199" s="354"/>
      <c r="Z199" s="276"/>
      <c r="AA199" s="276"/>
      <c r="AB199" s="276"/>
      <c r="AC199" s="276"/>
      <c r="AD199" s="276"/>
      <c r="AE199" s="276"/>
      <c r="AF199" s="276"/>
      <c r="AG199" s="276"/>
      <c r="AH199" s="276"/>
      <c r="AI199" s="276"/>
      <c r="AJ199" s="276"/>
      <c r="AK199" s="276"/>
      <c r="AL199" s="276"/>
    </row>
    <row r="200" spans="1:38" ht="15.75" customHeight="1" x14ac:dyDescent="0.25">
      <c r="A200" s="533"/>
      <c r="B200" s="276"/>
      <c r="C200" s="276"/>
      <c r="D200" s="276"/>
      <c r="E200" s="276"/>
      <c r="F200" s="276"/>
      <c r="G200" s="353"/>
      <c r="H200" s="276"/>
      <c r="I200" s="353"/>
      <c r="J200" s="276"/>
      <c r="K200" s="276"/>
      <c r="L200" s="276"/>
      <c r="M200" s="276"/>
      <c r="N200" s="276"/>
      <c r="O200" s="276"/>
      <c r="P200" s="276"/>
      <c r="Q200" s="276"/>
      <c r="R200" s="276"/>
      <c r="S200" s="276"/>
      <c r="T200" s="276"/>
      <c r="U200" s="276"/>
      <c r="V200" s="276"/>
      <c r="W200" s="276"/>
      <c r="X200" s="276"/>
      <c r="Y200" s="354"/>
      <c r="Z200" s="276"/>
      <c r="AA200" s="276"/>
      <c r="AB200" s="276"/>
      <c r="AC200" s="276"/>
      <c r="AD200" s="276"/>
      <c r="AE200" s="276"/>
      <c r="AF200" s="276"/>
      <c r="AG200" s="276"/>
      <c r="AH200" s="276"/>
      <c r="AI200" s="276"/>
      <c r="AJ200" s="276"/>
      <c r="AK200" s="276"/>
      <c r="AL200" s="276"/>
    </row>
    <row r="201" spans="1:38" ht="15.75" customHeight="1" x14ac:dyDescent="0.25">
      <c r="A201" s="533"/>
      <c r="B201" s="276"/>
      <c r="C201" s="276"/>
      <c r="D201" s="276"/>
      <c r="E201" s="276"/>
      <c r="F201" s="276"/>
      <c r="G201" s="353"/>
      <c r="H201" s="276"/>
      <c r="I201" s="353"/>
      <c r="J201" s="276"/>
      <c r="K201" s="276"/>
      <c r="L201" s="276"/>
      <c r="M201" s="276"/>
      <c r="N201" s="276"/>
      <c r="O201" s="276"/>
      <c r="P201" s="276"/>
      <c r="Q201" s="276"/>
      <c r="R201" s="276"/>
      <c r="S201" s="276"/>
      <c r="T201" s="276"/>
      <c r="U201" s="276"/>
      <c r="V201" s="276"/>
      <c r="W201" s="276"/>
      <c r="X201" s="276"/>
      <c r="Y201" s="354"/>
      <c r="Z201" s="276"/>
      <c r="AA201" s="276"/>
      <c r="AB201" s="276"/>
      <c r="AC201" s="276"/>
      <c r="AD201" s="276"/>
      <c r="AE201" s="276"/>
      <c r="AF201" s="276"/>
      <c r="AG201" s="276"/>
      <c r="AH201" s="276"/>
      <c r="AI201" s="276"/>
      <c r="AJ201" s="276"/>
      <c r="AK201" s="276"/>
      <c r="AL201" s="276"/>
    </row>
    <row r="202" spans="1:38" ht="15.75" customHeight="1" x14ac:dyDescent="0.25">
      <c r="A202" s="533"/>
      <c r="B202" s="276"/>
      <c r="C202" s="276"/>
      <c r="D202" s="276"/>
      <c r="E202" s="276"/>
      <c r="F202" s="276"/>
      <c r="G202" s="353"/>
      <c r="H202" s="276"/>
      <c r="I202" s="353"/>
      <c r="J202" s="276"/>
      <c r="K202" s="276"/>
      <c r="L202" s="276"/>
      <c r="M202" s="276"/>
      <c r="N202" s="276"/>
      <c r="O202" s="276"/>
      <c r="P202" s="276"/>
      <c r="Q202" s="276"/>
      <c r="R202" s="276"/>
      <c r="S202" s="276"/>
      <c r="T202" s="276"/>
      <c r="U202" s="276"/>
      <c r="V202" s="276"/>
      <c r="W202" s="276"/>
      <c r="X202" s="276"/>
      <c r="Y202" s="354"/>
      <c r="Z202" s="276"/>
      <c r="AA202" s="276"/>
      <c r="AB202" s="276"/>
      <c r="AC202" s="276"/>
      <c r="AD202" s="276"/>
      <c r="AE202" s="276"/>
      <c r="AF202" s="276"/>
      <c r="AG202" s="276"/>
      <c r="AH202" s="276"/>
      <c r="AI202" s="276"/>
      <c r="AJ202" s="276"/>
      <c r="AK202" s="276"/>
      <c r="AL202" s="276"/>
    </row>
    <row r="203" spans="1:38" ht="15.75" customHeight="1" x14ac:dyDescent="0.25">
      <c r="A203" s="533"/>
      <c r="B203" s="276"/>
      <c r="C203" s="276"/>
      <c r="D203" s="276"/>
      <c r="E203" s="276"/>
      <c r="F203" s="276"/>
      <c r="G203" s="353"/>
      <c r="H203" s="276"/>
      <c r="I203" s="353"/>
      <c r="J203" s="276"/>
      <c r="K203" s="276"/>
      <c r="L203" s="276"/>
      <c r="M203" s="276"/>
      <c r="N203" s="276"/>
      <c r="O203" s="276"/>
      <c r="P203" s="276"/>
      <c r="Q203" s="276"/>
      <c r="R203" s="276"/>
      <c r="S203" s="276"/>
      <c r="T203" s="276"/>
      <c r="U203" s="276"/>
      <c r="V203" s="276"/>
      <c r="W203" s="276"/>
      <c r="X203" s="276"/>
      <c r="Y203" s="354"/>
      <c r="Z203" s="276"/>
      <c r="AA203" s="276"/>
      <c r="AB203" s="276"/>
      <c r="AC203" s="276"/>
      <c r="AD203" s="276"/>
      <c r="AE203" s="276"/>
      <c r="AF203" s="276"/>
      <c r="AG203" s="276"/>
      <c r="AH203" s="276"/>
      <c r="AI203" s="276"/>
      <c r="AJ203" s="276"/>
      <c r="AK203" s="276"/>
      <c r="AL203" s="276"/>
    </row>
    <row r="204" spans="1:38" ht="15.75" customHeight="1" x14ac:dyDescent="0.25">
      <c r="A204" s="533"/>
      <c r="B204" s="276"/>
      <c r="C204" s="276"/>
      <c r="D204" s="276"/>
      <c r="E204" s="276"/>
      <c r="F204" s="276"/>
      <c r="G204" s="353"/>
      <c r="H204" s="276"/>
      <c r="I204" s="353"/>
      <c r="J204" s="276"/>
      <c r="K204" s="276"/>
      <c r="L204" s="276"/>
      <c r="M204" s="276"/>
      <c r="N204" s="276"/>
      <c r="O204" s="276"/>
      <c r="P204" s="276"/>
      <c r="Q204" s="276"/>
      <c r="R204" s="276"/>
      <c r="S204" s="276"/>
      <c r="T204" s="276"/>
      <c r="U204" s="276"/>
      <c r="V204" s="276"/>
      <c r="W204" s="276"/>
      <c r="X204" s="276"/>
      <c r="Y204" s="354"/>
      <c r="Z204" s="276"/>
      <c r="AA204" s="276"/>
      <c r="AB204" s="276"/>
      <c r="AC204" s="276"/>
      <c r="AD204" s="276"/>
      <c r="AE204" s="276"/>
      <c r="AF204" s="276"/>
      <c r="AG204" s="276"/>
      <c r="AH204" s="276"/>
      <c r="AI204" s="276"/>
      <c r="AJ204" s="276"/>
      <c r="AK204" s="276"/>
      <c r="AL204" s="276"/>
    </row>
    <row r="205" spans="1:38" ht="15.75" customHeight="1" x14ac:dyDescent="0.25">
      <c r="A205" s="533"/>
      <c r="B205" s="276"/>
      <c r="C205" s="276"/>
      <c r="D205" s="276"/>
      <c r="E205" s="276"/>
      <c r="F205" s="276"/>
      <c r="G205" s="353"/>
      <c r="H205" s="276"/>
      <c r="I205" s="353"/>
      <c r="J205" s="276"/>
      <c r="K205" s="276"/>
      <c r="L205" s="276"/>
      <c r="M205" s="276"/>
      <c r="N205" s="276"/>
      <c r="O205" s="276"/>
      <c r="P205" s="276"/>
      <c r="Q205" s="276"/>
      <c r="R205" s="276"/>
      <c r="S205" s="276"/>
      <c r="T205" s="276"/>
      <c r="U205" s="276"/>
      <c r="V205" s="276"/>
      <c r="W205" s="276"/>
      <c r="X205" s="276"/>
      <c r="Y205" s="354"/>
      <c r="Z205" s="276"/>
      <c r="AA205" s="276"/>
      <c r="AB205" s="276"/>
      <c r="AC205" s="276"/>
      <c r="AD205" s="276"/>
      <c r="AE205" s="276"/>
      <c r="AF205" s="276"/>
      <c r="AG205" s="276"/>
      <c r="AH205" s="276"/>
      <c r="AI205" s="276"/>
      <c r="AJ205" s="276"/>
      <c r="AK205" s="276"/>
      <c r="AL205" s="276"/>
    </row>
    <row r="206" spans="1:38" ht="15.75" customHeight="1" x14ac:dyDescent="0.25">
      <c r="A206" s="533"/>
      <c r="B206" s="276"/>
      <c r="C206" s="276"/>
      <c r="D206" s="276"/>
      <c r="E206" s="276"/>
      <c r="F206" s="276"/>
      <c r="G206" s="353"/>
      <c r="H206" s="276"/>
      <c r="I206" s="353"/>
      <c r="J206" s="276"/>
      <c r="K206" s="276"/>
      <c r="L206" s="276"/>
      <c r="M206" s="276"/>
      <c r="N206" s="276"/>
      <c r="O206" s="276"/>
      <c r="P206" s="276"/>
      <c r="Q206" s="276"/>
      <c r="R206" s="276"/>
      <c r="S206" s="276"/>
      <c r="T206" s="276"/>
      <c r="U206" s="276"/>
      <c r="V206" s="276"/>
      <c r="W206" s="276"/>
      <c r="X206" s="276"/>
      <c r="Y206" s="354"/>
      <c r="Z206" s="276"/>
      <c r="AA206" s="276"/>
      <c r="AB206" s="276"/>
      <c r="AC206" s="276"/>
      <c r="AD206" s="276"/>
      <c r="AE206" s="276"/>
      <c r="AF206" s="276"/>
      <c r="AG206" s="276"/>
      <c r="AH206" s="276"/>
      <c r="AI206" s="276"/>
      <c r="AJ206" s="276"/>
      <c r="AK206" s="276"/>
      <c r="AL206" s="276"/>
    </row>
    <row r="207" spans="1:38" ht="15.75" customHeight="1" x14ac:dyDescent="0.25">
      <c r="A207" s="533"/>
      <c r="B207" s="276"/>
      <c r="C207" s="276"/>
      <c r="D207" s="276"/>
      <c r="E207" s="276"/>
      <c r="F207" s="276"/>
      <c r="G207" s="353"/>
      <c r="H207" s="276"/>
      <c r="I207" s="353"/>
      <c r="J207" s="276"/>
      <c r="K207" s="276"/>
      <c r="L207" s="276"/>
      <c r="M207" s="276"/>
      <c r="N207" s="276"/>
      <c r="O207" s="276"/>
      <c r="P207" s="276"/>
      <c r="Q207" s="276"/>
      <c r="R207" s="276"/>
      <c r="S207" s="276"/>
      <c r="T207" s="276"/>
      <c r="U207" s="276"/>
      <c r="V207" s="276"/>
      <c r="W207" s="276"/>
      <c r="X207" s="276"/>
      <c r="Y207" s="354"/>
      <c r="Z207" s="276"/>
      <c r="AA207" s="276"/>
      <c r="AB207" s="276"/>
      <c r="AC207" s="276"/>
      <c r="AD207" s="276"/>
      <c r="AE207" s="276"/>
      <c r="AF207" s="276"/>
      <c r="AG207" s="276"/>
      <c r="AH207" s="276"/>
      <c r="AI207" s="276"/>
      <c r="AJ207" s="276"/>
      <c r="AK207" s="276"/>
      <c r="AL207" s="276"/>
    </row>
    <row r="208" spans="1:38" ht="15.75" customHeight="1" x14ac:dyDescent="0.25">
      <c r="A208" s="533"/>
      <c r="B208" s="276"/>
      <c r="C208" s="276"/>
      <c r="D208" s="276"/>
      <c r="E208" s="276"/>
      <c r="F208" s="276"/>
      <c r="G208" s="353"/>
      <c r="H208" s="276"/>
      <c r="I208" s="353"/>
      <c r="J208" s="276"/>
      <c r="K208" s="276"/>
      <c r="L208" s="276"/>
      <c r="M208" s="276"/>
      <c r="N208" s="276"/>
      <c r="O208" s="276"/>
      <c r="P208" s="276"/>
      <c r="Q208" s="276"/>
      <c r="R208" s="276"/>
      <c r="S208" s="276"/>
      <c r="T208" s="276"/>
      <c r="U208" s="276"/>
      <c r="V208" s="276"/>
      <c r="W208" s="276"/>
      <c r="X208" s="276"/>
      <c r="Y208" s="354"/>
      <c r="Z208" s="276"/>
      <c r="AA208" s="276"/>
      <c r="AB208" s="276"/>
      <c r="AC208" s="276"/>
      <c r="AD208" s="276"/>
      <c r="AE208" s="276"/>
      <c r="AF208" s="276"/>
      <c r="AG208" s="276"/>
      <c r="AH208" s="276"/>
      <c r="AI208" s="276"/>
      <c r="AJ208" s="276"/>
      <c r="AK208" s="276"/>
      <c r="AL208" s="276"/>
    </row>
    <row r="209" spans="1:38" ht="15.75" customHeight="1" x14ac:dyDescent="0.25">
      <c r="A209" s="533"/>
      <c r="B209" s="276"/>
      <c r="C209" s="276"/>
      <c r="D209" s="276"/>
      <c r="E209" s="276"/>
      <c r="F209" s="276"/>
      <c r="G209" s="353"/>
      <c r="H209" s="276"/>
      <c r="I209" s="353"/>
      <c r="J209" s="276"/>
      <c r="K209" s="276"/>
      <c r="L209" s="276"/>
      <c r="M209" s="276"/>
      <c r="N209" s="276"/>
      <c r="O209" s="276"/>
      <c r="P209" s="276"/>
      <c r="Q209" s="276"/>
      <c r="R209" s="276"/>
      <c r="S209" s="276"/>
      <c r="T209" s="276"/>
      <c r="U209" s="276"/>
      <c r="V209" s="276"/>
      <c r="W209" s="276"/>
      <c r="X209" s="276"/>
      <c r="Y209" s="354"/>
      <c r="Z209" s="276"/>
      <c r="AA209" s="276"/>
      <c r="AB209" s="276"/>
      <c r="AC209" s="276"/>
      <c r="AD209" s="276"/>
      <c r="AE209" s="276"/>
      <c r="AF209" s="276"/>
      <c r="AG209" s="276"/>
      <c r="AH209" s="276"/>
      <c r="AI209" s="276"/>
      <c r="AJ209" s="276"/>
      <c r="AK209" s="276"/>
      <c r="AL209" s="276"/>
    </row>
    <row r="210" spans="1:38" ht="15.75" customHeight="1" x14ac:dyDescent="0.25">
      <c r="A210" s="533"/>
      <c r="B210" s="276"/>
      <c r="C210" s="276"/>
      <c r="D210" s="276"/>
      <c r="E210" s="276"/>
      <c r="F210" s="276"/>
      <c r="G210" s="353"/>
      <c r="H210" s="276"/>
      <c r="I210" s="353"/>
      <c r="J210" s="276"/>
      <c r="K210" s="276"/>
      <c r="L210" s="276"/>
      <c r="M210" s="276"/>
      <c r="N210" s="276"/>
      <c r="O210" s="276"/>
      <c r="P210" s="276"/>
      <c r="Q210" s="276"/>
      <c r="R210" s="276"/>
      <c r="S210" s="276"/>
      <c r="T210" s="276"/>
      <c r="U210" s="276"/>
      <c r="V210" s="276"/>
      <c r="W210" s="276"/>
      <c r="X210" s="276"/>
      <c r="Y210" s="354"/>
      <c r="Z210" s="276"/>
      <c r="AA210" s="276"/>
      <c r="AB210" s="276"/>
      <c r="AC210" s="276"/>
      <c r="AD210" s="276"/>
      <c r="AE210" s="276"/>
      <c r="AF210" s="276"/>
      <c r="AG210" s="276"/>
      <c r="AH210" s="276"/>
      <c r="AI210" s="276"/>
      <c r="AJ210" s="276"/>
      <c r="AK210" s="276"/>
      <c r="AL210" s="276"/>
    </row>
    <row r="211" spans="1:38" ht="15.75" customHeight="1" x14ac:dyDescent="0.25">
      <c r="A211" s="533"/>
      <c r="B211" s="276"/>
      <c r="C211" s="276"/>
      <c r="D211" s="276"/>
      <c r="E211" s="276"/>
      <c r="F211" s="276"/>
      <c r="G211" s="353"/>
      <c r="H211" s="276"/>
      <c r="I211" s="353"/>
      <c r="J211" s="276"/>
      <c r="K211" s="276"/>
      <c r="L211" s="276"/>
      <c r="M211" s="276"/>
      <c r="N211" s="276"/>
      <c r="O211" s="276"/>
      <c r="P211" s="276"/>
      <c r="Q211" s="276"/>
      <c r="R211" s="276"/>
      <c r="S211" s="276"/>
      <c r="T211" s="276"/>
      <c r="U211" s="276"/>
      <c r="V211" s="276"/>
      <c r="W211" s="276"/>
      <c r="X211" s="276"/>
      <c r="Y211" s="354"/>
      <c r="Z211" s="276"/>
      <c r="AA211" s="276"/>
      <c r="AB211" s="276"/>
      <c r="AC211" s="276"/>
      <c r="AD211" s="276"/>
      <c r="AE211" s="276"/>
      <c r="AF211" s="276"/>
      <c r="AG211" s="276"/>
      <c r="AH211" s="276"/>
      <c r="AI211" s="276"/>
      <c r="AJ211" s="276"/>
      <c r="AK211" s="276"/>
      <c r="AL211" s="276"/>
    </row>
    <row r="212" spans="1:38" ht="15.75" customHeight="1" x14ac:dyDescent="0.25">
      <c r="A212" s="533"/>
      <c r="B212" s="276"/>
      <c r="C212" s="276"/>
      <c r="D212" s="276"/>
      <c r="E212" s="276"/>
      <c r="F212" s="276"/>
      <c r="G212" s="353"/>
      <c r="H212" s="276"/>
      <c r="I212" s="353"/>
      <c r="J212" s="276"/>
      <c r="K212" s="276"/>
      <c r="L212" s="276"/>
      <c r="M212" s="276"/>
      <c r="N212" s="276"/>
      <c r="O212" s="276"/>
      <c r="P212" s="276"/>
      <c r="Q212" s="276"/>
      <c r="R212" s="276"/>
      <c r="S212" s="276"/>
      <c r="T212" s="276"/>
      <c r="U212" s="276"/>
      <c r="V212" s="276"/>
      <c r="W212" s="276"/>
      <c r="X212" s="276"/>
      <c r="Y212" s="354"/>
      <c r="Z212" s="276"/>
      <c r="AA212" s="276"/>
      <c r="AB212" s="276"/>
      <c r="AC212" s="276"/>
      <c r="AD212" s="276"/>
      <c r="AE212" s="276"/>
      <c r="AF212" s="276"/>
      <c r="AG212" s="276"/>
      <c r="AH212" s="276"/>
      <c r="AI212" s="276"/>
      <c r="AJ212" s="276"/>
      <c r="AK212" s="276"/>
      <c r="AL212" s="276"/>
    </row>
    <row r="213" spans="1:38" ht="15.75" customHeight="1" x14ac:dyDescent="0.25">
      <c r="A213" s="533"/>
      <c r="B213" s="276"/>
      <c r="C213" s="276"/>
      <c r="D213" s="276"/>
      <c r="E213" s="276"/>
      <c r="F213" s="276"/>
      <c r="G213" s="353"/>
      <c r="H213" s="276"/>
      <c r="I213" s="353"/>
      <c r="J213" s="276"/>
      <c r="K213" s="276"/>
      <c r="L213" s="276"/>
      <c r="M213" s="276"/>
      <c r="N213" s="276"/>
      <c r="O213" s="276"/>
      <c r="P213" s="276"/>
      <c r="Q213" s="276"/>
      <c r="R213" s="276"/>
      <c r="S213" s="276"/>
      <c r="T213" s="276"/>
      <c r="U213" s="276"/>
      <c r="V213" s="276"/>
      <c r="W213" s="276"/>
      <c r="X213" s="276"/>
      <c r="Y213" s="354"/>
      <c r="Z213" s="276"/>
      <c r="AA213" s="276"/>
      <c r="AB213" s="276"/>
      <c r="AC213" s="276"/>
      <c r="AD213" s="276"/>
      <c r="AE213" s="276"/>
      <c r="AF213" s="276"/>
      <c r="AG213" s="276"/>
      <c r="AH213" s="276"/>
      <c r="AI213" s="276"/>
      <c r="AJ213" s="276"/>
      <c r="AK213" s="276"/>
      <c r="AL213" s="276"/>
    </row>
    <row r="214" spans="1:38" ht="15.75" customHeight="1" x14ac:dyDescent="0.25">
      <c r="A214" s="533"/>
      <c r="B214" s="276"/>
      <c r="C214" s="276"/>
      <c r="D214" s="276"/>
      <c r="E214" s="276"/>
      <c r="F214" s="276"/>
      <c r="G214" s="353"/>
      <c r="H214" s="276"/>
      <c r="I214" s="353"/>
      <c r="J214" s="276"/>
      <c r="K214" s="276"/>
      <c r="L214" s="276"/>
      <c r="M214" s="276"/>
      <c r="N214" s="276"/>
      <c r="O214" s="276"/>
      <c r="P214" s="276"/>
      <c r="Q214" s="276"/>
      <c r="R214" s="276"/>
      <c r="S214" s="276"/>
      <c r="T214" s="276"/>
      <c r="U214" s="276"/>
      <c r="V214" s="276"/>
      <c r="W214" s="276"/>
      <c r="X214" s="276"/>
      <c r="Y214" s="354"/>
      <c r="Z214" s="276"/>
      <c r="AA214" s="276"/>
      <c r="AB214" s="276"/>
      <c r="AC214" s="276"/>
      <c r="AD214" s="276"/>
      <c r="AE214" s="276"/>
      <c r="AF214" s="276"/>
      <c r="AG214" s="276"/>
      <c r="AH214" s="276"/>
      <c r="AI214" s="276"/>
      <c r="AJ214" s="276"/>
      <c r="AK214" s="276"/>
      <c r="AL214" s="276"/>
    </row>
    <row r="215" spans="1:38" ht="15.75" customHeight="1" x14ac:dyDescent="0.25">
      <c r="A215" s="533"/>
      <c r="B215" s="276"/>
      <c r="C215" s="276"/>
      <c r="D215" s="276"/>
      <c r="E215" s="276"/>
      <c r="F215" s="276"/>
      <c r="G215" s="353"/>
      <c r="H215" s="276"/>
      <c r="I215" s="353"/>
      <c r="J215" s="276"/>
      <c r="K215" s="276"/>
      <c r="L215" s="276"/>
      <c r="M215" s="276"/>
      <c r="N215" s="276"/>
      <c r="O215" s="276"/>
      <c r="P215" s="276"/>
      <c r="Q215" s="276"/>
      <c r="R215" s="276"/>
      <c r="S215" s="276"/>
      <c r="T215" s="276"/>
      <c r="U215" s="276"/>
      <c r="V215" s="276"/>
      <c r="W215" s="276"/>
      <c r="X215" s="276"/>
      <c r="Y215" s="354"/>
      <c r="Z215" s="276"/>
      <c r="AA215" s="276"/>
      <c r="AB215" s="276"/>
      <c r="AC215" s="276"/>
      <c r="AD215" s="276"/>
      <c r="AE215" s="276"/>
      <c r="AF215" s="276"/>
      <c r="AG215" s="276"/>
      <c r="AH215" s="276"/>
      <c r="AI215" s="276"/>
      <c r="AJ215" s="276"/>
      <c r="AK215" s="276"/>
      <c r="AL215" s="276"/>
    </row>
    <row r="216" spans="1:38" ht="15.75" customHeight="1" x14ac:dyDescent="0.25">
      <c r="A216" s="533"/>
      <c r="B216" s="276"/>
      <c r="C216" s="276"/>
      <c r="D216" s="276"/>
      <c r="E216" s="276"/>
      <c r="F216" s="276"/>
      <c r="G216" s="353"/>
      <c r="H216" s="276"/>
      <c r="I216" s="353"/>
      <c r="J216" s="276"/>
      <c r="K216" s="276"/>
      <c r="L216" s="276"/>
      <c r="M216" s="276"/>
      <c r="N216" s="276"/>
      <c r="O216" s="276"/>
      <c r="P216" s="276"/>
      <c r="Q216" s="276"/>
      <c r="R216" s="276"/>
      <c r="S216" s="276"/>
      <c r="T216" s="276"/>
      <c r="U216" s="276"/>
      <c r="V216" s="276"/>
      <c r="W216" s="276"/>
      <c r="X216" s="276"/>
      <c r="Y216" s="354"/>
      <c r="Z216" s="276"/>
      <c r="AA216" s="276"/>
      <c r="AB216" s="276"/>
      <c r="AC216" s="276"/>
      <c r="AD216" s="276"/>
      <c r="AE216" s="276"/>
      <c r="AF216" s="276"/>
      <c r="AG216" s="276"/>
      <c r="AH216" s="276"/>
      <c r="AI216" s="276"/>
      <c r="AJ216" s="276"/>
      <c r="AK216" s="276"/>
      <c r="AL216" s="276"/>
    </row>
    <row r="217" spans="1:38" ht="15.75" customHeight="1" x14ac:dyDescent="0.25">
      <c r="A217" s="533"/>
      <c r="B217" s="276"/>
      <c r="C217" s="276"/>
      <c r="D217" s="276"/>
      <c r="E217" s="276"/>
      <c r="F217" s="276"/>
      <c r="G217" s="353"/>
      <c r="H217" s="276"/>
      <c r="I217" s="353"/>
      <c r="J217" s="276"/>
      <c r="K217" s="276"/>
      <c r="L217" s="276"/>
      <c r="M217" s="276"/>
      <c r="N217" s="276"/>
      <c r="O217" s="276"/>
      <c r="P217" s="276"/>
      <c r="Q217" s="276"/>
      <c r="R217" s="276"/>
      <c r="S217" s="276"/>
      <c r="T217" s="276"/>
      <c r="U217" s="276"/>
      <c r="V217" s="276"/>
      <c r="W217" s="276"/>
      <c r="X217" s="276"/>
      <c r="Y217" s="354"/>
      <c r="Z217" s="276"/>
      <c r="AA217" s="276"/>
      <c r="AB217" s="276"/>
      <c r="AC217" s="276"/>
      <c r="AD217" s="276"/>
      <c r="AE217" s="276"/>
      <c r="AF217" s="276"/>
      <c r="AG217" s="276"/>
      <c r="AH217" s="276"/>
      <c r="AI217" s="276"/>
      <c r="AJ217" s="276"/>
      <c r="AK217" s="276"/>
      <c r="AL217" s="276"/>
    </row>
    <row r="218" spans="1:38" ht="15.75" customHeight="1" x14ac:dyDescent="0.25">
      <c r="A218" s="533"/>
      <c r="B218" s="276"/>
      <c r="C218" s="276"/>
      <c r="D218" s="276"/>
      <c r="E218" s="276"/>
      <c r="F218" s="276"/>
      <c r="G218" s="353"/>
      <c r="H218" s="276"/>
      <c r="I218" s="353"/>
      <c r="J218" s="276"/>
      <c r="K218" s="276"/>
      <c r="L218" s="276"/>
      <c r="M218" s="276"/>
      <c r="N218" s="276"/>
      <c r="O218" s="276"/>
      <c r="P218" s="276"/>
      <c r="Q218" s="276"/>
      <c r="R218" s="276"/>
      <c r="S218" s="276"/>
      <c r="T218" s="276"/>
      <c r="U218" s="276"/>
      <c r="V218" s="276"/>
      <c r="W218" s="276"/>
      <c r="X218" s="276"/>
      <c r="Y218" s="354"/>
      <c r="Z218" s="276"/>
      <c r="AA218" s="276"/>
      <c r="AB218" s="276"/>
      <c r="AC218" s="276"/>
      <c r="AD218" s="276"/>
      <c r="AE218" s="276"/>
      <c r="AF218" s="276"/>
      <c r="AG218" s="276"/>
      <c r="AH218" s="276"/>
      <c r="AI218" s="276"/>
      <c r="AJ218" s="276"/>
      <c r="AK218" s="276"/>
      <c r="AL218" s="276"/>
    </row>
    <row r="219" spans="1:38" ht="15.75" customHeight="1" x14ac:dyDescent="0.25">
      <c r="A219" s="533"/>
      <c r="B219" s="276"/>
      <c r="C219" s="276"/>
      <c r="D219" s="276"/>
      <c r="E219" s="276"/>
      <c r="F219" s="276"/>
      <c r="G219" s="353"/>
      <c r="H219" s="276"/>
      <c r="I219" s="353"/>
      <c r="J219" s="276"/>
      <c r="K219" s="276"/>
      <c r="L219" s="276"/>
      <c r="M219" s="276"/>
      <c r="N219" s="276"/>
      <c r="O219" s="276"/>
      <c r="P219" s="276"/>
      <c r="Q219" s="276"/>
      <c r="R219" s="276"/>
      <c r="S219" s="276"/>
      <c r="T219" s="276"/>
      <c r="U219" s="276"/>
      <c r="V219" s="276"/>
      <c r="W219" s="276"/>
      <c r="X219" s="276"/>
      <c r="Y219" s="354"/>
      <c r="Z219" s="276"/>
      <c r="AA219" s="276"/>
      <c r="AB219" s="276"/>
      <c r="AC219" s="276"/>
      <c r="AD219" s="276"/>
      <c r="AE219" s="276"/>
      <c r="AF219" s="276"/>
      <c r="AG219" s="276"/>
      <c r="AH219" s="276"/>
      <c r="AI219" s="276"/>
      <c r="AJ219" s="276"/>
      <c r="AK219" s="276"/>
      <c r="AL219" s="276"/>
    </row>
    <row r="220" spans="1:38" ht="15.75" customHeight="1" x14ac:dyDescent="0.25">
      <c r="A220" s="533"/>
      <c r="B220" s="276"/>
      <c r="C220" s="276"/>
      <c r="D220" s="276"/>
      <c r="E220" s="276"/>
      <c r="F220" s="276"/>
      <c r="G220" s="353"/>
      <c r="H220" s="276"/>
      <c r="I220" s="353"/>
      <c r="J220" s="276"/>
      <c r="K220" s="276"/>
      <c r="L220" s="276"/>
      <c r="M220" s="276"/>
      <c r="N220" s="276"/>
      <c r="O220" s="276"/>
      <c r="P220" s="276"/>
      <c r="Q220" s="276"/>
      <c r="R220" s="276"/>
      <c r="S220" s="276"/>
      <c r="T220" s="276"/>
      <c r="U220" s="276"/>
      <c r="V220" s="276"/>
      <c r="W220" s="276"/>
      <c r="X220" s="276"/>
      <c r="Y220" s="354"/>
      <c r="Z220" s="276"/>
      <c r="AA220" s="276"/>
      <c r="AB220" s="276"/>
      <c r="AC220" s="276"/>
      <c r="AD220" s="276"/>
      <c r="AE220" s="276"/>
      <c r="AF220" s="276"/>
      <c r="AG220" s="276"/>
      <c r="AH220" s="276"/>
      <c r="AI220" s="276"/>
      <c r="AJ220" s="276"/>
      <c r="AK220" s="276"/>
      <c r="AL220" s="276"/>
    </row>
    <row r="221" spans="1:38" ht="15.75" customHeight="1" x14ac:dyDescent="0.25">
      <c r="A221" s="533"/>
      <c r="B221" s="276"/>
      <c r="C221" s="276"/>
      <c r="D221" s="276"/>
      <c r="E221" s="276"/>
      <c r="F221" s="276"/>
      <c r="G221" s="353"/>
      <c r="H221" s="276"/>
      <c r="I221" s="353"/>
      <c r="J221" s="276"/>
      <c r="K221" s="276"/>
      <c r="L221" s="276"/>
      <c r="M221" s="276"/>
      <c r="N221" s="276"/>
      <c r="O221" s="276"/>
      <c r="P221" s="276"/>
      <c r="Q221" s="276"/>
      <c r="R221" s="276"/>
      <c r="S221" s="276"/>
      <c r="T221" s="276"/>
      <c r="U221" s="276"/>
      <c r="V221" s="276"/>
      <c r="W221" s="276"/>
      <c r="X221" s="276"/>
      <c r="Y221" s="354"/>
      <c r="Z221" s="276"/>
      <c r="AA221" s="276"/>
      <c r="AB221" s="276"/>
      <c r="AC221" s="276"/>
      <c r="AD221" s="276"/>
      <c r="AE221" s="276"/>
      <c r="AF221" s="276"/>
      <c r="AG221" s="276"/>
      <c r="AH221" s="276"/>
      <c r="AI221" s="276"/>
      <c r="AJ221" s="276"/>
      <c r="AK221" s="276"/>
      <c r="AL221" s="276"/>
    </row>
    <row r="222" spans="1:38" ht="15.75" customHeight="1" x14ac:dyDescent="0.25">
      <c r="A222" s="533"/>
      <c r="B222" s="276"/>
      <c r="C222" s="276"/>
      <c r="D222" s="276"/>
      <c r="E222" s="276"/>
      <c r="F222" s="276"/>
      <c r="G222" s="353"/>
      <c r="H222" s="276"/>
      <c r="I222" s="353"/>
      <c r="J222" s="276"/>
      <c r="K222" s="276"/>
      <c r="L222" s="276"/>
      <c r="M222" s="276"/>
      <c r="N222" s="276"/>
      <c r="O222" s="276"/>
      <c r="P222" s="276"/>
      <c r="Q222" s="276"/>
      <c r="R222" s="276"/>
      <c r="S222" s="276"/>
      <c r="T222" s="276"/>
      <c r="U222" s="276"/>
      <c r="V222" s="276"/>
      <c r="W222" s="276"/>
      <c r="X222" s="276"/>
      <c r="Y222" s="354"/>
      <c r="Z222" s="276"/>
      <c r="AA222" s="276"/>
      <c r="AB222" s="276"/>
      <c r="AC222" s="276"/>
      <c r="AD222" s="276"/>
      <c r="AE222" s="276"/>
      <c r="AF222" s="276"/>
      <c r="AG222" s="276"/>
      <c r="AH222" s="276"/>
      <c r="AI222" s="276"/>
      <c r="AJ222" s="276"/>
      <c r="AK222" s="276"/>
      <c r="AL222" s="276"/>
    </row>
    <row r="223" spans="1:38" ht="15.75" customHeight="1" x14ac:dyDescent="0.25">
      <c r="A223" s="533"/>
      <c r="B223" s="276"/>
      <c r="C223" s="276"/>
      <c r="D223" s="276"/>
      <c r="E223" s="276"/>
      <c r="F223" s="276"/>
      <c r="G223" s="353"/>
      <c r="H223" s="276"/>
      <c r="I223" s="353"/>
      <c r="J223" s="276"/>
      <c r="K223" s="276"/>
      <c r="L223" s="276"/>
      <c r="M223" s="276"/>
      <c r="N223" s="276"/>
      <c r="O223" s="276"/>
      <c r="P223" s="276"/>
      <c r="Q223" s="276"/>
      <c r="R223" s="276"/>
      <c r="S223" s="276"/>
      <c r="T223" s="276"/>
      <c r="U223" s="276"/>
      <c r="V223" s="276"/>
      <c r="W223" s="276"/>
      <c r="X223" s="276"/>
      <c r="Y223" s="354"/>
      <c r="Z223" s="276"/>
      <c r="AA223" s="276"/>
      <c r="AB223" s="276"/>
      <c r="AC223" s="276"/>
      <c r="AD223" s="276"/>
      <c r="AE223" s="276"/>
      <c r="AF223" s="276"/>
      <c r="AG223" s="276"/>
      <c r="AH223" s="276"/>
      <c r="AI223" s="276"/>
      <c r="AJ223" s="276"/>
      <c r="AK223" s="276"/>
      <c r="AL223" s="276"/>
    </row>
    <row r="224" spans="1:38" ht="15.75" customHeight="1" x14ac:dyDescent="0.25">
      <c r="A224" s="533"/>
      <c r="B224" s="276"/>
      <c r="C224" s="276"/>
      <c r="D224" s="276"/>
      <c r="E224" s="276"/>
      <c r="F224" s="276"/>
      <c r="G224" s="353"/>
      <c r="H224" s="276"/>
      <c r="I224" s="353"/>
      <c r="J224" s="276"/>
      <c r="K224" s="276"/>
      <c r="L224" s="276"/>
      <c r="M224" s="276"/>
      <c r="N224" s="276"/>
      <c r="O224" s="276"/>
      <c r="P224" s="276"/>
      <c r="Q224" s="276"/>
      <c r="R224" s="276"/>
      <c r="S224" s="276"/>
      <c r="T224" s="276"/>
      <c r="U224" s="276"/>
      <c r="V224" s="276"/>
      <c r="W224" s="276"/>
      <c r="X224" s="276"/>
      <c r="Y224" s="354"/>
      <c r="Z224" s="276"/>
      <c r="AA224" s="276"/>
      <c r="AB224" s="276"/>
      <c r="AC224" s="276"/>
      <c r="AD224" s="276"/>
      <c r="AE224" s="276"/>
      <c r="AF224" s="276"/>
      <c r="AG224" s="276"/>
      <c r="AH224" s="276"/>
      <c r="AI224" s="276"/>
      <c r="AJ224" s="276"/>
      <c r="AK224" s="276"/>
      <c r="AL224" s="276"/>
    </row>
    <row r="225" spans="1:38" ht="15.75" customHeight="1" x14ac:dyDescent="0.25">
      <c r="A225" s="533"/>
      <c r="B225" s="276"/>
      <c r="C225" s="276"/>
      <c r="D225" s="276"/>
      <c r="E225" s="276"/>
      <c r="F225" s="276"/>
      <c r="G225" s="353"/>
      <c r="H225" s="276"/>
      <c r="I225" s="353"/>
      <c r="J225" s="276"/>
      <c r="K225" s="276"/>
      <c r="L225" s="276"/>
      <c r="M225" s="276"/>
      <c r="N225" s="276"/>
      <c r="O225" s="276"/>
      <c r="P225" s="276"/>
      <c r="Q225" s="276"/>
      <c r="R225" s="276"/>
      <c r="S225" s="276"/>
      <c r="T225" s="276"/>
      <c r="U225" s="276"/>
      <c r="V225" s="276"/>
      <c r="W225" s="276"/>
      <c r="X225" s="276"/>
      <c r="Y225" s="354"/>
      <c r="Z225" s="276"/>
      <c r="AA225" s="276"/>
      <c r="AB225" s="276"/>
      <c r="AC225" s="276"/>
      <c r="AD225" s="276"/>
      <c r="AE225" s="276"/>
      <c r="AF225" s="276"/>
      <c r="AG225" s="276"/>
      <c r="AH225" s="276"/>
      <c r="AI225" s="276"/>
      <c r="AJ225" s="276"/>
      <c r="AK225" s="276"/>
      <c r="AL225" s="276"/>
    </row>
    <row r="226" spans="1:38" ht="15.75" customHeight="1" x14ac:dyDescent="0.25">
      <c r="A226" s="533"/>
      <c r="B226" s="276"/>
      <c r="C226" s="276"/>
      <c r="D226" s="276"/>
      <c r="E226" s="276"/>
      <c r="F226" s="276"/>
      <c r="G226" s="353"/>
      <c r="H226" s="276"/>
      <c r="I226" s="353"/>
      <c r="J226" s="276"/>
      <c r="K226" s="276"/>
      <c r="L226" s="276"/>
      <c r="M226" s="276"/>
      <c r="N226" s="276"/>
      <c r="O226" s="276"/>
      <c r="P226" s="276"/>
      <c r="Q226" s="276"/>
      <c r="R226" s="276"/>
      <c r="S226" s="276"/>
      <c r="T226" s="276"/>
      <c r="U226" s="276"/>
      <c r="V226" s="276"/>
      <c r="W226" s="276"/>
      <c r="X226" s="276"/>
      <c r="Y226" s="354"/>
      <c r="Z226" s="276"/>
      <c r="AA226" s="276"/>
      <c r="AB226" s="276"/>
      <c r="AC226" s="276"/>
      <c r="AD226" s="276"/>
      <c r="AE226" s="276"/>
      <c r="AF226" s="276"/>
      <c r="AG226" s="276"/>
      <c r="AH226" s="276"/>
      <c r="AI226" s="276"/>
      <c r="AJ226" s="276"/>
      <c r="AK226" s="276"/>
      <c r="AL226" s="276"/>
    </row>
    <row r="227" spans="1:38" ht="15.75" customHeight="1" x14ac:dyDescent="0.25">
      <c r="A227" s="533"/>
      <c r="B227" s="276"/>
      <c r="C227" s="276"/>
      <c r="D227" s="276"/>
      <c r="E227" s="276"/>
      <c r="F227" s="276"/>
      <c r="G227" s="353"/>
      <c r="H227" s="276"/>
      <c r="I227" s="353"/>
      <c r="J227" s="276"/>
      <c r="K227" s="276"/>
      <c r="L227" s="276"/>
      <c r="M227" s="276"/>
      <c r="N227" s="276"/>
      <c r="O227" s="276"/>
      <c r="P227" s="276"/>
      <c r="Q227" s="276"/>
      <c r="R227" s="276"/>
      <c r="S227" s="276"/>
      <c r="T227" s="276"/>
      <c r="U227" s="276"/>
      <c r="V227" s="276"/>
      <c r="W227" s="276"/>
      <c r="X227" s="276"/>
      <c r="Y227" s="354"/>
      <c r="Z227" s="276"/>
      <c r="AA227" s="276"/>
      <c r="AB227" s="276"/>
      <c r="AC227" s="276"/>
      <c r="AD227" s="276"/>
      <c r="AE227" s="276"/>
      <c r="AF227" s="276"/>
      <c r="AG227" s="276"/>
      <c r="AH227" s="276"/>
      <c r="AI227" s="276"/>
      <c r="AJ227" s="276"/>
      <c r="AK227" s="276"/>
      <c r="AL227" s="276"/>
    </row>
    <row r="228" spans="1:38" ht="15.75" customHeight="1" x14ac:dyDescent="0.25">
      <c r="A228" s="533"/>
      <c r="B228" s="276"/>
      <c r="C228" s="276"/>
      <c r="D228" s="276"/>
      <c r="E228" s="276"/>
      <c r="F228" s="276"/>
      <c r="G228" s="353"/>
      <c r="H228" s="276"/>
      <c r="I228" s="353"/>
      <c r="J228" s="276"/>
      <c r="K228" s="276"/>
      <c r="L228" s="276"/>
      <c r="M228" s="276"/>
      <c r="N228" s="276"/>
      <c r="O228" s="276"/>
      <c r="P228" s="276"/>
      <c r="Q228" s="276"/>
      <c r="R228" s="276"/>
      <c r="S228" s="276"/>
      <c r="T228" s="276"/>
      <c r="U228" s="276"/>
      <c r="V228" s="276"/>
      <c r="W228" s="276"/>
      <c r="X228" s="276"/>
      <c r="Y228" s="354"/>
      <c r="Z228" s="276"/>
      <c r="AA228" s="276"/>
      <c r="AB228" s="276"/>
      <c r="AC228" s="276"/>
      <c r="AD228" s="276"/>
      <c r="AE228" s="276"/>
      <c r="AF228" s="276"/>
      <c r="AG228" s="276"/>
      <c r="AH228" s="276"/>
      <c r="AI228" s="276"/>
      <c r="AJ228" s="276"/>
      <c r="AK228" s="276"/>
      <c r="AL228" s="276"/>
    </row>
    <row r="229" spans="1:38" ht="15.75" customHeight="1" x14ac:dyDescent="0.25">
      <c r="A229" s="533"/>
      <c r="B229" s="276"/>
      <c r="C229" s="276"/>
      <c r="D229" s="276"/>
      <c r="E229" s="276"/>
      <c r="F229" s="276"/>
      <c r="G229" s="353"/>
      <c r="H229" s="276"/>
      <c r="I229" s="353"/>
      <c r="J229" s="276"/>
      <c r="K229" s="276"/>
      <c r="L229" s="276"/>
      <c r="M229" s="276"/>
      <c r="N229" s="276"/>
      <c r="O229" s="276"/>
      <c r="P229" s="276"/>
      <c r="Q229" s="276"/>
      <c r="R229" s="276"/>
      <c r="S229" s="276"/>
      <c r="T229" s="276"/>
      <c r="U229" s="276"/>
      <c r="V229" s="276"/>
      <c r="W229" s="276"/>
      <c r="X229" s="276"/>
      <c r="Y229" s="354"/>
      <c r="Z229" s="276"/>
      <c r="AA229" s="276"/>
      <c r="AB229" s="276"/>
      <c r="AC229" s="276"/>
      <c r="AD229" s="276"/>
      <c r="AE229" s="276"/>
      <c r="AF229" s="276"/>
      <c r="AG229" s="276"/>
      <c r="AH229" s="276"/>
      <c r="AI229" s="276"/>
      <c r="AJ229" s="276"/>
      <c r="AK229" s="276"/>
      <c r="AL229" s="276"/>
    </row>
    <row r="230" spans="1:38" ht="15.75" customHeight="1" x14ac:dyDescent="0.25">
      <c r="A230" s="533"/>
      <c r="B230" s="276"/>
      <c r="C230" s="276"/>
      <c r="D230" s="276"/>
      <c r="E230" s="276"/>
      <c r="F230" s="276"/>
      <c r="G230" s="353"/>
      <c r="H230" s="276"/>
      <c r="I230" s="353"/>
      <c r="J230" s="276"/>
      <c r="K230" s="276"/>
      <c r="L230" s="276"/>
      <c r="M230" s="276"/>
      <c r="N230" s="276"/>
      <c r="O230" s="276"/>
      <c r="P230" s="276"/>
      <c r="Q230" s="276"/>
      <c r="R230" s="276"/>
      <c r="S230" s="276"/>
      <c r="T230" s="276"/>
      <c r="U230" s="276"/>
      <c r="V230" s="276"/>
      <c r="W230" s="276"/>
      <c r="X230" s="276"/>
      <c r="Y230" s="354"/>
      <c r="Z230" s="276"/>
      <c r="AA230" s="276"/>
      <c r="AB230" s="276"/>
      <c r="AC230" s="276"/>
      <c r="AD230" s="276"/>
      <c r="AE230" s="276"/>
      <c r="AF230" s="276"/>
      <c r="AG230" s="276"/>
      <c r="AH230" s="276"/>
      <c r="AI230" s="276"/>
      <c r="AJ230" s="276"/>
      <c r="AK230" s="276"/>
      <c r="AL230" s="276"/>
    </row>
    <row r="231" spans="1:38" ht="15.75" customHeight="1" x14ac:dyDescent="0.25">
      <c r="A231" s="533"/>
      <c r="B231" s="276"/>
      <c r="C231" s="276"/>
      <c r="D231" s="276"/>
      <c r="E231" s="276"/>
      <c r="F231" s="276"/>
      <c r="G231" s="353"/>
      <c r="H231" s="276"/>
      <c r="I231" s="353"/>
      <c r="J231" s="276"/>
      <c r="K231" s="276"/>
      <c r="L231" s="276"/>
      <c r="M231" s="276"/>
      <c r="N231" s="276"/>
      <c r="O231" s="276"/>
      <c r="P231" s="276"/>
      <c r="Q231" s="276"/>
      <c r="R231" s="276"/>
      <c r="S231" s="276"/>
      <c r="T231" s="276"/>
      <c r="U231" s="276"/>
      <c r="V231" s="276"/>
      <c r="W231" s="276"/>
      <c r="X231" s="276"/>
      <c r="Y231" s="354"/>
      <c r="Z231" s="276"/>
      <c r="AA231" s="276"/>
      <c r="AB231" s="276"/>
      <c r="AC231" s="276"/>
      <c r="AD231" s="276"/>
      <c r="AE231" s="276"/>
      <c r="AF231" s="276"/>
      <c r="AG231" s="276"/>
      <c r="AH231" s="276"/>
      <c r="AI231" s="276"/>
      <c r="AJ231" s="276"/>
      <c r="AK231" s="276"/>
      <c r="AL231" s="276"/>
    </row>
    <row r="232" spans="1:38" ht="15.75" customHeight="1" x14ac:dyDescent="0.25">
      <c r="A232" s="533"/>
      <c r="B232" s="276"/>
      <c r="C232" s="276"/>
      <c r="D232" s="276"/>
      <c r="E232" s="276"/>
      <c r="F232" s="276"/>
      <c r="G232" s="353"/>
      <c r="H232" s="276"/>
      <c r="I232" s="353"/>
      <c r="J232" s="276"/>
      <c r="K232" s="276"/>
      <c r="L232" s="276"/>
      <c r="M232" s="276"/>
      <c r="N232" s="276"/>
      <c r="O232" s="276"/>
      <c r="P232" s="276"/>
      <c r="Q232" s="276"/>
      <c r="R232" s="276"/>
      <c r="S232" s="276"/>
      <c r="T232" s="276"/>
      <c r="U232" s="276"/>
      <c r="V232" s="276"/>
      <c r="W232" s="276"/>
      <c r="X232" s="276"/>
      <c r="Y232" s="354"/>
      <c r="Z232" s="276"/>
      <c r="AA232" s="276"/>
      <c r="AB232" s="276"/>
      <c r="AC232" s="276"/>
      <c r="AD232" s="276"/>
      <c r="AE232" s="276"/>
      <c r="AF232" s="276"/>
      <c r="AG232" s="276"/>
      <c r="AH232" s="276"/>
      <c r="AI232" s="276"/>
      <c r="AJ232" s="276"/>
      <c r="AK232" s="276"/>
      <c r="AL232" s="276"/>
    </row>
    <row r="233" spans="1:38" ht="15.75" customHeight="1" x14ac:dyDescent="0.25">
      <c r="A233" s="533"/>
      <c r="B233" s="276"/>
      <c r="C233" s="276"/>
      <c r="D233" s="276"/>
      <c r="E233" s="276"/>
      <c r="F233" s="276"/>
      <c r="G233" s="353"/>
      <c r="H233" s="276"/>
      <c r="I233" s="353"/>
      <c r="J233" s="276"/>
      <c r="K233" s="276"/>
      <c r="L233" s="276"/>
      <c r="M233" s="276"/>
      <c r="N233" s="276"/>
      <c r="O233" s="276"/>
      <c r="P233" s="276"/>
      <c r="Q233" s="276"/>
      <c r="R233" s="276"/>
      <c r="S233" s="276"/>
      <c r="T233" s="276"/>
      <c r="U233" s="276"/>
      <c r="V233" s="276"/>
      <c r="W233" s="276"/>
      <c r="X233" s="276"/>
      <c r="Y233" s="354"/>
      <c r="Z233" s="276"/>
      <c r="AA233" s="276"/>
      <c r="AB233" s="276"/>
      <c r="AC233" s="276"/>
      <c r="AD233" s="276"/>
      <c r="AE233" s="276"/>
      <c r="AF233" s="276"/>
      <c r="AG233" s="276"/>
      <c r="AH233" s="276"/>
      <c r="AI233" s="276"/>
      <c r="AJ233" s="276"/>
      <c r="AK233" s="276"/>
      <c r="AL233" s="276"/>
    </row>
    <row r="234" spans="1:38" ht="15.75" customHeight="1" x14ac:dyDescent="0.25">
      <c r="A234" s="533"/>
      <c r="B234" s="276"/>
      <c r="C234" s="276"/>
      <c r="D234" s="276"/>
      <c r="E234" s="276"/>
      <c r="F234" s="276"/>
      <c r="G234" s="353"/>
      <c r="H234" s="276"/>
      <c r="I234" s="353"/>
      <c r="J234" s="276"/>
      <c r="K234" s="276"/>
      <c r="L234" s="276"/>
      <c r="M234" s="276"/>
      <c r="N234" s="276"/>
      <c r="O234" s="276"/>
      <c r="P234" s="276"/>
      <c r="Q234" s="276"/>
      <c r="R234" s="276"/>
      <c r="S234" s="276"/>
      <c r="T234" s="276"/>
      <c r="U234" s="276"/>
      <c r="V234" s="276"/>
      <c r="W234" s="276"/>
      <c r="X234" s="276"/>
      <c r="Y234" s="354"/>
      <c r="Z234" s="276"/>
      <c r="AA234" s="276"/>
      <c r="AB234" s="276"/>
      <c r="AC234" s="276"/>
      <c r="AD234" s="276"/>
      <c r="AE234" s="276"/>
      <c r="AF234" s="276"/>
      <c r="AG234" s="276"/>
      <c r="AH234" s="276"/>
      <c r="AI234" s="276"/>
      <c r="AJ234" s="276"/>
      <c r="AK234" s="276"/>
      <c r="AL234" s="276"/>
    </row>
    <row r="235" spans="1:38" ht="15.75" customHeight="1" x14ac:dyDescent="0.25">
      <c r="A235" s="533"/>
      <c r="B235" s="276"/>
      <c r="C235" s="276"/>
      <c r="D235" s="276"/>
      <c r="E235" s="276"/>
      <c r="F235" s="276"/>
      <c r="G235" s="353"/>
      <c r="H235" s="276"/>
      <c r="I235" s="353"/>
      <c r="J235" s="276"/>
      <c r="K235" s="276"/>
      <c r="L235" s="276"/>
      <c r="M235" s="276"/>
      <c r="N235" s="276"/>
      <c r="O235" s="276"/>
      <c r="P235" s="276"/>
      <c r="Q235" s="276"/>
      <c r="R235" s="276"/>
      <c r="S235" s="276"/>
      <c r="T235" s="276"/>
      <c r="U235" s="276"/>
      <c r="V235" s="276"/>
      <c r="W235" s="276"/>
      <c r="X235" s="276"/>
      <c r="Y235" s="354"/>
      <c r="Z235" s="276"/>
      <c r="AA235" s="276"/>
      <c r="AB235" s="276"/>
      <c r="AC235" s="276"/>
      <c r="AD235" s="276"/>
      <c r="AE235" s="276"/>
      <c r="AF235" s="276"/>
      <c r="AG235" s="276"/>
      <c r="AH235" s="276"/>
      <c r="AI235" s="276"/>
      <c r="AJ235" s="276"/>
      <c r="AK235" s="276"/>
      <c r="AL235" s="276"/>
    </row>
    <row r="236" spans="1:38" ht="15.75" customHeight="1" x14ac:dyDescent="0.25">
      <c r="A236" s="533"/>
      <c r="B236" s="276"/>
      <c r="C236" s="276"/>
      <c r="D236" s="276"/>
      <c r="E236" s="276"/>
      <c r="F236" s="276"/>
      <c r="G236" s="353"/>
      <c r="H236" s="276"/>
      <c r="I236" s="353"/>
      <c r="J236" s="276"/>
      <c r="K236" s="276"/>
      <c r="L236" s="276"/>
      <c r="M236" s="276"/>
      <c r="N236" s="276"/>
      <c r="O236" s="276"/>
      <c r="P236" s="276"/>
      <c r="Q236" s="276"/>
      <c r="R236" s="276"/>
      <c r="S236" s="276"/>
      <c r="T236" s="276"/>
      <c r="U236" s="276"/>
      <c r="V236" s="276"/>
      <c r="W236" s="276"/>
      <c r="X236" s="276"/>
      <c r="Y236" s="354"/>
      <c r="Z236" s="276"/>
      <c r="AA236" s="276"/>
      <c r="AB236" s="276"/>
      <c r="AC236" s="276"/>
      <c r="AD236" s="276"/>
      <c r="AE236" s="276"/>
      <c r="AF236" s="276"/>
      <c r="AG236" s="276"/>
      <c r="AH236" s="276"/>
      <c r="AI236" s="276"/>
      <c r="AJ236" s="276"/>
      <c r="AK236" s="276"/>
      <c r="AL236" s="276"/>
    </row>
    <row r="237" spans="1:38" ht="15.75" customHeight="1" x14ac:dyDescent="0.25">
      <c r="A237" s="533"/>
      <c r="B237" s="276"/>
      <c r="C237" s="276"/>
      <c r="D237" s="276"/>
      <c r="E237" s="276"/>
      <c r="F237" s="276"/>
      <c r="G237" s="353"/>
      <c r="H237" s="276"/>
      <c r="I237" s="353"/>
      <c r="J237" s="276"/>
      <c r="K237" s="276"/>
      <c r="L237" s="276"/>
      <c r="M237" s="276"/>
      <c r="N237" s="276"/>
      <c r="O237" s="276"/>
      <c r="P237" s="276"/>
      <c r="Q237" s="276"/>
      <c r="R237" s="276"/>
      <c r="S237" s="276"/>
      <c r="T237" s="276"/>
      <c r="U237" s="276"/>
      <c r="V237" s="276"/>
      <c r="W237" s="276"/>
      <c r="X237" s="276"/>
      <c r="Y237" s="354"/>
      <c r="Z237" s="276"/>
      <c r="AA237" s="276"/>
      <c r="AB237" s="276"/>
      <c r="AC237" s="276"/>
      <c r="AD237" s="276"/>
      <c r="AE237" s="276"/>
      <c r="AF237" s="276"/>
      <c r="AG237" s="276"/>
      <c r="AH237" s="276"/>
      <c r="AI237" s="276"/>
      <c r="AJ237" s="276"/>
      <c r="AK237" s="276"/>
      <c r="AL237" s="276"/>
    </row>
    <row r="238" spans="1:38" ht="15.75" customHeight="1" x14ac:dyDescent="0.25">
      <c r="A238" s="533"/>
      <c r="B238" s="276"/>
      <c r="C238" s="276"/>
      <c r="D238" s="276"/>
      <c r="E238" s="276"/>
      <c r="F238" s="276"/>
      <c r="G238" s="353"/>
      <c r="H238" s="276"/>
      <c r="I238" s="353"/>
      <c r="J238" s="276"/>
      <c r="K238" s="276"/>
      <c r="L238" s="276"/>
      <c r="M238" s="276"/>
      <c r="N238" s="276"/>
      <c r="O238" s="276"/>
      <c r="P238" s="276"/>
      <c r="Q238" s="276"/>
      <c r="R238" s="276"/>
      <c r="S238" s="276"/>
      <c r="T238" s="276"/>
      <c r="U238" s="276"/>
      <c r="V238" s="276"/>
      <c r="W238" s="276"/>
      <c r="X238" s="276"/>
      <c r="Y238" s="354"/>
      <c r="Z238" s="276"/>
      <c r="AA238" s="276"/>
      <c r="AB238" s="276"/>
      <c r="AC238" s="276"/>
      <c r="AD238" s="276"/>
      <c r="AE238" s="276"/>
      <c r="AF238" s="276"/>
      <c r="AG238" s="276"/>
      <c r="AH238" s="276"/>
      <c r="AI238" s="276"/>
      <c r="AJ238" s="276"/>
      <c r="AK238" s="276"/>
      <c r="AL238" s="276"/>
    </row>
    <row r="239" spans="1:38" ht="15.75" customHeight="1" x14ac:dyDescent="0.25">
      <c r="A239" s="533"/>
      <c r="B239" s="276"/>
      <c r="C239" s="276"/>
      <c r="D239" s="276"/>
      <c r="E239" s="276"/>
      <c r="F239" s="276"/>
      <c r="G239" s="353"/>
      <c r="H239" s="276"/>
      <c r="I239" s="353"/>
      <c r="J239" s="276"/>
      <c r="K239" s="276"/>
      <c r="L239" s="276"/>
      <c r="M239" s="276"/>
      <c r="N239" s="276"/>
      <c r="O239" s="276"/>
      <c r="P239" s="276"/>
      <c r="Q239" s="276"/>
      <c r="R239" s="276"/>
      <c r="S239" s="276"/>
      <c r="T239" s="276"/>
      <c r="U239" s="276"/>
      <c r="V239" s="276"/>
      <c r="W239" s="276"/>
      <c r="X239" s="276"/>
      <c r="Y239" s="354"/>
      <c r="Z239" s="276"/>
      <c r="AA239" s="276"/>
      <c r="AB239" s="276"/>
      <c r="AC239" s="276"/>
      <c r="AD239" s="276"/>
      <c r="AE239" s="276"/>
      <c r="AF239" s="276"/>
      <c r="AG239" s="276"/>
      <c r="AH239" s="276"/>
      <c r="AI239" s="276"/>
      <c r="AJ239" s="276"/>
      <c r="AK239" s="276"/>
      <c r="AL239" s="276"/>
    </row>
    <row r="240" spans="1:38" ht="15.75" customHeight="1" x14ac:dyDescent="0.25">
      <c r="A240" s="533"/>
      <c r="B240" s="276"/>
      <c r="C240" s="276"/>
      <c r="D240" s="276"/>
      <c r="E240" s="276"/>
      <c r="F240" s="276"/>
      <c r="G240" s="353"/>
      <c r="H240" s="276"/>
      <c r="I240" s="353"/>
      <c r="J240" s="276"/>
      <c r="K240" s="276"/>
      <c r="L240" s="276"/>
      <c r="M240" s="276"/>
      <c r="N240" s="276"/>
      <c r="O240" s="276"/>
      <c r="P240" s="276"/>
      <c r="Q240" s="276"/>
      <c r="R240" s="276"/>
      <c r="S240" s="276"/>
      <c r="T240" s="276"/>
      <c r="U240" s="276"/>
      <c r="V240" s="276"/>
      <c r="W240" s="276"/>
      <c r="X240" s="276"/>
      <c r="Y240" s="354"/>
      <c r="Z240" s="276"/>
      <c r="AA240" s="276"/>
      <c r="AB240" s="276"/>
      <c r="AC240" s="276"/>
      <c r="AD240" s="276"/>
      <c r="AE240" s="276"/>
      <c r="AF240" s="276"/>
      <c r="AG240" s="276"/>
      <c r="AH240" s="276"/>
      <c r="AI240" s="276"/>
      <c r="AJ240" s="276"/>
      <c r="AK240" s="276"/>
      <c r="AL240" s="276"/>
    </row>
    <row r="241" spans="1:38" ht="15.75" customHeight="1" x14ac:dyDescent="0.25">
      <c r="A241" s="533"/>
      <c r="B241" s="276"/>
      <c r="C241" s="276"/>
      <c r="D241" s="276"/>
      <c r="E241" s="276"/>
      <c r="F241" s="276"/>
      <c r="G241" s="353"/>
      <c r="H241" s="276"/>
      <c r="I241" s="353"/>
      <c r="J241" s="276"/>
      <c r="K241" s="276"/>
      <c r="L241" s="276"/>
      <c r="M241" s="276"/>
      <c r="N241" s="276"/>
      <c r="O241" s="276"/>
      <c r="P241" s="276"/>
      <c r="Q241" s="276"/>
      <c r="R241" s="276"/>
      <c r="S241" s="276"/>
      <c r="T241" s="276"/>
      <c r="U241" s="276"/>
      <c r="V241" s="276"/>
      <c r="W241" s="276"/>
      <c r="X241" s="276"/>
      <c r="Y241" s="354"/>
      <c r="Z241" s="276"/>
      <c r="AA241" s="276"/>
      <c r="AB241" s="276"/>
      <c r="AC241" s="276"/>
      <c r="AD241" s="276"/>
      <c r="AE241" s="276"/>
      <c r="AF241" s="276"/>
      <c r="AG241" s="276"/>
      <c r="AH241" s="276"/>
      <c r="AI241" s="276"/>
      <c r="AJ241" s="276"/>
      <c r="AK241" s="276"/>
      <c r="AL241" s="276"/>
    </row>
    <row r="242" spans="1:38" ht="15.75" customHeight="1" x14ac:dyDescent="0.25">
      <c r="A242" s="533"/>
      <c r="B242" s="276"/>
      <c r="C242" s="276"/>
      <c r="D242" s="276"/>
      <c r="E242" s="276"/>
      <c r="F242" s="276"/>
      <c r="G242" s="353"/>
      <c r="H242" s="276"/>
      <c r="I242" s="353"/>
      <c r="J242" s="276"/>
      <c r="K242" s="276"/>
      <c r="L242" s="276"/>
      <c r="M242" s="276"/>
      <c r="N242" s="276"/>
      <c r="O242" s="276"/>
      <c r="P242" s="276"/>
      <c r="Q242" s="276"/>
      <c r="R242" s="276"/>
      <c r="S242" s="276"/>
      <c r="T242" s="276"/>
      <c r="U242" s="276"/>
      <c r="V242" s="276"/>
      <c r="W242" s="276"/>
      <c r="X242" s="276"/>
      <c r="Y242" s="354"/>
      <c r="Z242" s="276"/>
      <c r="AA242" s="276"/>
      <c r="AB242" s="276"/>
      <c r="AC242" s="276"/>
      <c r="AD242" s="276"/>
      <c r="AE242" s="276"/>
      <c r="AF242" s="276"/>
      <c r="AG242" s="276"/>
      <c r="AH242" s="276"/>
      <c r="AI242" s="276"/>
      <c r="AJ242" s="276"/>
      <c r="AK242" s="276"/>
      <c r="AL242" s="276"/>
    </row>
    <row r="243" spans="1:38" ht="15.75" customHeight="1" x14ac:dyDescent="0.25">
      <c r="A243" s="533"/>
      <c r="B243" s="276"/>
      <c r="C243" s="276"/>
      <c r="D243" s="276"/>
      <c r="E243" s="276"/>
      <c r="F243" s="276"/>
      <c r="G243" s="353"/>
      <c r="H243" s="276"/>
      <c r="I243" s="353"/>
      <c r="J243" s="276"/>
      <c r="K243" s="276"/>
      <c r="L243" s="276"/>
      <c r="M243" s="276"/>
      <c r="N243" s="276"/>
      <c r="O243" s="276"/>
      <c r="P243" s="276"/>
      <c r="Q243" s="276"/>
      <c r="R243" s="276"/>
      <c r="S243" s="276"/>
      <c r="T243" s="276"/>
      <c r="U243" s="276"/>
      <c r="V243" s="276"/>
      <c r="W243" s="276"/>
      <c r="X243" s="276"/>
      <c r="Y243" s="354"/>
      <c r="Z243" s="276"/>
      <c r="AA243" s="276"/>
      <c r="AB243" s="276"/>
      <c r="AC243" s="276"/>
      <c r="AD243" s="276"/>
      <c r="AE243" s="276"/>
      <c r="AF243" s="276"/>
      <c r="AG243" s="276"/>
      <c r="AH243" s="276"/>
      <c r="AI243" s="276"/>
      <c r="AJ243" s="276"/>
      <c r="AK243" s="276"/>
      <c r="AL243" s="276"/>
    </row>
    <row r="244" spans="1:38" ht="15.75" customHeight="1" x14ac:dyDescent="0.25">
      <c r="A244" s="533"/>
      <c r="B244" s="276"/>
      <c r="C244" s="276"/>
      <c r="D244" s="276"/>
      <c r="E244" s="276"/>
      <c r="F244" s="276"/>
      <c r="G244" s="353"/>
      <c r="H244" s="276"/>
      <c r="I244" s="353"/>
      <c r="J244" s="276"/>
      <c r="K244" s="276"/>
      <c r="L244" s="276"/>
      <c r="M244" s="276"/>
      <c r="N244" s="276"/>
      <c r="O244" s="276"/>
      <c r="P244" s="276"/>
      <c r="Q244" s="276"/>
      <c r="R244" s="276"/>
      <c r="S244" s="276"/>
      <c r="T244" s="276"/>
      <c r="U244" s="276"/>
      <c r="V244" s="276"/>
      <c r="W244" s="276"/>
      <c r="X244" s="276"/>
      <c r="Y244" s="354"/>
      <c r="Z244" s="276"/>
      <c r="AA244" s="276"/>
      <c r="AB244" s="276"/>
      <c r="AC244" s="276"/>
      <c r="AD244" s="276"/>
      <c r="AE244" s="276"/>
      <c r="AF244" s="276"/>
      <c r="AG244" s="276"/>
      <c r="AH244" s="276"/>
      <c r="AI244" s="276"/>
      <c r="AJ244" s="276"/>
      <c r="AK244" s="276"/>
      <c r="AL244" s="276"/>
    </row>
    <row r="245" spans="1:38" ht="15.75" customHeight="1" x14ac:dyDescent="0.25">
      <c r="A245" s="533"/>
      <c r="B245" s="276"/>
      <c r="C245" s="276"/>
      <c r="D245" s="276"/>
      <c r="E245" s="276"/>
      <c r="F245" s="276"/>
      <c r="G245" s="353"/>
      <c r="H245" s="276"/>
      <c r="I245" s="353"/>
      <c r="J245" s="276"/>
      <c r="K245" s="276"/>
      <c r="L245" s="276"/>
      <c r="M245" s="276"/>
      <c r="N245" s="276"/>
      <c r="O245" s="276"/>
      <c r="P245" s="276"/>
      <c r="Q245" s="276"/>
      <c r="R245" s="276"/>
      <c r="S245" s="276"/>
      <c r="T245" s="276"/>
      <c r="U245" s="276"/>
      <c r="V245" s="276"/>
      <c r="W245" s="276"/>
      <c r="X245" s="276"/>
      <c r="Y245" s="354"/>
      <c r="Z245" s="276"/>
      <c r="AA245" s="276"/>
      <c r="AB245" s="276"/>
      <c r="AC245" s="276"/>
      <c r="AD245" s="276"/>
      <c r="AE245" s="276"/>
      <c r="AF245" s="276"/>
      <c r="AG245" s="276"/>
      <c r="AH245" s="276"/>
      <c r="AI245" s="276"/>
      <c r="AJ245" s="276"/>
      <c r="AK245" s="276"/>
      <c r="AL245" s="276"/>
    </row>
    <row r="246" spans="1:38" ht="15.75" customHeight="1" x14ac:dyDescent="0.25">
      <c r="A246" s="533"/>
      <c r="B246" s="276"/>
      <c r="C246" s="276"/>
      <c r="D246" s="276"/>
      <c r="E246" s="276"/>
      <c r="F246" s="276"/>
      <c r="G246" s="353"/>
      <c r="H246" s="276"/>
      <c r="I246" s="353"/>
      <c r="J246" s="276"/>
      <c r="K246" s="276"/>
      <c r="L246" s="276"/>
      <c r="M246" s="276"/>
      <c r="N246" s="276"/>
      <c r="O246" s="276"/>
      <c r="P246" s="276"/>
      <c r="Q246" s="276"/>
      <c r="R246" s="276"/>
      <c r="S246" s="276"/>
      <c r="T246" s="276"/>
      <c r="U246" s="276"/>
      <c r="V246" s="276"/>
      <c r="W246" s="276"/>
      <c r="X246" s="276"/>
      <c r="Y246" s="354"/>
      <c r="Z246" s="276"/>
      <c r="AA246" s="276"/>
      <c r="AB246" s="276"/>
      <c r="AC246" s="276"/>
      <c r="AD246" s="276"/>
      <c r="AE246" s="276"/>
      <c r="AF246" s="276"/>
      <c r="AG246" s="276"/>
      <c r="AH246" s="276"/>
      <c r="AI246" s="276"/>
      <c r="AJ246" s="276"/>
      <c r="AK246" s="276"/>
      <c r="AL246" s="276"/>
    </row>
    <row r="247" spans="1:38" ht="15.75" customHeight="1" x14ac:dyDescent="0.25">
      <c r="A247" s="534"/>
      <c r="B247" s="271"/>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c r="Z247" s="271"/>
      <c r="AA247" s="271"/>
      <c r="AB247" s="271"/>
      <c r="AC247" s="271"/>
      <c r="AD247" s="271"/>
      <c r="AE247" s="271"/>
      <c r="AF247" s="271"/>
      <c r="AG247" s="271"/>
      <c r="AH247" s="271"/>
      <c r="AI247" s="271"/>
      <c r="AJ247" s="271"/>
      <c r="AK247" s="271"/>
      <c r="AL247" s="271"/>
    </row>
    <row r="248" spans="1:38" ht="15.75" customHeight="1" x14ac:dyDescent="0.25">
      <c r="A248" s="534"/>
      <c r="B248" s="271"/>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c r="Z248" s="271"/>
      <c r="AA248" s="271"/>
      <c r="AB248" s="271"/>
      <c r="AC248" s="271"/>
      <c r="AD248" s="271"/>
      <c r="AE248" s="271"/>
      <c r="AF248" s="271"/>
      <c r="AG248" s="271"/>
      <c r="AH248" s="271"/>
      <c r="AI248" s="271"/>
      <c r="AJ248" s="271"/>
      <c r="AK248" s="271"/>
      <c r="AL248" s="271"/>
    </row>
    <row r="249" spans="1:38" ht="15.75" customHeight="1" x14ac:dyDescent="0.25">
      <c r="A249" s="534"/>
      <c r="B249" s="271"/>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c r="Z249" s="271"/>
      <c r="AA249" s="271"/>
      <c r="AB249" s="271"/>
      <c r="AC249" s="271"/>
      <c r="AD249" s="271"/>
      <c r="AE249" s="271"/>
      <c r="AF249" s="271"/>
      <c r="AG249" s="271"/>
      <c r="AH249" s="271"/>
      <c r="AI249" s="271"/>
      <c r="AJ249" s="271"/>
      <c r="AK249" s="271"/>
      <c r="AL249" s="271"/>
    </row>
    <row r="250" spans="1:38" ht="15.75" customHeight="1" x14ac:dyDescent="0.25">
      <c r="A250" s="534"/>
      <c r="B250" s="271"/>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c r="AA250" s="271"/>
      <c r="AB250" s="271"/>
      <c r="AC250" s="271"/>
      <c r="AD250" s="271"/>
      <c r="AE250" s="271"/>
      <c r="AF250" s="271"/>
      <c r="AG250" s="271"/>
      <c r="AH250" s="271"/>
      <c r="AI250" s="271"/>
      <c r="AJ250" s="271"/>
      <c r="AK250" s="271"/>
      <c r="AL250" s="271"/>
    </row>
    <row r="251" spans="1:38" ht="15.75" customHeight="1" x14ac:dyDescent="0.25">
      <c r="A251" s="534"/>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row>
    <row r="252" spans="1:38" ht="15.75" customHeight="1" x14ac:dyDescent="0.25">
      <c r="A252" s="534"/>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row>
    <row r="253" spans="1:38" ht="15.75" customHeight="1" x14ac:dyDescent="0.25">
      <c r="A253" s="534"/>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row>
    <row r="254" spans="1:38" ht="15.75" customHeight="1" x14ac:dyDescent="0.25">
      <c r="A254" s="534"/>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row>
    <row r="255" spans="1:38" ht="15.75" customHeight="1" x14ac:dyDescent="0.25">
      <c r="A255" s="534"/>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row>
    <row r="256" spans="1:38" ht="15.75" customHeight="1" x14ac:dyDescent="0.25">
      <c r="A256" s="534"/>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row>
    <row r="257" spans="1:38" ht="15.75" customHeight="1" x14ac:dyDescent="0.25">
      <c r="A257" s="534"/>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row>
    <row r="258" spans="1:38" ht="15.75" customHeight="1" x14ac:dyDescent="0.25">
      <c r="A258" s="534"/>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row>
    <row r="259" spans="1:38" ht="15.75" customHeight="1" x14ac:dyDescent="0.25">
      <c r="A259" s="534"/>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row>
    <row r="260" spans="1:38" ht="15.75" customHeight="1" x14ac:dyDescent="0.25">
      <c r="A260" s="534"/>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row>
    <row r="261" spans="1:38" ht="15.75" customHeight="1" x14ac:dyDescent="0.25">
      <c r="A261" s="534"/>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row>
    <row r="262" spans="1:38" ht="15.75" customHeight="1" x14ac:dyDescent="0.25">
      <c r="A262" s="534"/>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row>
    <row r="263" spans="1:38" ht="15.75" customHeight="1" x14ac:dyDescent="0.25">
      <c r="A263" s="534"/>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row>
    <row r="264" spans="1:38" ht="15.75" customHeight="1" x14ac:dyDescent="0.25">
      <c r="A264" s="534"/>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row>
    <row r="265" spans="1:38" ht="15.75" customHeight="1" x14ac:dyDescent="0.25">
      <c r="A265" s="534"/>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c r="AL265" s="271"/>
    </row>
    <row r="266" spans="1:38" ht="15.75" customHeight="1" x14ac:dyDescent="0.25">
      <c r="A266" s="534"/>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c r="AL266" s="271"/>
    </row>
    <row r="267" spans="1:38" ht="15.75" customHeight="1" x14ac:dyDescent="0.25">
      <c r="A267" s="534"/>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c r="AL267" s="271"/>
    </row>
    <row r="268" spans="1:38" ht="15.75" customHeight="1" x14ac:dyDescent="0.25">
      <c r="A268" s="534"/>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c r="AL268" s="271"/>
    </row>
    <row r="269" spans="1:38" ht="15.75" customHeight="1" x14ac:dyDescent="0.25">
      <c r="A269" s="534"/>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row>
    <row r="270" spans="1:38" ht="15.75" customHeight="1" x14ac:dyDescent="0.25">
      <c r="A270" s="534"/>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row>
    <row r="271" spans="1:38" ht="15.75" customHeight="1" x14ac:dyDescent="0.25">
      <c r="A271" s="534"/>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c r="AL271" s="271"/>
    </row>
    <row r="272" spans="1:38" ht="15.75" customHeight="1" x14ac:dyDescent="0.25">
      <c r="A272" s="534"/>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c r="AL272" s="271"/>
    </row>
    <row r="273" spans="1:38" ht="15.75" customHeight="1" x14ac:dyDescent="0.25">
      <c r="A273" s="534"/>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row>
    <row r="274" spans="1:38" ht="15.75" customHeight="1" x14ac:dyDescent="0.25">
      <c r="A274" s="534"/>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c r="AL274" s="271"/>
    </row>
    <row r="275" spans="1:38" ht="15.75" customHeight="1" x14ac:dyDescent="0.25">
      <c r="A275" s="534"/>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c r="AL275" s="271"/>
    </row>
    <row r="276" spans="1:38" ht="15.75" customHeight="1" x14ac:dyDescent="0.25">
      <c r="A276" s="534"/>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row>
    <row r="277" spans="1:38" ht="15.75" customHeight="1" x14ac:dyDescent="0.25">
      <c r="A277" s="534"/>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row>
    <row r="278" spans="1:38" ht="15.75" customHeight="1" x14ac:dyDescent="0.25">
      <c r="A278" s="534"/>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c r="AL278" s="271"/>
    </row>
    <row r="279" spans="1:38" ht="15.75" customHeight="1" x14ac:dyDescent="0.25">
      <c r="A279" s="534"/>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row>
    <row r="280" spans="1:38" ht="15.75" customHeight="1" x14ac:dyDescent="0.25">
      <c r="A280" s="534"/>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c r="AL280" s="271"/>
    </row>
    <row r="281" spans="1:38" ht="15.75" customHeight="1" x14ac:dyDescent="0.25">
      <c r="A281" s="534"/>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c r="AL281" s="271"/>
    </row>
    <row r="282" spans="1:38" ht="15.75" customHeight="1" x14ac:dyDescent="0.25">
      <c r="A282" s="534"/>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c r="AL282" s="271"/>
    </row>
    <row r="283" spans="1:38" ht="15.75" customHeight="1" x14ac:dyDescent="0.25">
      <c r="A283" s="534"/>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c r="AL283" s="271"/>
    </row>
    <row r="284" spans="1:38" ht="15.75" customHeight="1" x14ac:dyDescent="0.25">
      <c r="A284" s="534"/>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c r="AL284" s="271"/>
    </row>
    <row r="285" spans="1:38" ht="15.75" customHeight="1" x14ac:dyDescent="0.25">
      <c r="A285" s="534"/>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c r="AL285" s="271"/>
    </row>
    <row r="286" spans="1:38" ht="15.75" customHeight="1" x14ac:dyDescent="0.25">
      <c r="A286" s="534"/>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c r="AL286" s="271"/>
    </row>
    <row r="287" spans="1:38" ht="15.75" customHeight="1" x14ac:dyDescent="0.25">
      <c r="A287" s="534"/>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c r="AL287" s="271"/>
    </row>
    <row r="288" spans="1:38" ht="15.75" customHeight="1" x14ac:dyDescent="0.25">
      <c r="A288" s="534"/>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c r="AL288" s="271"/>
    </row>
    <row r="289" spans="1:38" ht="15.75" customHeight="1" x14ac:dyDescent="0.25">
      <c r="A289" s="534"/>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c r="AL289" s="271"/>
    </row>
    <row r="290" spans="1:38" ht="15.75" customHeight="1" x14ac:dyDescent="0.25">
      <c r="A290" s="534"/>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row>
    <row r="291" spans="1:38" ht="15.75" customHeight="1" x14ac:dyDescent="0.25">
      <c r="A291" s="534"/>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row>
    <row r="292" spans="1:38" ht="15.75" customHeight="1" x14ac:dyDescent="0.25">
      <c r="A292" s="534"/>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c r="AL292" s="271"/>
    </row>
    <row r="293" spans="1:38" ht="15.75" customHeight="1" x14ac:dyDescent="0.25">
      <c r="A293" s="534"/>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c r="AL293" s="271"/>
    </row>
    <row r="294" spans="1:38" ht="15.75" customHeight="1" x14ac:dyDescent="0.25">
      <c r="A294" s="534"/>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c r="AL294" s="271"/>
    </row>
    <row r="295" spans="1:38" ht="15.75" customHeight="1" x14ac:dyDescent="0.25">
      <c r="A295" s="534"/>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c r="AL295" s="271"/>
    </row>
    <row r="296" spans="1:38" ht="15.75" customHeight="1" x14ac:dyDescent="0.25">
      <c r="A296" s="534"/>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c r="AL296" s="271"/>
    </row>
    <row r="297" spans="1:38" ht="15.75" customHeight="1" x14ac:dyDescent="0.25">
      <c r="A297" s="534"/>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c r="AL297" s="271"/>
    </row>
    <row r="298" spans="1:38" ht="15.75" customHeight="1" x14ac:dyDescent="0.25">
      <c r="A298" s="534"/>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c r="AL298" s="271"/>
    </row>
    <row r="299" spans="1:38" ht="15.75" customHeight="1" x14ac:dyDescent="0.25">
      <c r="A299" s="534"/>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c r="AL299" s="271"/>
    </row>
    <row r="300" spans="1:38" ht="15.75" customHeight="1" x14ac:dyDescent="0.25">
      <c r="A300" s="534"/>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c r="AL300" s="271"/>
    </row>
    <row r="301" spans="1:38" ht="15.75" customHeight="1" x14ac:dyDescent="0.25">
      <c r="A301" s="534"/>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c r="AL301" s="271"/>
    </row>
    <row r="302" spans="1:38" ht="15.75" customHeight="1" x14ac:dyDescent="0.25">
      <c r="A302" s="534"/>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c r="AL302" s="271"/>
    </row>
    <row r="303" spans="1:38" ht="15.75" customHeight="1" x14ac:dyDescent="0.25">
      <c r="A303" s="534"/>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c r="AL303" s="271"/>
    </row>
    <row r="304" spans="1:38" ht="15.75" customHeight="1" x14ac:dyDescent="0.25">
      <c r="A304" s="534"/>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c r="AL304" s="271"/>
    </row>
    <row r="305" spans="1:38" ht="15.75" customHeight="1" x14ac:dyDescent="0.25">
      <c r="A305" s="534"/>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c r="AL305" s="271"/>
    </row>
    <row r="306" spans="1:38" ht="15.75" customHeight="1" x14ac:dyDescent="0.25">
      <c r="A306" s="534"/>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row>
    <row r="307" spans="1:38" ht="15.75" customHeight="1" x14ac:dyDescent="0.25">
      <c r="A307" s="534"/>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c r="AL307" s="271"/>
    </row>
    <row r="308" spans="1:38" ht="15.75" customHeight="1" x14ac:dyDescent="0.25">
      <c r="A308" s="534"/>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c r="AL308" s="271"/>
    </row>
    <row r="309" spans="1:38" ht="15.75" customHeight="1" x14ac:dyDescent="0.25">
      <c r="A309" s="534"/>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row>
    <row r="310" spans="1:38" ht="15.75" customHeight="1" x14ac:dyDescent="0.25">
      <c r="A310" s="534"/>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c r="AL310" s="271"/>
    </row>
    <row r="311" spans="1:38" ht="15.75" customHeight="1" x14ac:dyDescent="0.25">
      <c r="A311" s="534"/>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c r="AL311" s="271"/>
    </row>
    <row r="312" spans="1:38" ht="15.75" customHeight="1" x14ac:dyDescent="0.25">
      <c r="A312" s="534"/>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c r="AL312" s="271"/>
    </row>
    <row r="313" spans="1:38" ht="15.75" customHeight="1" x14ac:dyDescent="0.25">
      <c r="A313" s="534"/>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row>
    <row r="314" spans="1:38" ht="15.75" customHeight="1" x14ac:dyDescent="0.25">
      <c r="A314" s="534"/>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c r="AL314" s="271"/>
    </row>
    <row r="315" spans="1:38" ht="15.75" customHeight="1" x14ac:dyDescent="0.25">
      <c r="A315" s="534"/>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row>
    <row r="316" spans="1:38" ht="15.75" customHeight="1" x14ac:dyDescent="0.25">
      <c r="A316" s="534"/>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c r="AL316" s="271"/>
    </row>
    <row r="317" spans="1:38" ht="15.75" customHeight="1" x14ac:dyDescent="0.25">
      <c r="A317" s="534"/>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row>
    <row r="318" spans="1:38" ht="15.75" customHeight="1" x14ac:dyDescent="0.25">
      <c r="A318" s="534"/>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c r="AL318" s="271"/>
    </row>
    <row r="319" spans="1:38" ht="15.75" customHeight="1" x14ac:dyDescent="0.25">
      <c r="A319" s="534"/>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row>
    <row r="320" spans="1:38" ht="15.75" customHeight="1" x14ac:dyDescent="0.25">
      <c r="A320" s="534"/>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c r="AL320" s="271"/>
    </row>
    <row r="321" spans="1:38" ht="15.75" customHeight="1" x14ac:dyDescent="0.25">
      <c r="A321" s="534"/>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row>
    <row r="322" spans="1:38" ht="15.75" customHeight="1" x14ac:dyDescent="0.25">
      <c r="A322" s="534"/>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c r="AL322" s="271"/>
    </row>
    <row r="323" spans="1:38" ht="15.75" customHeight="1" x14ac:dyDescent="0.25">
      <c r="A323" s="534"/>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row>
    <row r="324" spans="1:38" ht="15.75" customHeight="1" x14ac:dyDescent="0.25">
      <c r="A324" s="534"/>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c r="AL324" s="271"/>
    </row>
    <row r="325" spans="1:38" ht="15.75" customHeight="1" x14ac:dyDescent="0.25">
      <c r="A325" s="534"/>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c r="AL325" s="271"/>
    </row>
    <row r="326" spans="1:38" ht="15.75" customHeight="1" x14ac:dyDescent="0.25">
      <c r="A326" s="534"/>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row>
    <row r="327" spans="1:38" ht="15.75" customHeight="1" x14ac:dyDescent="0.25">
      <c r="A327" s="534"/>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c r="AL327" s="271"/>
    </row>
    <row r="328" spans="1:38" ht="15.75" customHeight="1" x14ac:dyDescent="0.25">
      <c r="A328" s="534"/>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row>
    <row r="329" spans="1:38" ht="15.75" customHeight="1" x14ac:dyDescent="0.25">
      <c r="A329" s="534"/>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c r="AL329" s="271"/>
    </row>
    <row r="330" spans="1:38" ht="15.75" customHeight="1" x14ac:dyDescent="0.25">
      <c r="A330" s="534"/>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c r="AL330" s="271"/>
    </row>
    <row r="331" spans="1:38" ht="15.75" customHeight="1" x14ac:dyDescent="0.25">
      <c r="A331" s="534"/>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row>
    <row r="332" spans="1:38" ht="15.75" customHeight="1" x14ac:dyDescent="0.25">
      <c r="A332" s="534"/>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c r="AL332" s="271"/>
    </row>
    <row r="333" spans="1:38" ht="15.75" customHeight="1" x14ac:dyDescent="0.25">
      <c r="A333" s="534"/>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row>
    <row r="334" spans="1:38" ht="15.75" customHeight="1" x14ac:dyDescent="0.25">
      <c r="A334" s="534"/>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c r="AL334" s="271"/>
    </row>
    <row r="335" spans="1:38" ht="15.75" customHeight="1" x14ac:dyDescent="0.25">
      <c r="A335" s="534"/>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c r="AL335" s="271"/>
    </row>
    <row r="336" spans="1:38" ht="15.75" customHeight="1" x14ac:dyDescent="0.25">
      <c r="A336" s="534"/>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c r="AL336" s="271"/>
    </row>
    <row r="337" spans="1:38" ht="15.75" customHeight="1" x14ac:dyDescent="0.25">
      <c r="A337" s="534"/>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c r="AL337" s="271"/>
    </row>
    <row r="338" spans="1:38" ht="15.75" customHeight="1" x14ac:dyDescent="0.25">
      <c r="A338" s="534"/>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c r="AL338" s="271"/>
    </row>
    <row r="339" spans="1:38" ht="15.75" customHeight="1" x14ac:dyDescent="0.25">
      <c r="A339" s="534"/>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c r="AL339" s="271"/>
    </row>
    <row r="340" spans="1:38" ht="15.75" customHeight="1" x14ac:dyDescent="0.25">
      <c r="A340" s="534"/>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c r="AL340" s="271"/>
    </row>
    <row r="341" spans="1:38" ht="15.75" customHeight="1" x14ac:dyDescent="0.25">
      <c r="A341" s="534"/>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c r="AL341" s="271"/>
    </row>
    <row r="342" spans="1:38" ht="15.75" customHeight="1" x14ac:dyDescent="0.25">
      <c r="A342" s="534"/>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c r="AL342" s="271"/>
    </row>
    <row r="343" spans="1:38" ht="15.75" customHeight="1" x14ac:dyDescent="0.25">
      <c r="A343" s="534"/>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c r="AL343" s="271"/>
    </row>
    <row r="344" spans="1:38" ht="15.75" customHeight="1" x14ac:dyDescent="0.25">
      <c r="A344" s="534"/>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c r="AL344" s="271"/>
    </row>
    <row r="345" spans="1:38" ht="15.75" customHeight="1" x14ac:dyDescent="0.25">
      <c r="A345" s="534"/>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c r="AL345" s="271"/>
    </row>
    <row r="346" spans="1:38" ht="15.75" customHeight="1" x14ac:dyDescent="0.25">
      <c r="A346" s="534"/>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c r="AL346" s="271"/>
    </row>
    <row r="347" spans="1:38" ht="15.75" customHeight="1" x14ac:dyDescent="0.25">
      <c r="A347" s="534"/>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c r="AL347" s="271"/>
    </row>
    <row r="348" spans="1:38" ht="15.75" customHeight="1" x14ac:dyDescent="0.25">
      <c r="A348" s="534"/>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c r="AL348" s="271"/>
    </row>
    <row r="349" spans="1:38" ht="15.75" customHeight="1" x14ac:dyDescent="0.25">
      <c r="A349" s="534"/>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c r="AL349" s="271"/>
    </row>
    <row r="350" spans="1:38" ht="15.75" customHeight="1" x14ac:dyDescent="0.25">
      <c r="A350" s="534"/>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c r="AL350" s="271"/>
    </row>
    <row r="351" spans="1:38" ht="15.75" customHeight="1" x14ac:dyDescent="0.25">
      <c r="A351" s="534"/>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c r="AL351" s="271"/>
    </row>
    <row r="352" spans="1:38" ht="15.75" customHeight="1" x14ac:dyDescent="0.25">
      <c r="A352" s="534"/>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c r="AL352" s="271"/>
    </row>
    <row r="353" spans="1:38" ht="15.75" customHeight="1" x14ac:dyDescent="0.25">
      <c r="A353" s="534"/>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c r="AL353" s="271"/>
    </row>
    <row r="354" spans="1:38" ht="15.75" customHeight="1" x14ac:dyDescent="0.25">
      <c r="A354" s="534"/>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c r="AL354" s="271"/>
    </row>
    <row r="355" spans="1:38" ht="15.75" customHeight="1" x14ac:dyDescent="0.25">
      <c r="A355" s="534"/>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c r="AL355" s="271"/>
    </row>
    <row r="356" spans="1:38" ht="15.75" customHeight="1" x14ac:dyDescent="0.25">
      <c r="A356" s="534"/>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c r="AL356" s="271"/>
    </row>
    <row r="357" spans="1:38" ht="15.75" customHeight="1" x14ac:dyDescent="0.25">
      <c r="A357" s="534"/>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c r="AL357" s="271"/>
    </row>
    <row r="358" spans="1:38" ht="15.75" customHeight="1" x14ac:dyDescent="0.25">
      <c r="A358" s="534"/>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c r="AL358" s="271"/>
    </row>
    <row r="359" spans="1:38" ht="15.75" customHeight="1" x14ac:dyDescent="0.25">
      <c r="A359" s="534"/>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c r="AL359" s="271"/>
    </row>
    <row r="360" spans="1:38" ht="15.75" customHeight="1" x14ac:dyDescent="0.25">
      <c r="A360" s="534"/>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c r="AL360" s="271"/>
    </row>
    <row r="361" spans="1:38" ht="15.75" customHeight="1" x14ac:dyDescent="0.25">
      <c r="A361" s="534"/>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c r="AL361" s="271"/>
    </row>
    <row r="362" spans="1:38" ht="15.75" customHeight="1" x14ac:dyDescent="0.25">
      <c r="A362" s="534"/>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c r="AL362" s="271"/>
    </row>
    <row r="363" spans="1:38" ht="15.75" customHeight="1" x14ac:dyDescent="0.25">
      <c r="A363" s="534"/>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c r="AL363" s="271"/>
    </row>
    <row r="364" spans="1:38" ht="15.75" customHeight="1" x14ac:dyDescent="0.25">
      <c r="A364" s="534"/>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c r="AL364" s="271"/>
    </row>
    <row r="365" spans="1:38" ht="15.75" customHeight="1" x14ac:dyDescent="0.25">
      <c r="A365" s="534"/>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c r="AL365" s="271"/>
    </row>
    <row r="366" spans="1:38" ht="15.75" customHeight="1" x14ac:dyDescent="0.25">
      <c r="A366" s="534"/>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c r="AL366" s="271"/>
    </row>
    <row r="367" spans="1:38" ht="15.75" customHeight="1" x14ac:dyDescent="0.25">
      <c r="A367" s="534"/>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c r="AL367" s="271"/>
    </row>
    <row r="368" spans="1:38" ht="15.75" customHeight="1" x14ac:dyDescent="0.25">
      <c r="A368" s="534"/>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c r="AL368" s="271"/>
    </row>
    <row r="369" spans="1:38" ht="15.75" customHeight="1" x14ac:dyDescent="0.25">
      <c r="A369" s="534"/>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c r="AL369" s="271"/>
    </row>
    <row r="370" spans="1:38" ht="15.75" customHeight="1" x14ac:dyDescent="0.25">
      <c r="A370" s="534"/>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c r="AL370" s="271"/>
    </row>
    <row r="371" spans="1:38" ht="15.75" customHeight="1" x14ac:dyDescent="0.25">
      <c r="A371" s="534"/>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c r="AL371" s="271"/>
    </row>
    <row r="372" spans="1:38" ht="15.75" customHeight="1" x14ac:dyDescent="0.25">
      <c r="A372" s="534"/>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c r="AL372" s="271"/>
    </row>
    <row r="373" spans="1:38" ht="15.75" customHeight="1" x14ac:dyDescent="0.25">
      <c r="A373" s="534"/>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c r="AL373" s="271"/>
    </row>
    <row r="374" spans="1:38" ht="15.75" customHeight="1" x14ac:dyDescent="0.25">
      <c r="A374" s="534"/>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c r="AL374" s="271"/>
    </row>
    <row r="375" spans="1:38" ht="15.75" customHeight="1" x14ac:dyDescent="0.25">
      <c r="A375" s="534"/>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c r="AL375" s="271"/>
    </row>
    <row r="376" spans="1:38" ht="15.75" customHeight="1" x14ac:dyDescent="0.25">
      <c r="A376" s="534"/>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c r="AL376" s="271"/>
    </row>
    <row r="377" spans="1:38" ht="15.75" customHeight="1" x14ac:dyDescent="0.25">
      <c r="A377" s="534"/>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c r="AL377" s="271"/>
    </row>
    <row r="378" spans="1:38" ht="15.75" customHeight="1" x14ac:dyDescent="0.25">
      <c r="A378" s="534"/>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c r="AL378" s="271"/>
    </row>
    <row r="379" spans="1:38" ht="15.75" customHeight="1" x14ac:dyDescent="0.25">
      <c r="A379" s="534"/>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c r="AL379" s="271"/>
    </row>
    <row r="380" spans="1:38" ht="15.75" customHeight="1" x14ac:dyDescent="0.25">
      <c r="A380" s="534"/>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c r="AL380" s="271"/>
    </row>
    <row r="381" spans="1:38" ht="15.75" customHeight="1" x14ac:dyDescent="0.25">
      <c r="A381" s="534"/>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c r="AL381" s="271"/>
    </row>
    <row r="382" spans="1:38" ht="15.75" customHeight="1" x14ac:dyDescent="0.25">
      <c r="A382" s="534"/>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c r="AL382" s="271"/>
    </row>
    <row r="383" spans="1:38" ht="15.75" customHeight="1" x14ac:dyDescent="0.25">
      <c r="A383" s="534"/>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c r="AL383" s="271"/>
    </row>
    <row r="384" spans="1:38" ht="15.75" customHeight="1" x14ac:dyDescent="0.25">
      <c r="A384" s="534"/>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c r="AL384" s="271"/>
    </row>
    <row r="385" spans="1:38" ht="15.75" customHeight="1" x14ac:dyDescent="0.25">
      <c r="A385" s="534"/>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c r="AL385" s="271"/>
    </row>
    <row r="386" spans="1:38" ht="15.75" customHeight="1" x14ac:dyDescent="0.25">
      <c r="A386" s="534"/>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c r="AL386" s="271"/>
    </row>
    <row r="387" spans="1:38" ht="15.75" customHeight="1" x14ac:dyDescent="0.25">
      <c r="A387" s="534"/>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c r="AL387" s="271"/>
    </row>
    <row r="388" spans="1:38" ht="15.75" customHeight="1" x14ac:dyDescent="0.25">
      <c r="A388" s="534"/>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row>
    <row r="389" spans="1:38" ht="15.75" customHeight="1" x14ac:dyDescent="0.25">
      <c r="A389" s="534"/>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c r="AL389" s="271"/>
    </row>
    <row r="390" spans="1:38" ht="15.75" customHeight="1" x14ac:dyDescent="0.25">
      <c r="A390" s="534"/>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c r="AL390" s="271"/>
    </row>
    <row r="391" spans="1:38" ht="15.75" customHeight="1" x14ac:dyDescent="0.25">
      <c r="A391" s="534"/>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c r="AL391" s="271"/>
    </row>
    <row r="392" spans="1:38" ht="15.75" customHeight="1" x14ac:dyDescent="0.25">
      <c r="A392" s="534"/>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c r="AL392" s="271"/>
    </row>
    <row r="393" spans="1:38" ht="15.75" customHeight="1" x14ac:dyDescent="0.25">
      <c r="A393" s="534"/>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c r="AL393" s="271"/>
    </row>
    <row r="394" spans="1:38" ht="15.75" customHeight="1" x14ac:dyDescent="0.25">
      <c r="A394" s="534"/>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c r="AL394" s="271"/>
    </row>
    <row r="395" spans="1:38" ht="15.75" customHeight="1" x14ac:dyDescent="0.25">
      <c r="A395" s="534"/>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c r="AL395" s="271"/>
    </row>
    <row r="396" spans="1:38" ht="15.75" customHeight="1" x14ac:dyDescent="0.25">
      <c r="A396" s="534"/>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c r="AL396" s="271"/>
    </row>
    <row r="397" spans="1:38" ht="15.75" customHeight="1" x14ac:dyDescent="0.25">
      <c r="A397" s="534"/>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c r="AL397" s="271"/>
    </row>
    <row r="398" spans="1:38" ht="15.75" customHeight="1" x14ac:dyDescent="0.25">
      <c r="A398" s="534"/>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c r="AL398" s="271"/>
    </row>
    <row r="399" spans="1:38" ht="15.75" customHeight="1" x14ac:dyDescent="0.25">
      <c r="A399" s="534"/>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c r="AL399" s="271"/>
    </row>
    <row r="400" spans="1:38" ht="15.75" customHeight="1" x14ac:dyDescent="0.25">
      <c r="A400" s="534"/>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c r="AL400" s="271"/>
    </row>
    <row r="401" spans="1:38" ht="15.75" customHeight="1" x14ac:dyDescent="0.25">
      <c r="A401" s="534"/>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c r="AL401" s="271"/>
    </row>
    <row r="402" spans="1:38" ht="15.75" customHeight="1" x14ac:dyDescent="0.25">
      <c r="A402" s="534"/>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c r="AL402" s="271"/>
    </row>
    <row r="403" spans="1:38" ht="15.75" customHeight="1" x14ac:dyDescent="0.25">
      <c r="A403" s="534"/>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c r="AL403" s="271"/>
    </row>
    <row r="404" spans="1:38" ht="15.75" customHeight="1" x14ac:dyDescent="0.25">
      <c r="A404" s="534"/>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c r="AL404" s="271"/>
    </row>
    <row r="405" spans="1:38" ht="15.75" customHeight="1" x14ac:dyDescent="0.25">
      <c r="A405" s="534"/>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c r="AL405" s="271"/>
    </row>
    <row r="406" spans="1:38" ht="15.75" customHeight="1" x14ac:dyDescent="0.25">
      <c r="A406" s="534"/>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c r="AL406" s="271"/>
    </row>
    <row r="407" spans="1:38" ht="15.75" customHeight="1" x14ac:dyDescent="0.25">
      <c r="A407" s="534"/>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c r="AL407" s="271"/>
    </row>
    <row r="408" spans="1:38" ht="15.75" customHeight="1" x14ac:dyDescent="0.25">
      <c r="A408" s="534"/>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c r="AL408" s="271"/>
    </row>
    <row r="409" spans="1:38" ht="15.75" customHeight="1" x14ac:dyDescent="0.25">
      <c r="A409" s="534"/>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c r="AL409" s="271"/>
    </row>
    <row r="410" spans="1:38" ht="15.75" customHeight="1" x14ac:dyDescent="0.25">
      <c r="A410" s="534"/>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c r="AL410" s="271"/>
    </row>
    <row r="411" spans="1:38" ht="15.75" customHeight="1" x14ac:dyDescent="0.25">
      <c r="A411" s="534"/>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c r="AL411" s="271"/>
    </row>
    <row r="412" spans="1:38" ht="15.75" customHeight="1" x14ac:dyDescent="0.25">
      <c r="A412" s="534"/>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c r="AL412" s="271"/>
    </row>
    <row r="413" spans="1:38" ht="15.75" customHeight="1" x14ac:dyDescent="0.25">
      <c r="A413" s="534"/>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c r="AL413" s="271"/>
    </row>
    <row r="414" spans="1:38" ht="15.75" customHeight="1" x14ac:dyDescent="0.25">
      <c r="A414" s="534"/>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c r="AL414" s="271"/>
    </row>
    <row r="415" spans="1:38" ht="15.75" customHeight="1" x14ac:dyDescent="0.25">
      <c r="A415" s="534"/>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c r="AL415" s="271"/>
    </row>
    <row r="416" spans="1:38" ht="15.75" customHeight="1" x14ac:dyDescent="0.25">
      <c r="A416" s="534"/>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c r="AL416" s="271"/>
    </row>
    <row r="417" spans="1:38" ht="15.75" customHeight="1" x14ac:dyDescent="0.25">
      <c r="A417" s="534"/>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c r="AL417" s="271"/>
    </row>
    <row r="418" spans="1:38" ht="15.75" customHeight="1" x14ac:dyDescent="0.25">
      <c r="A418" s="534"/>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c r="AL418" s="271"/>
    </row>
    <row r="419" spans="1:38" ht="15.75" customHeight="1" x14ac:dyDescent="0.25">
      <c r="A419" s="534"/>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c r="AL419" s="271"/>
    </row>
    <row r="420" spans="1:38" ht="15.75" customHeight="1" x14ac:dyDescent="0.25">
      <c r="A420" s="534"/>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c r="AL420" s="271"/>
    </row>
    <row r="421" spans="1:38" ht="15.75" customHeight="1" x14ac:dyDescent="0.25">
      <c r="A421" s="534"/>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c r="AL421" s="271"/>
    </row>
    <row r="422" spans="1:38" ht="15.75" customHeight="1" x14ac:dyDescent="0.25">
      <c r="A422" s="534"/>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c r="AL422" s="271"/>
    </row>
    <row r="423" spans="1:38" ht="15.75" customHeight="1" x14ac:dyDescent="0.25">
      <c r="A423" s="534"/>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c r="AL423" s="271"/>
    </row>
    <row r="424" spans="1:38" ht="15.75" customHeight="1" x14ac:dyDescent="0.25">
      <c r="A424" s="534"/>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c r="AL424" s="271"/>
    </row>
    <row r="425" spans="1:38" ht="15.75" customHeight="1" x14ac:dyDescent="0.25">
      <c r="A425" s="534"/>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c r="AL425" s="271"/>
    </row>
    <row r="426" spans="1:38" ht="15.75" customHeight="1" x14ac:dyDescent="0.25">
      <c r="A426" s="534"/>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c r="AL426" s="271"/>
    </row>
    <row r="427" spans="1:38" ht="15.75" customHeight="1" x14ac:dyDescent="0.25">
      <c r="A427" s="534"/>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c r="AL427" s="271"/>
    </row>
    <row r="428" spans="1:38" ht="15.75" customHeight="1" x14ac:dyDescent="0.25">
      <c r="A428" s="534"/>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c r="AL428" s="271"/>
    </row>
    <row r="429" spans="1:38" ht="15.75" customHeight="1" x14ac:dyDescent="0.25">
      <c r="A429" s="534"/>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c r="AL429" s="271"/>
    </row>
    <row r="430" spans="1:38" ht="15.75" customHeight="1" x14ac:dyDescent="0.25">
      <c r="A430" s="534"/>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c r="AL430" s="271"/>
    </row>
    <row r="431" spans="1:38" ht="15.75" customHeight="1" x14ac:dyDescent="0.25">
      <c r="A431" s="534"/>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c r="AL431" s="271"/>
    </row>
    <row r="432" spans="1:38" ht="15.75" customHeight="1" x14ac:dyDescent="0.25">
      <c r="A432" s="534"/>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c r="AL432" s="271"/>
    </row>
    <row r="433" spans="1:38" ht="15.75" customHeight="1" x14ac:dyDescent="0.25">
      <c r="A433" s="534"/>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c r="AL433" s="271"/>
    </row>
    <row r="434" spans="1:38" ht="15.75" customHeight="1" x14ac:dyDescent="0.25">
      <c r="A434" s="534"/>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row>
    <row r="435" spans="1:38" ht="15.75" customHeight="1" x14ac:dyDescent="0.25">
      <c r="A435" s="534"/>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c r="AL435" s="271"/>
    </row>
    <row r="436" spans="1:38" ht="15.75" customHeight="1" x14ac:dyDescent="0.25">
      <c r="A436" s="534"/>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c r="AL436" s="271"/>
    </row>
    <row r="437" spans="1:38" ht="15.75" customHeight="1" x14ac:dyDescent="0.25">
      <c r="A437" s="534"/>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c r="AL437" s="271"/>
    </row>
    <row r="438" spans="1:38" ht="15.75" customHeight="1" x14ac:dyDescent="0.25">
      <c r="A438" s="534"/>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c r="AL438" s="271"/>
    </row>
    <row r="439" spans="1:38" ht="15.75" customHeight="1" x14ac:dyDescent="0.25">
      <c r="A439" s="534"/>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c r="AL439" s="271"/>
    </row>
    <row r="440" spans="1:38" ht="15.75" customHeight="1" x14ac:dyDescent="0.25">
      <c r="A440" s="534"/>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c r="AL440" s="271"/>
    </row>
    <row r="441" spans="1:38" ht="15.75" customHeight="1" x14ac:dyDescent="0.25">
      <c r="A441" s="534"/>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c r="AL441" s="271"/>
    </row>
    <row r="442" spans="1:38" ht="15.75" customHeight="1" x14ac:dyDescent="0.25">
      <c r="A442" s="534"/>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c r="AL442" s="271"/>
    </row>
    <row r="443" spans="1:38" ht="15.75" customHeight="1" x14ac:dyDescent="0.25">
      <c r="A443" s="534"/>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c r="AL443" s="271"/>
    </row>
    <row r="444" spans="1:38" ht="15.75" customHeight="1" x14ac:dyDescent="0.25">
      <c r="A444" s="534"/>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c r="AL444" s="271"/>
    </row>
    <row r="445" spans="1:38" ht="15.75" customHeight="1" x14ac:dyDescent="0.25">
      <c r="A445" s="534"/>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c r="AL445" s="271"/>
    </row>
    <row r="446" spans="1:38" ht="15.75" customHeight="1" x14ac:dyDescent="0.25">
      <c r="A446" s="534"/>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c r="AL446" s="271"/>
    </row>
    <row r="447" spans="1:38" ht="15.75" customHeight="1" x14ac:dyDescent="0.25">
      <c r="A447" s="534"/>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c r="AL447" s="271"/>
    </row>
    <row r="448" spans="1:38" ht="15.75" customHeight="1" x14ac:dyDescent="0.25">
      <c r="A448" s="534"/>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c r="AL448" s="271"/>
    </row>
    <row r="449" spans="1:38" ht="15.75" customHeight="1" x14ac:dyDescent="0.25">
      <c r="A449" s="534"/>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c r="AL449" s="271"/>
    </row>
    <row r="450" spans="1:38" ht="15.75" customHeight="1" x14ac:dyDescent="0.25">
      <c r="A450" s="534"/>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row>
    <row r="451" spans="1:38" ht="15.75" customHeight="1" x14ac:dyDescent="0.25">
      <c r="A451" s="534"/>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c r="AL451" s="271"/>
    </row>
    <row r="452" spans="1:38" ht="15.75" customHeight="1" x14ac:dyDescent="0.25">
      <c r="A452" s="534"/>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c r="AL452" s="271"/>
    </row>
    <row r="453" spans="1:38" ht="15.75" customHeight="1" x14ac:dyDescent="0.25">
      <c r="A453" s="534"/>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c r="AL453" s="271"/>
    </row>
    <row r="454" spans="1:38" ht="15.75" customHeight="1" x14ac:dyDescent="0.25">
      <c r="A454" s="534"/>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c r="AL454" s="271"/>
    </row>
    <row r="455" spans="1:38" ht="15.75" customHeight="1" x14ac:dyDescent="0.25">
      <c r="A455" s="534"/>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c r="AL455" s="271"/>
    </row>
    <row r="456" spans="1:38" ht="15.75" customHeight="1" x14ac:dyDescent="0.25">
      <c r="A456" s="534"/>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c r="AL456" s="271"/>
    </row>
    <row r="457" spans="1:38" ht="15.75" customHeight="1" x14ac:dyDescent="0.25">
      <c r="A457" s="534"/>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c r="AL457" s="271"/>
    </row>
    <row r="458" spans="1:38" ht="15.75" customHeight="1" x14ac:dyDescent="0.25">
      <c r="A458" s="534"/>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c r="AL458" s="271"/>
    </row>
    <row r="459" spans="1:38" ht="15.75" customHeight="1" x14ac:dyDescent="0.25">
      <c r="A459" s="534"/>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c r="AL459" s="271"/>
    </row>
    <row r="460" spans="1:38" ht="15.75" customHeight="1" x14ac:dyDescent="0.25">
      <c r="A460" s="534"/>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c r="AL460" s="271"/>
    </row>
    <row r="461" spans="1:38" ht="15.75" customHeight="1" x14ac:dyDescent="0.25">
      <c r="A461" s="534"/>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c r="AL461" s="271"/>
    </row>
    <row r="462" spans="1:38" ht="15.75" customHeight="1" x14ac:dyDescent="0.25">
      <c r="A462" s="534"/>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c r="AL462" s="271"/>
    </row>
    <row r="463" spans="1:38" ht="15.75" customHeight="1" x14ac:dyDescent="0.25">
      <c r="A463" s="534"/>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c r="AL463" s="271"/>
    </row>
    <row r="464" spans="1:38" ht="15.75" customHeight="1" x14ac:dyDescent="0.25">
      <c r="A464" s="534"/>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c r="AL464" s="271"/>
    </row>
    <row r="465" spans="1:38" ht="15.75" customHeight="1" x14ac:dyDescent="0.25">
      <c r="A465" s="534"/>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c r="AL465" s="271"/>
    </row>
    <row r="466" spans="1:38" ht="15.75" customHeight="1" x14ac:dyDescent="0.25">
      <c r="A466" s="534"/>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c r="AL466" s="271"/>
    </row>
    <row r="467" spans="1:38" ht="15.75" customHeight="1" x14ac:dyDescent="0.25">
      <c r="A467" s="534"/>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c r="AL467" s="271"/>
    </row>
    <row r="468" spans="1:38" ht="15.75" customHeight="1" x14ac:dyDescent="0.25">
      <c r="A468" s="534"/>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c r="AL468" s="271"/>
    </row>
    <row r="469" spans="1:38" ht="15.75" customHeight="1" x14ac:dyDescent="0.25">
      <c r="A469" s="534"/>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c r="AL469" s="271"/>
    </row>
    <row r="470" spans="1:38" ht="15.75" customHeight="1" x14ac:dyDescent="0.25">
      <c r="A470" s="534"/>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c r="AL470" s="271"/>
    </row>
    <row r="471" spans="1:38" ht="15.75" customHeight="1" x14ac:dyDescent="0.25">
      <c r="A471" s="534"/>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c r="AL471" s="271"/>
    </row>
    <row r="472" spans="1:38" ht="15.75" customHeight="1" x14ac:dyDescent="0.25">
      <c r="A472" s="534"/>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c r="AL472" s="271"/>
    </row>
    <row r="473" spans="1:38" ht="15.75" customHeight="1" x14ac:dyDescent="0.25">
      <c r="A473" s="534"/>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c r="AL473" s="271"/>
    </row>
    <row r="474" spans="1:38" ht="15.75" customHeight="1" x14ac:dyDescent="0.25">
      <c r="A474" s="534"/>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c r="AL474" s="271"/>
    </row>
    <row r="475" spans="1:38" ht="15.75" customHeight="1" x14ac:dyDescent="0.25">
      <c r="A475" s="534"/>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c r="AL475" s="271"/>
    </row>
    <row r="476" spans="1:38" ht="15.75" customHeight="1" x14ac:dyDescent="0.25">
      <c r="A476" s="534"/>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c r="AL476" s="271"/>
    </row>
    <row r="477" spans="1:38" ht="15.75" customHeight="1" x14ac:dyDescent="0.25">
      <c r="A477" s="534"/>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c r="AL477" s="271"/>
    </row>
    <row r="478" spans="1:38" ht="15.75" customHeight="1" x14ac:dyDescent="0.25">
      <c r="A478" s="534"/>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c r="AL478" s="271"/>
    </row>
    <row r="479" spans="1:38" ht="15.75" customHeight="1" x14ac:dyDescent="0.25">
      <c r="A479" s="534"/>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c r="AL479" s="271"/>
    </row>
    <row r="480" spans="1:38" ht="15.75" customHeight="1" x14ac:dyDescent="0.25">
      <c r="A480" s="534"/>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c r="AL480" s="271"/>
    </row>
    <row r="481" spans="1:38" ht="15.75" customHeight="1" x14ac:dyDescent="0.25">
      <c r="A481" s="534"/>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c r="AL481" s="271"/>
    </row>
    <row r="482" spans="1:38" ht="15.75" customHeight="1" x14ac:dyDescent="0.25">
      <c r="A482" s="534"/>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c r="AL482" s="271"/>
    </row>
    <row r="483" spans="1:38" ht="15.75" customHeight="1" x14ac:dyDescent="0.25">
      <c r="A483" s="534"/>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c r="AL483" s="271"/>
    </row>
    <row r="484" spans="1:38" ht="15.75" customHeight="1" x14ac:dyDescent="0.25">
      <c r="A484" s="534"/>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c r="AL484" s="271"/>
    </row>
    <row r="485" spans="1:38" ht="15.75" customHeight="1" x14ac:dyDescent="0.25">
      <c r="A485" s="534"/>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c r="AL485" s="271"/>
    </row>
    <row r="486" spans="1:38" ht="15.75" customHeight="1" x14ac:dyDescent="0.25">
      <c r="A486" s="534"/>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c r="AL486" s="271"/>
    </row>
    <row r="487" spans="1:38" ht="15.75" customHeight="1" x14ac:dyDescent="0.25">
      <c r="A487" s="534"/>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c r="AL487" s="271"/>
    </row>
    <row r="488" spans="1:38" ht="15.75" customHeight="1" x14ac:dyDescent="0.25">
      <c r="A488" s="534"/>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c r="AL488" s="271"/>
    </row>
    <row r="489" spans="1:38" ht="15.75" customHeight="1" x14ac:dyDescent="0.25">
      <c r="A489" s="534"/>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c r="AL489" s="271"/>
    </row>
    <row r="490" spans="1:38" ht="15.75" customHeight="1" x14ac:dyDescent="0.25">
      <c r="A490" s="534"/>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c r="AL490" s="271"/>
    </row>
    <row r="491" spans="1:38" ht="15.75" customHeight="1" x14ac:dyDescent="0.25">
      <c r="A491" s="534"/>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c r="AL491" s="271"/>
    </row>
    <row r="492" spans="1:38" ht="15.75" customHeight="1" x14ac:dyDescent="0.25">
      <c r="A492" s="534"/>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c r="AL492" s="271"/>
    </row>
    <row r="493" spans="1:38" ht="15.75" customHeight="1" x14ac:dyDescent="0.25">
      <c r="A493" s="534"/>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row>
    <row r="494" spans="1:38" ht="15.75" customHeight="1" x14ac:dyDescent="0.25">
      <c r="A494" s="534"/>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c r="AL494" s="271"/>
    </row>
    <row r="495" spans="1:38" ht="15.75" customHeight="1" x14ac:dyDescent="0.25">
      <c r="A495" s="534"/>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c r="AL495" s="271"/>
    </row>
    <row r="496" spans="1:38" ht="15.75" customHeight="1" x14ac:dyDescent="0.25">
      <c r="A496" s="534"/>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c r="AL496" s="271"/>
    </row>
    <row r="497" spans="1:38" ht="15.75" customHeight="1" x14ac:dyDescent="0.25">
      <c r="A497" s="534"/>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c r="AL497" s="271"/>
    </row>
    <row r="498" spans="1:38" ht="15.75" customHeight="1" x14ac:dyDescent="0.25">
      <c r="A498" s="534"/>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c r="AL498" s="271"/>
    </row>
    <row r="499" spans="1:38" ht="15.75" customHeight="1" x14ac:dyDescent="0.25">
      <c r="A499" s="534"/>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c r="AL499" s="271"/>
    </row>
    <row r="500" spans="1:38" ht="15.75" customHeight="1" x14ac:dyDescent="0.25">
      <c r="A500" s="534"/>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c r="AL500" s="271"/>
    </row>
    <row r="501" spans="1:38" ht="15.75" customHeight="1" x14ac:dyDescent="0.25">
      <c r="A501" s="534"/>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c r="AL501" s="271"/>
    </row>
    <row r="502" spans="1:38" ht="15.75" customHeight="1" x14ac:dyDescent="0.25">
      <c r="A502" s="534"/>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c r="AL502" s="271"/>
    </row>
    <row r="503" spans="1:38" ht="15.75" customHeight="1" x14ac:dyDescent="0.25">
      <c r="A503" s="534"/>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c r="AL503" s="271"/>
    </row>
    <row r="504" spans="1:38" ht="15.75" customHeight="1" x14ac:dyDescent="0.25">
      <c r="A504" s="534"/>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c r="AL504" s="271"/>
    </row>
    <row r="505" spans="1:38" ht="15.75" customHeight="1" x14ac:dyDescent="0.25">
      <c r="A505" s="534"/>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c r="AL505" s="271"/>
    </row>
    <row r="506" spans="1:38" ht="15.75" customHeight="1" x14ac:dyDescent="0.25">
      <c r="A506" s="534"/>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c r="AL506" s="271"/>
    </row>
    <row r="507" spans="1:38" ht="15.75" customHeight="1" x14ac:dyDescent="0.25">
      <c r="A507" s="534"/>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c r="AL507" s="271"/>
    </row>
    <row r="508" spans="1:38" ht="15.75" customHeight="1" x14ac:dyDescent="0.25">
      <c r="A508" s="534"/>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c r="AL508" s="271"/>
    </row>
    <row r="509" spans="1:38" ht="15.75" customHeight="1" x14ac:dyDescent="0.25">
      <c r="A509" s="534"/>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c r="AL509" s="271"/>
    </row>
    <row r="510" spans="1:38" ht="15.75" customHeight="1" x14ac:dyDescent="0.25">
      <c r="A510" s="534"/>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c r="AL510" s="271"/>
    </row>
    <row r="511" spans="1:38" ht="15.75" customHeight="1" x14ac:dyDescent="0.25">
      <c r="A511" s="534"/>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c r="AL511" s="271"/>
    </row>
    <row r="512" spans="1:38" ht="15.75" customHeight="1" x14ac:dyDescent="0.25">
      <c r="A512" s="534"/>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c r="AL512" s="271"/>
    </row>
    <row r="513" spans="1:38" ht="15.75" customHeight="1" x14ac:dyDescent="0.25">
      <c r="A513" s="534"/>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c r="AL513" s="271"/>
    </row>
    <row r="514" spans="1:38" ht="15.75" customHeight="1" x14ac:dyDescent="0.25">
      <c r="A514" s="534"/>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c r="AL514" s="271"/>
    </row>
    <row r="515" spans="1:38" ht="15.75" customHeight="1" x14ac:dyDescent="0.25">
      <c r="A515" s="534"/>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c r="AL515" s="271"/>
    </row>
    <row r="516" spans="1:38" ht="15.75" customHeight="1" x14ac:dyDescent="0.25">
      <c r="A516" s="534"/>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c r="AL516" s="271"/>
    </row>
    <row r="517" spans="1:38" ht="15.75" customHeight="1" x14ac:dyDescent="0.25">
      <c r="A517" s="534"/>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c r="AL517" s="271"/>
    </row>
    <row r="518" spans="1:38" ht="15.75" customHeight="1" x14ac:dyDescent="0.25">
      <c r="A518" s="534"/>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c r="AL518" s="271"/>
    </row>
    <row r="519" spans="1:38" ht="15.75" customHeight="1" x14ac:dyDescent="0.25">
      <c r="A519" s="534"/>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c r="AL519" s="271"/>
    </row>
    <row r="520" spans="1:38" ht="15.75" customHeight="1" x14ac:dyDescent="0.25">
      <c r="A520" s="534"/>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c r="AL520" s="271"/>
    </row>
    <row r="521" spans="1:38" ht="15.75" customHeight="1" x14ac:dyDescent="0.25">
      <c r="A521" s="534"/>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c r="AL521" s="271"/>
    </row>
    <row r="522" spans="1:38" ht="15.75" customHeight="1" x14ac:dyDescent="0.25">
      <c r="A522" s="534"/>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c r="AL522" s="271"/>
    </row>
    <row r="523" spans="1:38" ht="15.75" customHeight="1" x14ac:dyDescent="0.25">
      <c r="A523" s="534"/>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c r="AL523" s="271"/>
    </row>
    <row r="524" spans="1:38" ht="15.75" customHeight="1" x14ac:dyDescent="0.25">
      <c r="A524" s="534"/>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c r="AL524" s="271"/>
    </row>
    <row r="525" spans="1:38" ht="15.75" customHeight="1" x14ac:dyDescent="0.25">
      <c r="A525" s="534"/>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c r="AL525" s="271"/>
    </row>
    <row r="526" spans="1:38" ht="15.75" customHeight="1" x14ac:dyDescent="0.25">
      <c r="A526" s="534"/>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c r="AL526" s="271"/>
    </row>
    <row r="527" spans="1:38" ht="15.75" customHeight="1" x14ac:dyDescent="0.25">
      <c r="A527" s="534"/>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c r="AL527" s="271"/>
    </row>
    <row r="528" spans="1:38" ht="15.75" customHeight="1" x14ac:dyDescent="0.25">
      <c r="A528" s="534"/>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c r="AL528" s="271"/>
    </row>
    <row r="529" spans="1:38" ht="15.75" customHeight="1" x14ac:dyDescent="0.25">
      <c r="A529" s="534"/>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c r="AL529" s="271"/>
    </row>
    <row r="530" spans="1:38" ht="15.75" customHeight="1" x14ac:dyDescent="0.25">
      <c r="A530" s="534"/>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c r="AL530" s="271"/>
    </row>
    <row r="531" spans="1:38" ht="15.75" customHeight="1" x14ac:dyDescent="0.25">
      <c r="A531" s="534"/>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c r="AL531" s="271"/>
    </row>
    <row r="532" spans="1:38" ht="15.75" customHeight="1" x14ac:dyDescent="0.25">
      <c r="A532" s="534"/>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c r="AL532" s="271"/>
    </row>
    <row r="533" spans="1:38" ht="15.75" customHeight="1" x14ac:dyDescent="0.25">
      <c r="A533" s="534"/>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c r="AL533" s="271"/>
    </row>
    <row r="534" spans="1:38" ht="15.75" customHeight="1" x14ac:dyDescent="0.25">
      <c r="A534" s="534"/>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c r="AL534" s="271"/>
    </row>
    <row r="535" spans="1:38" ht="15.75" customHeight="1" x14ac:dyDescent="0.25">
      <c r="A535" s="534"/>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c r="AL535" s="271"/>
    </row>
    <row r="536" spans="1:38" ht="15.75" customHeight="1" x14ac:dyDescent="0.25">
      <c r="A536" s="534"/>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c r="AL536" s="271"/>
    </row>
    <row r="537" spans="1:38" ht="15.75" customHeight="1" x14ac:dyDescent="0.25">
      <c r="A537" s="534"/>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c r="AL537" s="271"/>
    </row>
    <row r="538" spans="1:38" ht="15.75" customHeight="1" x14ac:dyDescent="0.25">
      <c r="A538" s="534"/>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c r="AL538" s="271"/>
    </row>
    <row r="539" spans="1:38" ht="15.75" customHeight="1" x14ac:dyDescent="0.25">
      <c r="A539" s="534"/>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c r="AL539" s="271"/>
    </row>
    <row r="540" spans="1:38" ht="15.75" customHeight="1" x14ac:dyDescent="0.25">
      <c r="A540" s="534"/>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c r="AL540" s="271"/>
    </row>
    <row r="541" spans="1:38" ht="15.75" customHeight="1" x14ac:dyDescent="0.25">
      <c r="A541" s="534"/>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c r="AL541" s="271"/>
    </row>
    <row r="542" spans="1:38" ht="15.75" customHeight="1" x14ac:dyDescent="0.25">
      <c r="A542" s="534"/>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c r="AL542" s="271"/>
    </row>
    <row r="543" spans="1:38" ht="15.75" customHeight="1" x14ac:dyDescent="0.25">
      <c r="A543" s="534"/>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c r="AL543" s="271"/>
    </row>
    <row r="544" spans="1:38" ht="15.75" customHeight="1" x14ac:dyDescent="0.25">
      <c r="A544" s="534"/>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c r="AL544" s="271"/>
    </row>
    <row r="545" spans="1:38" ht="15.75" customHeight="1" x14ac:dyDescent="0.25">
      <c r="A545" s="534"/>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c r="AL545" s="271"/>
    </row>
    <row r="546" spans="1:38" ht="15.75" customHeight="1" x14ac:dyDescent="0.25">
      <c r="A546" s="534"/>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c r="AL546" s="271"/>
    </row>
    <row r="547" spans="1:38" ht="15.75" customHeight="1" x14ac:dyDescent="0.25">
      <c r="A547" s="534"/>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c r="AL547" s="271"/>
    </row>
    <row r="548" spans="1:38" ht="15.75" customHeight="1" x14ac:dyDescent="0.25">
      <c r="A548" s="534"/>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c r="AL548" s="271"/>
    </row>
    <row r="549" spans="1:38" ht="15.75" customHeight="1" x14ac:dyDescent="0.25">
      <c r="A549" s="534"/>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c r="AL549" s="271"/>
    </row>
    <row r="550" spans="1:38" ht="15.75" customHeight="1" x14ac:dyDescent="0.25">
      <c r="A550" s="534"/>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c r="AL550" s="271"/>
    </row>
    <row r="551" spans="1:38" ht="15.75" customHeight="1" x14ac:dyDescent="0.25">
      <c r="A551" s="534"/>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c r="AL551" s="271"/>
    </row>
    <row r="552" spans="1:38" ht="15.75" customHeight="1" x14ac:dyDescent="0.25">
      <c r="A552" s="534"/>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c r="AL552" s="271"/>
    </row>
    <row r="553" spans="1:38" ht="15.75" customHeight="1" x14ac:dyDescent="0.25">
      <c r="A553" s="534"/>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c r="AL553" s="271"/>
    </row>
    <row r="554" spans="1:38" ht="15.75" customHeight="1" x14ac:dyDescent="0.25">
      <c r="A554" s="534"/>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c r="AL554" s="271"/>
    </row>
    <row r="555" spans="1:38" ht="15.75" customHeight="1" x14ac:dyDescent="0.25">
      <c r="A555" s="534"/>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c r="AL555" s="271"/>
    </row>
    <row r="556" spans="1:38" ht="15.75" customHeight="1" x14ac:dyDescent="0.25">
      <c r="A556" s="534"/>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c r="AL556" s="271"/>
    </row>
    <row r="557" spans="1:38" ht="15.75" customHeight="1" x14ac:dyDescent="0.25">
      <c r="A557" s="534"/>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c r="AL557" s="271"/>
    </row>
    <row r="558" spans="1:38" ht="15.75" customHeight="1" x14ac:dyDescent="0.25">
      <c r="A558" s="534"/>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c r="AL558" s="271"/>
    </row>
    <row r="559" spans="1:38" ht="15.75" customHeight="1" x14ac:dyDescent="0.25">
      <c r="A559" s="534"/>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c r="AL559" s="271"/>
    </row>
    <row r="560" spans="1:38" ht="15.75" customHeight="1" x14ac:dyDescent="0.25">
      <c r="A560" s="534"/>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c r="AL560" s="271"/>
    </row>
    <row r="561" spans="1:38" ht="15.75" customHeight="1" x14ac:dyDescent="0.25">
      <c r="A561" s="534"/>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c r="AL561" s="271"/>
    </row>
    <row r="562" spans="1:38" ht="15.75" customHeight="1" x14ac:dyDescent="0.25">
      <c r="A562" s="534"/>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c r="AL562" s="271"/>
    </row>
    <row r="563" spans="1:38" ht="15.75" customHeight="1" x14ac:dyDescent="0.25">
      <c r="A563" s="534"/>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c r="AL563" s="271"/>
    </row>
    <row r="564" spans="1:38" ht="15.75" customHeight="1" x14ac:dyDescent="0.25">
      <c r="A564" s="534"/>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c r="AL564" s="271"/>
    </row>
    <row r="565" spans="1:38" ht="15.75" customHeight="1" x14ac:dyDescent="0.25">
      <c r="A565" s="534"/>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c r="AL565" s="271"/>
    </row>
    <row r="566" spans="1:38" ht="15.75" customHeight="1" x14ac:dyDescent="0.25">
      <c r="A566" s="534"/>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c r="AL566" s="271"/>
    </row>
    <row r="567" spans="1:38" ht="15.75" customHeight="1" x14ac:dyDescent="0.25">
      <c r="A567" s="534"/>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c r="AL567" s="271"/>
    </row>
    <row r="568" spans="1:38" ht="15.75" customHeight="1" x14ac:dyDescent="0.25">
      <c r="A568" s="534"/>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c r="AL568" s="271"/>
    </row>
    <row r="569" spans="1:38" ht="15.75" customHeight="1" x14ac:dyDescent="0.25">
      <c r="A569" s="534"/>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c r="AL569" s="271"/>
    </row>
    <row r="570" spans="1:38" ht="15.75" customHeight="1" x14ac:dyDescent="0.25">
      <c r="A570" s="534"/>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c r="AL570" s="271"/>
    </row>
    <row r="571" spans="1:38" ht="15.75" customHeight="1" x14ac:dyDescent="0.25">
      <c r="A571" s="534"/>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c r="AL571" s="271"/>
    </row>
    <row r="572" spans="1:38" ht="15.75" customHeight="1" x14ac:dyDescent="0.25">
      <c r="A572" s="534"/>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c r="AL572" s="271"/>
    </row>
    <row r="573" spans="1:38" ht="15.75" customHeight="1" x14ac:dyDescent="0.25">
      <c r="A573" s="534"/>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c r="AL573" s="271"/>
    </row>
    <row r="574" spans="1:38" ht="15.75" customHeight="1" x14ac:dyDescent="0.25">
      <c r="A574" s="534"/>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c r="AL574" s="271"/>
    </row>
    <row r="575" spans="1:38" ht="15.75" customHeight="1" x14ac:dyDescent="0.25">
      <c r="A575" s="534"/>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c r="AL575" s="271"/>
    </row>
    <row r="576" spans="1:38" ht="15.75" customHeight="1" x14ac:dyDescent="0.25">
      <c r="A576" s="534"/>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c r="AL576" s="271"/>
    </row>
    <row r="577" spans="1:38" ht="15.75" customHeight="1" x14ac:dyDescent="0.25">
      <c r="A577" s="534"/>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c r="AL577" s="271"/>
    </row>
    <row r="578" spans="1:38" ht="15.75" customHeight="1" x14ac:dyDescent="0.25">
      <c r="A578" s="534"/>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c r="AL578" s="271"/>
    </row>
    <row r="579" spans="1:38" ht="15.75" customHeight="1" x14ac:dyDescent="0.25">
      <c r="A579" s="534"/>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c r="AL579" s="271"/>
    </row>
    <row r="580" spans="1:38" ht="15.75" customHeight="1" x14ac:dyDescent="0.25">
      <c r="A580" s="534"/>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c r="AL580" s="271"/>
    </row>
    <row r="581" spans="1:38" ht="15.75" customHeight="1" x14ac:dyDescent="0.25">
      <c r="A581" s="534"/>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c r="AL581" s="271"/>
    </row>
    <row r="582" spans="1:38" ht="15.75" customHeight="1" x14ac:dyDescent="0.25">
      <c r="A582" s="534"/>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c r="AL582" s="271"/>
    </row>
    <row r="583" spans="1:38" ht="15.75" customHeight="1" x14ac:dyDescent="0.25">
      <c r="A583" s="534"/>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c r="AL583" s="271"/>
    </row>
    <row r="584" spans="1:38" ht="15.75" customHeight="1" x14ac:dyDescent="0.25">
      <c r="A584" s="534"/>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c r="AL584" s="271"/>
    </row>
    <row r="585" spans="1:38" ht="15.75" customHeight="1" x14ac:dyDescent="0.25">
      <c r="A585" s="534"/>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c r="AL585" s="271"/>
    </row>
    <row r="586" spans="1:38" ht="15.75" customHeight="1" x14ac:dyDescent="0.25">
      <c r="A586" s="534"/>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c r="AL586" s="271"/>
    </row>
    <row r="587" spans="1:38" ht="15.75" customHeight="1" x14ac:dyDescent="0.25">
      <c r="A587" s="534"/>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c r="AL587" s="271"/>
    </row>
    <row r="588" spans="1:38" ht="15.75" customHeight="1" x14ac:dyDescent="0.25">
      <c r="A588" s="534"/>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c r="AL588" s="271"/>
    </row>
    <row r="589" spans="1:38" ht="15.75" customHeight="1" x14ac:dyDescent="0.25">
      <c r="A589" s="534"/>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c r="AL589" s="271"/>
    </row>
    <row r="590" spans="1:38" ht="15.75" customHeight="1" x14ac:dyDescent="0.25">
      <c r="A590" s="534"/>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c r="AL590" s="271"/>
    </row>
    <row r="591" spans="1:38" ht="15.75" customHeight="1" x14ac:dyDescent="0.25">
      <c r="A591" s="534"/>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c r="AL591" s="271"/>
    </row>
    <row r="592" spans="1:38" ht="15.75" customHeight="1" x14ac:dyDescent="0.25">
      <c r="A592" s="534"/>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c r="AL592" s="271"/>
    </row>
    <row r="593" spans="1:38" ht="15.75" customHeight="1" x14ac:dyDescent="0.25">
      <c r="A593" s="534"/>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c r="AL593" s="271"/>
    </row>
    <row r="594" spans="1:38" ht="15.75" customHeight="1" x14ac:dyDescent="0.25">
      <c r="A594" s="534"/>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c r="AL594" s="271"/>
    </row>
    <row r="595" spans="1:38" ht="15.75" customHeight="1" x14ac:dyDescent="0.25">
      <c r="A595" s="534"/>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c r="AL595" s="271"/>
    </row>
    <row r="596" spans="1:38" ht="15.75" customHeight="1" x14ac:dyDescent="0.25">
      <c r="A596" s="534"/>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c r="AL596" s="271"/>
    </row>
    <row r="597" spans="1:38" ht="15.75" customHeight="1" x14ac:dyDescent="0.25">
      <c r="A597" s="534"/>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c r="AL597" s="271"/>
    </row>
    <row r="598" spans="1:38" ht="15.75" customHeight="1" x14ac:dyDescent="0.25">
      <c r="A598" s="534"/>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c r="AL598" s="271"/>
    </row>
    <row r="599" spans="1:38" ht="15.75" customHeight="1" x14ac:dyDescent="0.25">
      <c r="A599" s="534"/>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c r="AL599" s="271"/>
    </row>
    <row r="600" spans="1:38" ht="15.75" customHeight="1" x14ac:dyDescent="0.25">
      <c r="A600" s="534"/>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c r="AL600" s="271"/>
    </row>
    <row r="601" spans="1:38" ht="15.75" customHeight="1" x14ac:dyDescent="0.25">
      <c r="A601" s="534"/>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c r="AL601" s="271"/>
    </row>
    <row r="602" spans="1:38" ht="15.75" customHeight="1" x14ac:dyDescent="0.25">
      <c r="A602" s="534"/>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c r="AL602" s="271"/>
    </row>
    <row r="603" spans="1:38" ht="15.75" customHeight="1" x14ac:dyDescent="0.25">
      <c r="A603" s="534"/>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c r="AL603" s="271"/>
    </row>
    <row r="604" spans="1:38" ht="15.75" customHeight="1" x14ac:dyDescent="0.25">
      <c r="A604" s="534"/>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c r="AL604" s="271"/>
    </row>
    <row r="605" spans="1:38" ht="15.75" customHeight="1" x14ac:dyDescent="0.25">
      <c r="A605" s="534"/>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c r="AL605" s="271"/>
    </row>
    <row r="606" spans="1:38" ht="15.75" customHeight="1" x14ac:dyDescent="0.25">
      <c r="A606" s="534"/>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c r="AL606" s="271"/>
    </row>
    <row r="607" spans="1:38" ht="15.75" customHeight="1" x14ac:dyDescent="0.25">
      <c r="A607" s="534"/>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c r="AL607" s="271"/>
    </row>
    <row r="608" spans="1:38" ht="15.75" customHeight="1" x14ac:dyDescent="0.25">
      <c r="A608" s="534"/>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c r="AL608" s="271"/>
    </row>
    <row r="609" spans="1:38" ht="15.75" customHeight="1" x14ac:dyDescent="0.25">
      <c r="A609" s="534"/>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c r="AL609" s="271"/>
    </row>
    <row r="610" spans="1:38" ht="15.75" customHeight="1" x14ac:dyDescent="0.25">
      <c r="A610" s="534"/>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c r="AL610" s="271"/>
    </row>
    <row r="611" spans="1:38" ht="15.75" customHeight="1" x14ac:dyDescent="0.25">
      <c r="A611" s="534"/>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c r="AL611" s="271"/>
    </row>
    <row r="612" spans="1:38" ht="15.75" customHeight="1" x14ac:dyDescent="0.25">
      <c r="A612" s="534"/>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c r="AL612" s="271"/>
    </row>
    <row r="613" spans="1:38" ht="15.75" customHeight="1" x14ac:dyDescent="0.25">
      <c r="A613" s="534"/>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c r="AL613" s="271"/>
    </row>
    <row r="614" spans="1:38" ht="15.75" customHeight="1" x14ac:dyDescent="0.25">
      <c r="A614" s="534"/>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c r="AL614" s="271"/>
    </row>
    <row r="615" spans="1:38" ht="15.75" customHeight="1" x14ac:dyDescent="0.25">
      <c r="A615" s="534"/>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c r="AL615" s="271"/>
    </row>
    <row r="616" spans="1:38" ht="15.75" customHeight="1" x14ac:dyDescent="0.25">
      <c r="A616" s="534"/>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c r="AL616" s="271"/>
    </row>
    <row r="617" spans="1:38" ht="15.75" customHeight="1" x14ac:dyDescent="0.25">
      <c r="A617" s="534"/>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c r="AL617" s="271"/>
    </row>
    <row r="618" spans="1:38" ht="15.75" customHeight="1" x14ac:dyDescent="0.25">
      <c r="A618" s="534"/>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c r="AL618" s="271"/>
    </row>
    <row r="619" spans="1:38" ht="15.75" customHeight="1" x14ac:dyDescent="0.25">
      <c r="A619" s="534"/>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c r="AL619" s="271"/>
    </row>
    <row r="620" spans="1:38" ht="15.75" customHeight="1" x14ac:dyDescent="0.25">
      <c r="A620" s="534"/>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c r="AL620" s="271"/>
    </row>
    <row r="621" spans="1:38" ht="15.75" customHeight="1" x14ac:dyDescent="0.25">
      <c r="A621" s="534"/>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c r="AL621" s="271"/>
    </row>
    <row r="622" spans="1:38" ht="15.75" customHeight="1" x14ac:dyDescent="0.25">
      <c r="A622" s="534"/>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c r="AL622" s="271"/>
    </row>
    <row r="623" spans="1:38" ht="15.75" customHeight="1" x14ac:dyDescent="0.25">
      <c r="A623" s="534"/>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c r="AL623" s="271"/>
    </row>
    <row r="624" spans="1:38" ht="15.75" customHeight="1" x14ac:dyDescent="0.25">
      <c r="A624" s="534"/>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c r="AL624" s="271"/>
    </row>
    <row r="625" spans="1:38" ht="15.75" customHeight="1" x14ac:dyDescent="0.25">
      <c r="A625" s="534"/>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c r="AL625" s="271"/>
    </row>
    <row r="626" spans="1:38" ht="15.75" customHeight="1" x14ac:dyDescent="0.25">
      <c r="A626" s="534"/>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c r="AL626" s="271"/>
    </row>
    <row r="627" spans="1:38" ht="15.75" customHeight="1" x14ac:dyDescent="0.25">
      <c r="A627" s="534"/>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c r="AL627" s="271"/>
    </row>
    <row r="628" spans="1:38" ht="15.75" customHeight="1" x14ac:dyDescent="0.25">
      <c r="A628" s="534"/>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c r="AL628" s="271"/>
    </row>
    <row r="629" spans="1:38" ht="15.75" customHeight="1" x14ac:dyDescent="0.25">
      <c r="A629" s="534"/>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c r="AL629" s="271"/>
    </row>
    <row r="630" spans="1:38" ht="15.75" customHeight="1" x14ac:dyDescent="0.25">
      <c r="A630" s="534"/>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c r="AL630" s="271"/>
    </row>
    <row r="631" spans="1:38" ht="15.75" customHeight="1" x14ac:dyDescent="0.25">
      <c r="A631" s="534"/>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c r="AL631" s="271"/>
    </row>
    <row r="632" spans="1:38" ht="15.75" customHeight="1" x14ac:dyDescent="0.25">
      <c r="A632" s="534"/>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c r="AL632" s="271"/>
    </row>
    <row r="633" spans="1:38" ht="15.75" customHeight="1" x14ac:dyDescent="0.25">
      <c r="A633" s="534"/>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c r="AL633" s="271"/>
    </row>
    <row r="634" spans="1:38" ht="15.75" customHeight="1" x14ac:dyDescent="0.25">
      <c r="A634" s="534"/>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c r="AL634" s="271"/>
    </row>
    <row r="635" spans="1:38" ht="15.75" customHeight="1" x14ac:dyDescent="0.25">
      <c r="A635" s="534"/>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c r="AL635" s="271"/>
    </row>
    <row r="636" spans="1:38" ht="15.75" customHeight="1" x14ac:dyDescent="0.25">
      <c r="A636" s="534"/>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c r="AL636" s="271"/>
    </row>
    <row r="637" spans="1:38" ht="15.75" customHeight="1" x14ac:dyDescent="0.25">
      <c r="A637" s="534"/>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c r="AL637" s="271"/>
    </row>
    <row r="638" spans="1:38" ht="15.75" customHeight="1" x14ac:dyDescent="0.25">
      <c r="A638" s="534"/>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c r="AL638" s="271"/>
    </row>
    <row r="639" spans="1:38" ht="15.75" customHeight="1" x14ac:dyDescent="0.25">
      <c r="A639" s="534"/>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c r="AL639" s="271"/>
    </row>
    <row r="640" spans="1:38" ht="15.75" customHeight="1" x14ac:dyDescent="0.25">
      <c r="A640" s="534"/>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c r="AL640" s="271"/>
    </row>
    <row r="641" spans="1:38" ht="15.75" customHeight="1" x14ac:dyDescent="0.25">
      <c r="A641" s="534"/>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c r="AL641" s="271"/>
    </row>
    <row r="642" spans="1:38" ht="15.75" customHeight="1" x14ac:dyDescent="0.25">
      <c r="A642" s="534"/>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c r="AL642" s="271"/>
    </row>
    <row r="643" spans="1:38" ht="15.75" customHeight="1" x14ac:dyDescent="0.25">
      <c r="A643" s="534"/>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c r="AL643" s="271"/>
    </row>
    <row r="644" spans="1:38" ht="15.75" customHeight="1" x14ac:dyDescent="0.25">
      <c r="A644" s="534"/>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c r="AL644" s="271"/>
    </row>
    <row r="645" spans="1:38" ht="15.75" customHeight="1" x14ac:dyDescent="0.25">
      <c r="A645" s="534"/>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c r="AL645" s="271"/>
    </row>
    <row r="646" spans="1:38" ht="15.75" customHeight="1" x14ac:dyDescent="0.25">
      <c r="A646" s="534"/>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c r="AL646" s="271"/>
    </row>
    <row r="647" spans="1:38" ht="15.75" customHeight="1" x14ac:dyDescent="0.25">
      <c r="A647" s="534"/>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c r="AL647" s="271"/>
    </row>
    <row r="648" spans="1:38" ht="15.75" customHeight="1" x14ac:dyDescent="0.25">
      <c r="A648" s="534"/>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c r="AL648" s="271"/>
    </row>
    <row r="649" spans="1:38" ht="15.75" customHeight="1" x14ac:dyDescent="0.25">
      <c r="A649" s="534"/>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c r="AL649" s="271"/>
    </row>
    <row r="650" spans="1:38" ht="15.75" customHeight="1" x14ac:dyDescent="0.25">
      <c r="A650" s="534"/>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c r="AL650" s="271"/>
    </row>
    <row r="651" spans="1:38" ht="15.75" customHeight="1" x14ac:dyDescent="0.25">
      <c r="A651" s="534"/>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c r="AL651" s="271"/>
    </row>
    <row r="652" spans="1:38" ht="15.75" customHeight="1" x14ac:dyDescent="0.25">
      <c r="A652" s="534"/>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c r="AL652" s="271"/>
    </row>
    <row r="653" spans="1:38" ht="15.75" customHeight="1" x14ac:dyDescent="0.25">
      <c r="A653" s="534"/>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c r="AL653" s="271"/>
    </row>
    <row r="654" spans="1:38" ht="15.75" customHeight="1" x14ac:dyDescent="0.25">
      <c r="A654" s="534"/>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c r="AL654" s="271"/>
    </row>
    <row r="655" spans="1:38" ht="15.75" customHeight="1" x14ac:dyDescent="0.25">
      <c r="A655" s="534"/>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c r="AL655" s="271"/>
    </row>
    <row r="656" spans="1:38" ht="15.75" customHeight="1" x14ac:dyDescent="0.25">
      <c r="A656" s="534"/>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c r="AL656" s="271"/>
    </row>
    <row r="657" spans="1:38" ht="15.75" customHeight="1" x14ac:dyDescent="0.25">
      <c r="A657" s="534"/>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c r="AL657" s="271"/>
    </row>
    <row r="658" spans="1:38" ht="15.75" customHeight="1" x14ac:dyDescent="0.25">
      <c r="A658" s="534"/>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c r="AL658" s="271"/>
    </row>
    <row r="659" spans="1:38" ht="15.75" customHeight="1" x14ac:dyDescent="0.25">
      <c r="A659" s="534"/>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c r="AL659" s="271"/>
    </row>
    <row r="660" spans="1:38" ht="15.75" customHeight="1" x14ac:dyDescent="0.25">
      <c r="A660" s="534"/>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c r="AL660" s="271"/>
    </row>
    <row r="661" spans="1:38" ht="15.75" customHeight="1" x14ac:dyDescent="0.25">
      <c r="A661" s="534"/>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c r="AL661" s="271"/>
    </row>
    <row r="662" spans="1:38" ht="15.75" customHeight="1" x14ac:dyDescent="0.25">
      <c r="A662" s="534"/>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c r="AL662" s="271"/>
    </row>
    <row r="663" spans="1:38" ht="15.75" customHeight="1" x14ac:dyDescent="0.25">
      <c r="A663" s="534"/>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c r="AL663" s="271"/>
    </row>
    <row r="664" spans="1:38" ht="15.75" customHeight="1" x14ac:dyDescent="0.25">
      <c r="A664" s="534"/>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c r="AL664" s="271"/>
    </row>
    <row r="665" spans="1:38" ht="15.75" customHeight="1" x14ac:dyDescent="0.25">
      <c r="A665" s="534"/>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c r="AL665" s="271"/>
    </row>
    <row r="666" spans="1:38" ht="15.75" customHeight="1" x14ac:dyDescent="0.25">
      <c r="A666" s="534"/>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c r="AL666" s="271"/>
    </row>
    <row r="667" spans="1:38" ht="15.75" customHeight="1" x14ac:dyDescent="0.25">
      <c r="A667" s="534"/>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c r="AL667" s="271"/>
    </row>
    <row r="668" spans="1:38" ht="15.75" customHeight="1" x14ac:dyDescent="0.25">
      <c r="A668" s="534"/>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c r="AL668" s="271"/>
    </row>
    <row r="669" spans="1:38" ht="15.75" customHeight="1" x14ac:dyDescent="0.25">
      <c r="A669" s="534"/>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c r="AL669" s="271"/>
    </row>
    <row r="670" spans="1:38" ht="15.75" customHeight="1" x14ac:dyDescent="0.25">
      <c r="A670" s="534"/>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c r="AL670" s="271"/>
    </row>
    <row r="671" spans="1:38" ht="15.75" customHeight="1" x14ac:dyDescent="0.25">
      <c r="A671" s="534"/>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c r="AL671" s="271"/>
    </row>
    <row r="672" spans="1:38" ht="15.75" customHeight="1" x14ac:dyDescent="0.25">
      <c r="A672" s="534"/>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c r="AL672" s="271"/>
    </row>
    <row r="673" spans="1:38" ht="15.75" customHeight="1" x14ac:dyDescent="0.25">
      <c r="A673" s="534"/>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c r="AL673" s="271"/>
    </row>
    <row r="674" spans="1:38" ht="15.75" customHeight="1" x14ac:dyDescent="0.25">
      <c r="A674" s="534"/>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c r="AL674" s="271"/>
    </row>
    <row r="675" spans="1:38" ht="15.75" customHeight="1" x14ac:dyDescent="0.25">
      <c r="A675" s="534"/>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c r="AL675" s="271"/>
    </row>
    <row r="676" spans="1:38" ht="15.75" customHeight="1" x14ac:dyDescent="0.25">
      <c r="A676" s="534"/>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c r="AL676" s="271"/>
    </row>
    <row r="677" spans="1:38" ht="15.75" customHeight="1" x14ac:dyDescent="0.25">
      <c r="A677" s="534"/>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c r="AL677" s="271"/>
    </row>
    <row r="678" spans="1:38" ht="15.75" customHeight="1" x14ac:dyDescent="0.25">
      <c r="A678" s="534"/>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c r="AL678" s="271"/>
    </row>
    <row r="679" spans="1:38" ht="15.75" customHeight="1" x14ac:dyDescent="0.25">
      <c r="A679" s="534"/>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c r="AL679" s="271"/>
    </row>
    <row r="680" spans="1:38" ht="15.75" customHeight="1" x14ac:dyDescent="0.25">
      <c r="A680" s="534"/>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c r="AL680" s="271"/>
    </row>
    <row r="681" spans="1:38" ht="15.75" customHeight="1" x14ac:dyDescent="0.25">
      <c r="A681" s="534"/>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c r="AL681" s="271"/>
    </row>
    <row r="682" spans="1:38" ht="15.75" customHeight="1" x14ac:dyDescent="0.25">
      <c r="A682" s="534"/>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c r="AL682" s="271"/>
    </row>
    <row r="683" spans="1:38" ht="15.75" customHeight="1" x14ac:dyDescent="0.25">
      <c r="A683" s="534"/>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c r="AL683" s="271"/>
    </row>
    <row r="684" spans="1:38" ht="15.75" customHeight="1" x14ac:dyDescent="0.25">
      <c r="A684" s="534"/>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c r="AL684" s="271"/>
    </row>
    <row r="685" spans="1:38" ht="15.75" customHeight="1" x14ac:dyDescent="0.25">
      <c r="A685" s="534"/>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c r="AL685" s="271"/>
    </row>
    <row r="686" spans="1:38" ht="15.75" customHeight="1" x14ac:dyDescent="0.25">
      <c r="A686" s="534"/>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c r="AL686" s="271"/>
    </row>
    <row r="687" spans="1:38" ht="15.75" customHeight="1" x14ac:dyDescent="0.25">
      <c r="A687" s="534"/>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c r="AL687" s="271"/>
    </row>
    <row r="688" spans="1:38" ht="15.75" customHeight="1" x14ac:dyDescent="0.25">
      <c r="A688" s="534"/>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c r="AL688" s="271"/>
    </row>
    <row r="689" spans="1:38" ht="15.75" customHeight="1" x14ac:dyDescent="0.25">
      <c r="A689" s="534"/>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c r="AL689" s="271"/>
    </row>
    <row r="690" spans="1:38" ht="15.75" customHeight="1" x14ac:dyDescent="0.25">
      <c r="A690" s="534"/>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c r="AL690" s="271"/>
    </row>
    <row r="691" spans="1:38" ht="15.75" customHeight="1" x14ac:dyDescent="0.25">
      <c r="A691" s="534"/>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c r="AL691" s="271"/>
    </row>
    <row r="692" spans="1:38" ht="15.75" customHeight="1" x14ac:dyDescent="0.25">
      <c r="A692" s="534"/>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c r="AL692" s="271"/>
    </row>
    <row r="693" spans="1:38" ht="15.75" customHeight="1" x14ac:dyDescent="0.25">
      <c r="A693" s="534"/>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c r="AL693" s="271"/>
    </row>
    <row r="694" spans="1:38" ht="15.75" customHeight="1" x14ac:dyDescent="0.25">
      <c r="A694" s="534"/>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c r="AL694" s="271"/>
    </row>
    <row r="695" spans="1:38" ht="15.75" customHeight="1" x14ac:dyDescent="0.25">
      <c r="A695" s="534"/>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c r="AL695" s="271"/>
    </row>
    <row r="696" spans="1:38" ht="15.75" customHeight="1" x14ac:dyDescent="0.25">
      <c r="A696" s="534"/>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c r="AL696" s="271"/>
    </row>
    <row r="697" spans="1:38" ht="15.75" customHeight="1" x14ac:dyDescent="0.25">
      <c r="A697" s="534"/>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c r="AL697" s="271"/>
    </row>
    <row r="698" spans="1:38" ht="15.75" customHeight="1" x14ac:dyDescent="0.25">
      <c r="A698" s="534"/>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c r="AL698" s="271"/>
    </row>
    <row r="699" spans="1:38" ht="15.75" customHeight="1" x14ac:dyDescent="0.25">
      <c r="A699" s="534"/>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c r="AL699" s="271"/>
    </row>
    <row r="700" spans="1:38" ht="15.75" customHeight="1" x14ac:dyDescent="0.25">
      <c r="A700" s="534"/>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c r="AL700" s="271"/>
    </row>
    <row r="701" spans="1:38" ht="15.75" customHeight="1" x14ac:dyDescent="0.25">
      <c r="A701" s="534"/>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c r="AL701" s="271"/>
    </row>
    <row r="702" spans="1:38" ht="15.75" customHeight="1" x14ac:dyDescent="0.25">
      <c r="A702" s="534"/>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c r="AL702" s="271"/>
    </row>
    <row r="703" spans="1:38" ht="15.75" customHeight="1" x14ac:dyDescent="0.25">
      <c r="A703" s="534"/>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c r="AL703" s="271"/>
    </row>
    <row r="704" spans="1:38" ht="15.75" customHeight="1" x14ac:dyDescent="0.25">
      <c r="A704" s="534"/>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c r="AL704" s="271"/>
    </row>
    <row r="705" spans="1:38" ht="15.75" customHeight="1" x14ac:dyDescent="0.25">
      <c r="A705" s="534"/>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c r="AL705" s="271"/>
    </row>
    <row r="706" spans="1:38" ht="15.75" customHeight="1" x14ac:dyDescent="0.25">
      <c r="A706" s="534"/>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c r="AL706" s="271"/>
    </row>
    <row r="707" spans="1:38" ht="15.75" customHeight="1" x14ac:dyDescent="0.25">
      <c r="A707" s="534"/>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c r="AL707" s="271"/>
    </row>
    <row r="708" spans="1:38" ht="15.75" customHeight="1" x14ac:dyDescent="0.25">
      <c r="A708" s="534"/>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c r="AL708" s="271"/>
    </row>
    <row r="709" spans="1:38" ht="15.75" customHeight="1" x14ac:dyDescent="0.25">
      <c r="A709" s="534"/>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c r="AL709" s="271"/>
    </row>
    <row r="710" spans="1:38" ht="15.75" customHeight="1" x14ac:dyDescent="0.25">
      <c r="A710" s="534"/>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c r="AL710" s="271"/>
    </row>
    <row r="711" spans="1:38" ht="15.75" customHeight="1" x14ac:dyDescent="0.25">
      <c r="A711" s="534"/>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c r="AL711" s="271"/>
    </row>
    <row r="712" spans="1:38" ht="15.75" customHeight="1" x14ac:dyDescent="0.25">
      <c r="A712" s="534"/>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c r="AL712" s="271"/>
    </row>
    <row r="713" spans="1:38" ht="15.75" customHeight="1" x14ac:dyDescent="0.25">
      <c r="A713" s="534"/>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c r="AL713" s="271"/>
    </row>
    <row r="714" spans="1:38" ht="15.75" customHeight="1" x14ac:dyDescent="0.25">
      <c r="A714" s="534"/>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c r="AL714" s="271"/>
    </row>
    <row r="715" spans="1:38" ht="15.75" customHeight="1" x14ac:dyDescent="0.25">
      <c r="A715" s="534"/>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c r="AL715" s="271"/>
    </row>
    <row r="716" spans="1:38" ht="15.75" customHeight="1" x14ac:dyDescent="0.25">
      <c r="A716" s="534"/>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c r="AL716" s="271"/>
    </row>
    <row r="717" spans="1:38" ht="15.75" customHeight="1" x14ac:dyDescent="0.25">
      <c r="A717" s="534"/>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c r="AL717" s="271"/>
    </row>
    <row r="718" spans="1:38" ht="15.75" customHeight="1" x14ac:dyDescent="0.25">
      <c r="A718" s="534"/>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c r="AL718" s="271"/>
    </row>
    <row r="719" spans="1:38" ht="15.75" customHeight="1" x14ac:dyDescent="0.25">
      <c r="A719" s="534"/>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c r="AL719" s="271"/>
    </row>
    <row r="720" spans="1:38" ht="15.75" customHeight="1" x14ac:dyDescent="0.25">
      <c r="A720" s="534"/>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c r="AL720" s="271"/>
    </row>
    <row r="721" spans="1:38" ht="15.75" customHeight="1" x14ac:dyDescent="0.25">
      <c r="A721" s="534"/>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c r="AL721" s="271"/>
    </row>
    <row r="722" spans="1:38" ht="15.75" customHeight="1" x14ac:dyDescent="0.25">
      <c r="A722" s="534"/>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c r="AL722" s="271"/>
    </row>
    <row r="723" spans="1:38" ht="15.75" customHeight="1" x14ac:dyDescent="0.25">
      <c r="A723" s="534"/>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c r="AL723" s="271"/>
    </row>
    <row r="724" spans="1:38" ht="15.75" customHeight="1" x14ac:dyDescent="0.25">
      <c r="A724" s="534"/>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c r="AL724" s="271"/>
    </row>
    <row r="725" spans="1:38" ht="15.75" customHeight="1" x14ac:dyDescent="0.25">
      <c r="A725" s="534"/>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c r="AL725" s="271"/>
    </row>
    <row r="726" spans="1:38" ht="15.75" customHeight="1" x14ac:dyDescent="0.25">
      <c r="A726" s="534"/>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c r="AL726" s="271"/>
    </row>
    <row r="727" spans="1:38" ht="15.75" customHeight="1" x14ac:dyDescent="0.25">
      <c r="A727" s="534"/>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c r="AL727" s="271"/>
    </row>
    <row r="728" spans="1:38" ht="15.75" customHeight="1" x14ac:dyDescent="0.25">
      <c r="A728" s="534"/>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c r="AL728" s="271"/>
    </row>
    <row r="729" spans="1:38" ht="15.75" customHeight="1" x14ac:dyDescent="0.25">
      <c r="A729" s="534"/>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c r="AL729" s="271"/>
    </row>
    <row r="730" spans="1:38" ht="15.75" customHeight="1" x14ac:dyDescent="0.25">
      <c r="A730" s="534"/>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c r="AL730" s="271"/>
    </row>
    <row r="731" spans="1:38" ht="15.75" customHeight="1" x14ac:dyDescent="0.25">
      <c r="A731" s="534"/>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c r="AL731" s="271"/>
    </row>
    <row r="732" spans="1:38" ht="15.75" customHeight="1" x14ac:dyDescent="0.25">
      <c r="A732" s="534"/>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c r="AL732" s="271"/>
    </row>
    <row r="733" spans="1:38" ht="15.75" customHeight="1" x14ac:dyDescent="0.25">
      <c r="A733" s="534"/>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c r="AL733" s="271"/>
    </row>
    <row r="734" spans="1:38" ht="15.75" customHeight="1" x14ac:dyDescent="0.25">
      <c r="A734" s="534"/>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c r="AL734" s="271"/>
    </row>
    <row r="735" spans="1:38" ht="15.75" customHeight="1" x14ac:dyDescent="0.25">
      <c r="A735" s="534"/>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c r="AL735" s="271"/>
    </row>
    <row r="736" spans="1:38" ht="15.75" customHeight="1" x14ac:dyDescent="0.25">
      <c r="A736" s="534"/>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c r="AL736" s="271"/>
    </row>
    <row r="737" spans="1:38" ht="15.75" customHeight="1" x14ac:dyDescent="0.25">
      <c r="A737" s="534"/>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c r="AL737" s="271"/>
    </row>
    <row r="738" spans="1:38" ht="15.75" customHeight="1" x14ac:dyDescent="0.25">
      <c r="A738" s="534"/>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c r="AL738" s="271"/>
    </row>
    <row r="739" spans="1:38" ht="15.75" customHeight="1" x14ac:dyDescent="0.25">
      <c r="A739" s="534"/>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c r="AL739" s="271"/>
    </row>
    <row r="740" spans="1:38" ht="15.75" customHeight="1" x14ac:dyDescent="0.25">
      <c r="A740" s="534"/>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c r="AL740" s="271"/>
    </row>
    <row r="741" spans="1:38" ht="15.75" customHeight="1" x14ac:dyDescent="0.25">
      <c r="A741" s="534"/>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c r="AL741" s="271"/>
    </row>
    <row r="742" spans="1:38" ht="15.75" customHeight="1" x14ac:dyDescent="0.25">
      <c r="A742" s="534"/>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c r="AL742" s="271"/>
    </row>
    <row r="743" spans="1:38" ht="15.75" customHeight="1" x14ac:dyDescent="0.25">
      <c r="A743" s="534"/>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c r="AL743" s="271"/>
    </row>
    <row r="744" spans="1:38" ht="15.75" customHeight="1" x14ac:dyDescent="0.25">
      <c r="A744" s="534"/>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c r="AL744" s="271"/>
    </row>
    <row r="745" spans="1:38" ht="15.75" customHeight="1" x14ac:dyDescent="0.25">
      <c r="A745" s="534"/>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c r="AL745" s="271"/>
    </row>
    <row r="746" spans="1:38" ht="15.75" customHeight="1" x14ac:dyDescent="0.25">
      <c r="A746" s="534"/>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c r="AL746" s="271"/>
    </row>
    <row r="747" spans="1:38" ht="15.75" customHeight="1" x14ac:dyDescent="0.25">
      <c r="A747" s="534"/>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c r="AL747" s="271"/>
    </row>
    <row r="748" spans="1:38" ht="15.75" customHeight="1" x14ac:dyDescent="0.25">
      <c r="A748" s="534"/>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c r="AL748" s="271"/>
    </row>
    <row r="749" spans="1:38" ht="15.75" customHeight="1" x14ac:dyDescent="0.25">
      <c r="A749" s="534"/>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c r="AL749" s="271"/>
    </row>
    <row r="750" spans="1:38" ht="15.75" customHeight="1" x14ac:dyDescent="0.25">
      <c r="A750" s="534"/>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c r="AL750" s="271"/>
    </row>
    <row r="751" spans="1:38" ht="15.75" customHeight="1" x14ac:dyDescent="0.25">
      <c r="A751" s="534"/>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c r="AL751" s="271"/>
    </row>
    <row r="752" spans="1:38" ht="15.75" customHeight="1" x14ac:dyDescent="0.25">
      <c r="A752" s="534"/>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c r="AL752" s="271"/>
    </row>
    <row r="753" spans="1:38" ht="15.75" customHeight="1" x14ac:dyDescent="0.25">
      <c r="A753" s="534"/>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c r="AL753" s="271"/>
    </row>
    <row r="754" spans="1:38" ht="15.75" customHeight="1" x14ac:dyDescent="0.25">
      <c r="A754" s="534"/>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c r="AL754" s="271"/>
    </row>
    <row r="755" spans="1:38" ht="15.75" customHeight="1" x14ac:dyDescent="0.25">
      <c r="A755" s="534"/>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c r="AL755" s="271"/>
    </row>
    <row r="756" spans="1:38" ht="15.75" customHeight="1" x14ac:dyDescent="0.25">
      <c r="A756" s="534"/>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c r="AL756" s="271"/>
    </row>
    <row r="757" spans="1:38" ht="15.75" customHeight="1" x14ac:dyDescent="0.25">
      <c r="A757" s="534"/>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c r="AL757" s="271"/>
    </row>
    <row r="758" spans="1:38" ht="15.75" customHeight="1" x14ac:dyDescent="0.25">
      <c r="A758" s="534"/>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c r="AL758" s="271"/>
    </row>
    <row r="759" spans="1:38" ht="15.75" customHeight="1" x14ac:dyDescent="0.25">
      <c r="A759" s="534"/>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c r="AL759" s="271"/>
    </row>
    <row r="760" spans="1:38" ht="15.75" customHeight="1" x14ac:dyDescent="0.25">
      <c r="A760" s="534"/>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c r="AL760" s="271"/>
    </row>
    <row r="761" spans="1:38" ht="15.75" customHeight="1" x14ac:dyDescent="0.25">
      <c r="A761" s="534"/>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c r="AL761" s="271"/>
    </row>
    <row r="762" spans="1:38" ht="15.75" customHeight="1" x14ac:dyDescent="0.25">
      <c r="A762" s="534"/>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c r="AL762" s="271"/>
    </row>
    <row r="763" spans="1:38" ht="15.75" customHeight="1" x14ac:dyDescent="0.25">
      <c r="A763" s="534"/>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c r="AL763" s="271"/>
    </row>
    <row r="764" spans="1:38" ht="15.75" customHeight="1" x14ac:dyDescent="0.25">
      <c r="A764" s="534"/>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c r="AL764" s="271"/>
    </row>
    <row r="765" spans="1:38" ht="15.75" customHeight="1" x14ac:dyDescent="0.25">
      <c r="A765" s="534"/>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c r="AL765" s="271"/>
    </row>
    <row r="766" spans="1:38" ht="15.75" customHeight="1" x14ac:dyDescent="0.25">
      <c r="A766" s="534"/>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c r="AL766" s="271"/>
    </row>
    <row r="767" spans="1:38" ht="15.75" customHeight="1" x14ac:dyDescent="0.25">
      <c r="A767" s="534"/>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c r="AL767" s="271"/>
    </row>
    <row r="768" spans="1:38" ht="15.75" customHeight="1" x14ac:dyDescent="0.25">
      <c r="A768" s="534"/>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c r="AL768" s="271"/>
    </row>
    <row r="769" spans="1:38" ht="15.75" customHeight="1" x14ac:dyDescent="0.25">
      <c r="A769" s="534"/>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c r="AL769" s="271"/>
    </row>
    <row r="770" spans="1:38" ht="15.75" customHeight="1" x14ac:dyDescent="0.25">
      <c r="A770" s="534"/>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c r="AL770" s="271"/>
    </row>
    <row r="771" spans="1:38" ht="15.75" customHeight="1" x14ac:dyDescent="0.25">
      <c r="A771" s="534"/>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c r="AL771" s="271"/>
    </row>
    <row r="772" spans="1:38" ht="15.75" customHeight="1" x14ac:dyDescent="0.25">
      <c r="A772" s="534"/>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c r="AL772" s="271"/>
    </row>
    <row r="773" spans="1:38" ht="15.75" customHeight="1" x14ac:dyDescent="0.25">
      <c r="A773" s="534"/>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c r="AL773" s="271"/>
    </row>
    <row r="774" spans="1:38" ht="15.75" customHeight="1" x14ac:dyDescent="0.25">
      <c r="A774" s="534"/>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c r="AL774" s="271"/>
    </row>
    <row r="775" spans="1:38" ht="15.75" customHeight="1" x14ac:dyDescent="0.25">
      <c r="A775" s="534"/>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c r="AL775" s="271"/>
    </row>
    <row r="776" spans="1:38" ht="15.75" customHeight="1" x14ac:dyDescent="0.25">
      <c r="A776" s="534"/>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c r="AL776" s="271"/>
    </row>
    <row r="777" spans="1:38" ht="15.75" customHeight="1" x14ac:dyDescent="0.25">
      <c r="A777" s="534"/>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c r="AL777" s="271"/>
    </row>
    <row r="778" spans="1:38" ht="15.75" customHeight="1" x14ac:dyDescent="0.25">
      <c r="A778" s="534"/>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c r="AL778" s="271"/>
    </row>
    <row r="779" spans="1:38" ht="15.75" customHeight="1" x14ac:dyDescent="0.25">
      <c r="A779" s="534"/>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c r="AL779" s="271"/>
    </row>
    <row r="780" spans="1:38" ht="15.75" customHeight="1" x14ac:dyDescent="0.25">
      <c r="A780" s="534"/>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c r="AL780" s="271"/>
    </row>
    <row r="781" spans="1:38" ht="15.75" customHeight="1" x14ac:dyDescent="0.25">
      <c r="A781" s="534"/>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c r="AL781" s="271"/>
    </row>
    <row r="782" spans="1:38" ht="15.75" customHeight="1" x14ac:dyDescent="0.25">
      <c r="A782" s="534"/>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c r="AL782" s="271"/>
    </row>
    <row r="783" spans="1:38" ht="15.75" customHeight="1" x14ac:dyDescent="0.25">
      <c r="A783" s="534"/>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c r="AL783" s="271"/>
    </row>
    <row r="784" spans="1:38" ht="15.75" customHeight="1" x14ac:dyDescent="0.25">
      <c r="A784" s="534"/>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c r="AL784" s="271"/>
    </row>
    <row r="785" spans="1:38" ht="15.75" customHeight="1" x14ac:dyDescent="0.25">
      <c r="A785" s="534"/>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c r="AL785" s="271"/>
    </row>
    <row r="786" spans="1:38" ht="15.75" customHeight="1" x14ac:dyDescent="0.25">
      <c r="A786" s="534"/>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c r="AL786" s="271"/>
    </row>
    <row r="787" spans="1:38" ht="15.75" customHeight="1" x14ac:dyDescent="0.25">
      <c r="A787" s="534"/>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c r="AL787" s="271"/>
    </row>
    <row r="788" spans="1:38" ht="15.75" customHeight="1" x14ac:dyDescent="0.25">
      <c r="A788" s="534"/>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c r="AL788" s="271"/>
    </row>
    <row r="789" spans="1:38" ht="15.75" customHeight="1" x14ac:dyDescent="0.25">
      <c r="A789" s="534"/>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c r="AL789" s="271"/>
    </row>
    <row r="790" spans="1:38" ht="15.75" customHeight="1" x14ac:dyDescent="0.25">
      <c r="A790" s="534"/>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c r="AL790" s="271"/>
    </row>
    <row r="791" spans="1:38" ht="15.75" customHeight="1" x14ac:dyDescent="0.25">
      <c r="A791" s="534"/>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c r="AL791" s="271"/>
    </row>
    <row r="792" spans="1:38" ht="15.75" customHeight="1" x14ac:dyDescent="0.25">
      <c r="A792" s="534"/>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c r="AL792" s="271"/>
    </row>
    <row r="793" spans="1:38" ht="15.75" customHeight="1" x14ac:dyDescent="0.25">
      <c r="A793" s="534"/>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c r="AL793" s="271"/>
    </row>
    <row r="794" spans="1:38" ht="15.75" customHeight="1" x14ac:dyDescent="0.25">
      <c r="A794" s="534"/>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c r="AL794" s="271"/>
    </row>
    <row r="795" spans="1:38" ht="15.75" customHeight="1" x14ac:dyDescent="0.25">
      <c r="A795" s="534"/>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c r="AL795" s="271"/>
    </row>
    <row r="796" spans="1:38" ht="15.75" customHeight="1" x14ac:dyDescent="0.25">
      <c r="A796" s="534"/>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c r="AL796" s="271"/>
    </row>
    <row r="797" spans="1:38" ht="15.75" customHeight="1" x14ac:dyDescent="0.25">
      <c r="A797" s="534"/>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c r="AL797" s="271"/>
    </row>
    <row r="798" spans="1:38" ht="15.75" customHeight="1" x14ac:dyDescent="0.25">
      <c r="A798" s="534"/>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c r="AL798" s="271"/>
    </row>
    <row r="799" spans="1:38" ht="15.75" customHeight="1" x14ac:dyDescent="0.25">
      <c r="A799" s="534"/>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c r="AL799" s="271"/>
    </row>
    <row r="800" spans="1:38" ht="15.75" customHeight="1" x14ac:dyDescent="0.25">
      <c r="A800" s="534"/>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c r="AL800" s="271"/>
    </row>
    <row r="801" spans="1:38" ht="15.75" customHeight="1" x14ac:dyDescent="0.25">
      <c r="A801" s="534"/>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c r="AL801" s="271"/>
    </row>
    <row r="802" spans="1:38" ht="15.75" customHeight="1" x14ac:dyDescent="0.25">
      <c r="A802" s="534"/>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c r="AL802" s="271"/>
    </row>
    <row r="803" spans="1:38" ht="15.75" customHeight="1" x14ac:dyDescent="0.25">
      <c r="A803" s="534"/>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c r="AL803" s="271"/>
    </row>
    <row r="804" spans="1:38" ht="15.75" customHeight="1" x14ac:dyDescent="0.25">
      <c r="A804" s="534"/>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c r="AL804" s="271"/>
    </row>
    <row r="805" spans="1:38" ht="15.75" customHeight="1" x14ac:dyDescent="0.25">
      <c r="A805" s="534"/>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c r="AL805" s="271"/>
    </row>
    <row r="806" spans="1:38" ht="15.75" customHeight="1" x14ac:dyDescent="0.25">
      <c r="A806" s="534"/>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c r="AL806" s="271"/>
    </row>
    <row r="807" spans="1:38" ht="15.75" customHeight="1" x14ac:dyDescent="0.25">
      <c r="A807" s="534"/>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c r="AL807" s="271"/>
    </row>
    <row r="808" spans="1:38" ht="15.75" customHeight="1" x14ac:dyDescent="0.25">
      <c r="A808" s="534"/>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c r="AL808" s="271"/>
    </row>
    <row r="809" spans="1:38" ht="15.75" customHeight="1" x14ac:dyDescent="0.25">
      <c r="A809" s="534"/>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c r="AL809" s="271"/>
    </row>
    <row r="810" spans="1:38" ht="15.75" customHeight="1" x14ac:dyDescent="0.25">
      <c r="A810" s="534"/>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c r="AL810" s="271"/>
    </row>
    <row r="811" spans="1:38" ht="15.75" customHeight="1" x14ac:dyDescent="0.25">
      <c r="A811" s="534"/>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c r="AL811" s="271"/>
    </row>
    <row r="812" spans="1:38" ht="15.75" customHeight="1" x14ac:dyDescent="0.25">
      <c r="A812" s="534"/>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c r="AL812" s="271"/>
    </row>
    <row r="813" spans="1:38" ht="15.75" customHeight="1" x14ac:dyDescent="0.25">
      <c r="A813" s="534"/>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c r="AL813" s="271"/>
    </row>
    <row r="814" spans="1:38" ht="15.75" customHeight="1" x14ac:dyDescent="0.25">
      <c r="A814" s="534"/>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c r="AL814" s="271"/>
    </row>
    <row r="815" spans="1:38" ht="15.75" customHeight="1" x14ac:dyDescent="0.25">
      <c r="A815" s="534"/>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c r="AL815" s="271"/>
    </row>
    <row r="816" spans="1:38" ht="15.75" customHeight="1" x14ac:dyDescent="0.25">
      <c r="A816" s="534"/>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c r="AL816" s="271"/>
    </row>
    <row r="817" spans="1:38" ht="15.75" customHeight="1" x14ac:dyDescent="0.25">
      <c r="A817" s="534"/>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c r="AL817" s="271"/>
    </row>
    <row r="818" spans="1:38" ht="15.75" customHeight="1" x14ac:dyDescent="0.25">
      <c r="A818" s="534"/>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c r="AL818" s="271"/>
    </row>
    <row r="819" spans="1:38" ht="15.75" customHeight="1" x14ac:dyDescent="0.25">
      <c r="A819" s="534"/>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c r="AL819" s="271"/>
    </row>
    <row r="820" spans="1:38" ht="15.75" customHeight="1" x14ac:dyDescent="0.25">
      <c r="A820" s="534"/>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c r="AL820" s="271"/>
    </row>
    <row r="821" spans="1:38" ht="15.75" customHeight="1" x14ac:dyDescent="0.25">
      <c r="A821" s="534"/>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c r="AL821" s="271"/>
    </row>
    <row r="822" spans="1:38" ht="15.75" customHeight="1" x14ac:dyDescent="0.25">
      <c r="A822" s="534"/>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c r="AL822" s="271"/>
    </row>
    <row r="823" spans="1:38" ht="15.75" customHeight="1" x14ac:dyDescent="0.25">
      <c r="A823" s="534"/>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c r="AL823" s="271"/>
    </row>
    <row r="824" spans="1:38" ht="15.75" customHeight="1" x14ac:dyDescent="0.25">
      <c r="A824" s="534"/>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c r="AL824" s="271"/>
    </row>
    <row r="825" spans="1:38" ht="15.75" customHeight="1" x14ac:dyDescent="0.25">
      <c r="A825" s="534"/>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c r="AL825" s="271"/>
    </row>
    <row r="826" spans="1:38" ht="15.75" customHeight="1" x14ac:dyDescent="0.25">
      <c r="A826" s="534"/>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c r="AL826" s="271"/>
    </row>
    <row r="827" spans="1:38" ht="15.75" customHeight="1" x14ac:dyDescent="0.25">
      <c r="A827" s="534"/>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c r="AL827" s="271"/>
    </row>
    <row r="828" spans="1:38" ht="15.75" customHeight="1" x14ac:dyDescent="0.25">
      <c r="A828" s="534"/>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c r="AL828" s="271"/>
    </row>
    <row r="829" spans="1:38" ht="15.75" customHeight="1" x14ac:dyDescent="0.25">
      <c r="A829" s="534"/>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c r="AL829" s="271"/>
    </row>
    <row r="830" spans="1:38" ht="15.75" customHeight="1" x14ac:dyDescent="0.25">
      <c r="A830" s="534"/>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c r="AL830" s="271"/>
    </row>
    <row r="831" spans="1:38" ht="15.75" customHeight="1" x14ac:dyDescent="0.25">
      <c r="A831" s="534"/>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c r="AL831" s="271"/>
    </row>
    <row r="832" spans="1:38" ht="15.75" customHeight="1" x14ac:dyDescent="0.25">
      <c r="A832" s="534"/>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c r="AL832" s="271"/>
    </row>
    <row r="833" spans="1:38" ht="15.75" customHeight="1" x14ac:dyDescent="0.25">
      <c r="A833" s="534"/>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c r="AL833" s="271"/>
    </row>
    <row r="834" spans="1:38" ht="15.75" customHeight="1" x14ac:dyDescent="0.25">
      <c r="A834" s="534"/>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c r="AL834" s="271"/>
    </row>
    <row r="835" spans="1:38" ht="15.75" customHeight="1" x14ac:dyDescent="0.25">
      <c r="A835" s="534"/>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c r="AL835" s="271"/>
    </row>
    <row r="836" spans="1:38" ht="15.75" customHeight="1" x14ac:dyDescent="0.25">
      <c r="A836" s="534"/>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c r="AL836" s="271"/>
    </row>
    <row r="837" spans="1:38" ht="15.75" customHeight="1" x14ac:dyDescent="0.25">
      <c r="A837" s="534"/>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c r="AL837" s="271"/>
    </row>
    <row r="838" spans="1:38" ht="15.75" customHeight="1" x14ac:dyDescent="0.25">
      <c r="A838" s="534"/>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c r="AL838" s="271"/>
    </row>
    <row r="839" spans="1:38" ht="15.75" customHeight="1" x14ac:dyDescent="0.25">
      <c r="A839" s="534"/>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c r="AL839" s="271"/>
    </row>
    <row r="840" spans="1:38" ht="15.75" customHeight="1" x14ac:dyDescent="0.25">
      <c r="A840" s="534"/>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c r="AL840" s="271"/>
    </row>
    <row r="841" spans="1:38" ht="15.75" customHeight="1" x14ac:dyDescent="0.25">
      <c r="A841" s="534"/>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c r="AL841" s="271"/>
    </row>
    <row r="842" spans="1:38" ht="15.75" customHeight="1" x14ac:dyDescent="0.25">
      <c r="A842" s="534"/>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c r="AL842" s="271"/>
    </row>
    <row r="843" spans="1:38" ht="15.75" customHeight="1" x14ac:dyDescent="0.25">
      <c r="A843" s="534"/>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c r="AL843" s="271"/>
    </row>
    <row r="844" spans="1:38" ht="15.75" customHeight="1" x14ac:dyDescent="0.25">
      <c r="A844" s="534"/>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c r="AL844" s="271"/>
    </row>
    <row r="845" spans="1:38" ht="15.75" customHeight="1" x14ac:dyDescent="0.25">
      <c r="A845" s="534"/>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c r="AL845" s="271"/>
    </row>
    <row r="846" spans="1:38" ht="15.75" customHeight="1" x14ac:dyDescent="0.25">
      <c r="A846" s="534"/>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c r="AL846" s="271"/>
    </row>
    <row r="847" spans="1:38" ht="15.75" customHeight="1" x14ac:dyDescent="0.25">
      <c r="A847" s="534"/>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c r="AL847" s="271"/>
    </row>
    <row r="848" spans="1:38" ht="15.75" customHeight="1" x14ac:dyDescent="0.25">
      <c r="A848" s="534"/>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c r="AL848" s="271"/>
    </row>
    <row r="849" spans="1:38" ht="15.75" customHeight="1" x14ac:dyDescent="0.25">
      <c r="A849" s="534"/>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c r="AL849" s="271"/>
    </row>
    <row r="850" spans="1:38" ht="15.75" customHeight="1" x14ac:dyDescent="0.25">
      <c r="A850" s="534"/>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c r="AL850" s="271"/>
    </row>
    <row r="851" spans="1:38" ht="15.75" customHeight="1" x14ac:dyDescent="0.25">
      <c r="A851" s="534"/>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c r="AL851" s="271"/>
    </row>
    <row r="852" spans="1:38" ht="15.75" customHeight="1" x14ac:dyDescent="0.25">
      <c r="A852" s="534"/>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c r="AL852" s="271"/>
    </row>
    <row r="853" spans="1:38" ht="15.75" customHeight="1" x14ac:dyDescent="0.25">
      <c r="A853" s="534"/>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c r="AL853" s="271"/>
    </row>
    <row r="854" spans="1:38" ht="15.75" customHeight="1" x14ac:dyDescent="0.25">
      <c r="A854" s="534"/>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c r="AL854" s="271"/>
    </row>
    <row r="855" spans="1:38" ht="15.75" customHeight="1" x14ac:dyDescent="0.25">
      <c r="A855" s="534"/>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c r="AL855" s="271"/>
    </row>
    <row r="856" spans="1:38" ht="15.75" customHeight="1" x14ac:dyDescent="0.25">
      <c r="A856" s="534"/>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c r="AL856" s="271"/>
    </row>
    <row r="857" spans="1:38" ht="15.75" customHeight="1" x14ac:dyDescent="0.25">
      <c r="A857" s="534"/>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c r="AL857" s="271"/>
    </row>
    <row r="858" spans="1:38" ht="15.75" customHeight="1" x14ac:dyDescent="0.25">
      <c r="A858" s="534"/>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c r="AL858" s="271"/>
    </row>
    <row r="859" spans="1:38" ht="15.75" customHeight="1" x14ac:dyDescent="0.25">
      <c r="A859" s="534"/>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c r="AL859" s="271"/>
    </row>
    <row r="860" spans="1:38" ht="15.75" customHeight="1" x14ac:dyDescent="0.25">
      <c r="A860" s="534"/>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c r="AL860" s="271"/>
    </row>
    <row r="861" spans="1:38" ht="15.75" customHeight="1" x14ac:dyDescent="0.25">
      <c r="A861" s="534"/>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c r="AL861" s="271"/>
    </row>
    <row r="862" spans="1:38" ht="15.75" customHeight="1" x14ac:dyDescent="0.25">
      <c r="A862" s="534"/>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c r="AL862" s="271"/>
    </row>
    <row r="863" spans="1:38" ht="15.75" customHeight="1" x14ac:dyDescent="0.25">
      <c r="A863" s="534"/>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c r="AL863" s="271"/>
    </row>
    <row r="864" spans="1:38" ht="15.75" customHeight="1" x14ac:dyDescent="0.25">
      <c r="A864" s="534"/>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c r="AL864" s="271"/>
    </row>
    <row r="865" spans="1:38" ht="15.75" customHeight="1" x14ac:dyDescent="0.25">
      <c r="A865" s="534"/>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c r="AL865" s="271"/>
    </row>
    <row r="866" spans="1:38" ht="15.75" customHeight="1" x14ac:dyDescent="0.25">
      <c r="A866" s="534"/>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c r="AL866" s="271"/>
    </row>
    <row r="867" spans="1:38" ht="15.75" customHeight="1" x14ac:dyDescent="0.25">
      <c r="A867" s="534"/>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c r="AL867" s="271"/>
    </row>
    <row r="868" spans="1:38" ht="15.75" customHeight="1" x14ac:dyDescent="0.25">
      <c r="A868" s="534"/>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c r="AL868" s="271"/>
    </row>
    <row r="869" spans="1:38" ht="15.75" customHeight="1" x14ac:dyDescent="0.25">
      <c r="A869" s="534"/>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c r="AL869" s="271"/>
    </row>
    <row r="870" spans="1:38" ht="15.75" customHeight="1" x14ac:dyDescent="0.25">
      <c r="A870" s="534"/>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c r="AL870" s="271"/>
    </row>
    <row r="871" spans="1:38" ht="15.75" customHeight="1" x14ac:dyDescent="0.25">
      <c r="A871" s="534"/>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c r="AL871" s="271"/>
    </row>
    <row r="872" spans="1:38" ht="15.75" customHeight="1" x14ac:dyDescent="0.25">
      <c r="A872" s="534"/>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c r="AL872" s="271"/>
    </row>
    <row r="873" spans="1:38" ht="15.75" customHeight="1" x14ac:dyDescent="0.25">
      <c r="A873" s="534"/>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c r="AL873" s="271"/>
    </row>
    <row r="874" spans="1:38" ht="15.75" customHeight="1" x14ac:dyDescent="0.25">
      <c r="A874" s="534"/>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c r="AL874" s="271"/>
    </row>
    <row r="875" spans="1:38" ht="15.75" customHeight="1" x14ac:dyDescent="0.25">
      <c r="A875" s="534"/>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c r="AL875" s="271"/>
    </row>
    <row r="876" spans="1:38" ht="15.75" customHeight="1" x14ac:dyDescent="0.25">
      <c r="A876" s="534"/>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c r="AL876" s="271"/>
    </row>
    <row r="877" spans="1:38" ht="15.75" customHeight="1" x14ac:dyDescent="0.25">
      <c r="A877" s="534"/>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c r="AL877" s="271"/>
    </row>
    <row r="878" spans="1:38" ht="15.75" customHeight="1" x14ac:dyDescent="0.25">
      <c r="A878" s="534"/>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c r="AL878" s="271"/>
    </row>
    <row r="879" spans="1:38" ht="15.75" customHeight="1" x14ac:dyDescent="0.25">
      <c r="A879" s="534"/>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c r="AL879" s="271"/>
    </row>
    <row r="880" spans="1:38" ht="15.75" customHeight="1" x14ac:dyDescent="0.25">
      <c r="A880" s="534"/>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c r="AL880" s="271"/>
    </row>
    <row r="881" spans="1:38" ht="15.75" customHeight="1" x14ac:dyDescent="0.25">
      <c r="A881" s="534"/>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c r="AL881" s="271"/>
    </row>
    <row r="882" spans="1:38" ht="15.75" customHeight="1" x14ac:dyDescent="0.25">
      <c r="A882" s="534"/>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c r="AL882" s="271"/>
    </row>
    <row r="883" spans="1:38" ht="15.75" customHeight="1" x14ac:dyDescent="0.25">
      <c r="A883" s="534"/>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c r="AL883" s="271"/>
    </row>
    <row r="884" spans="1:38" ht="15.75" customHeight="1" x14ac:dyDescent="0.25">
      <c r="A884" s="534"/>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c r="AL884" s="271"/>
    </row>
    <row r="885" spans="1:38" ht="15.75" customHeight="1" x14ac:dyDescent="0.25">
      <c r="A885" s="534"/>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c r="AL885" s="271"/>
    </row>
    <row r="886" spans="1:38" ht="15.75" customHeight="1" x14ac:dyDescent="0.25">
      <c r="A886" s="534"/>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c r="AL886" s="271"/>
    </row>
    <row r="887" spans="1:38" ht="15.75" customHeight="1" x14ac:dyDescent="0.25">
      <c r="A887" s="534"/>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c r="AL887" s="271"/>
    </row>
    <row r="888" spans="1:38" ht="15.75" customHeight="1" x14ac:dyDescent="0.25">
      <c r="A888" s="534"/>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c r="AL888" s="271"/>
    </row>
    <row r="889" spans="1:38" ht="15.75" customHeight="1" x14ac:dyDescent="0.25">
      <c r="A889" s="534"/>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c r="AL889" s="271"/>
    </row>
    <row r="890" spans="1:38" ht="15.75" customHeight="1" x14ac:dyDescent="0.25">
      <c r="A890" s="534"/>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c r="AL890" s="271"/>
    </row>
    <row r="891" spans="1:38" ht="15.75" customHeight="1" x14ac:dyDescent="0.25">
      <c r="A891" s="534"/>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c r="AL891" s="271"/>
    </row>
    <row r="892" spans="1:38" ht="15.75" customHeight="1" x14ac:dyDescent="0.25">
      <c r="A892" s="534"/>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c r="AL892" s="271"/>
    </row>
    <row r="893" spans="1:38" ht="15.75" customHeight="1" x14ac:dyDescent="0.25">
      <c r="A893" s="534"/>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c r="AL893" s="271"/>
    </row>
    <row r="894" spans="1:38" ht="15.75" customHeight="1" x14ac:dyDescent="0.25">
      <c r="A894" s="534"/>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c r="AL894" s="271"/>
    </row>
    <row r="895" spans="1:38" ht="15.75" customHeight="1" x14ac:dyDescent="0.25">
      <c r="A895" s="534"/>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c r="AL895" s="271"/>
    </row>
    <row r="896" spans="1:38" ht="15.75" customHeight="1" x14ac:dyDescent="0.25">
      <c r="A896" s="534"/>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c r="AL896" s="271"/>
    </row>
    <row r="897" spans="1:38" ht="15.75" customHeight="1" x14ac:dyDescent="0.25">
      <c r="A897" s="534"/>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c r="AL897" s="271"/>
    </row>
    <row r="898" spans="1:38" ht="15.75" customHeight="1" x14ac:dyDescent="0.25">
      <c r="A898" s="534"/>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c r="AL898" s="271"/>
    </row>
    <row r="899" spans="1:38" ht="15.75" customHeight="1" x14ac:dyDescent="0.25">
      <c r="A899" s="534"/>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c r="AL899" s="271"/>
    </row>
    <row r="900" spans="1:38" ht="15.75" customHeight="1" x14ac:dyDescent="0.25">
      <c r="A900" s="534"/>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c r="AL900" s="271"/>
    </row>
    <row r="901" spans="1:38" ht="15.75" customHeight="1" x14ac:dyDescent="0.25">
      <c r="A901" s="534"/>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c r="AL901" s="271"/>
    </row>
    <row r="902" spans="1:38" ht="15.75" customHeight="1" x14ac:dyDescent="0.25">
      <c r="A902" s="534"/>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c r="AL902" s="271"/>
    </row>
    <row r="903" spans="1:38" ht="15.75" customHeight="1" x14ac:dyDescent="0.25">
      <c r="A903" s="534"/>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c r="AL903" s="271"/>
    </row>
    <row r="904" spans="1:38" ht="15.75" customHeight="1" x14ac:dyDescent="0.25">
      <c r="A904" s="534"/>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c r="AL904" s="271"/>
    </row>
    <row r="905" spans="1:38" ht="15.75" customHeight="1" x14ac:dyDescent="0.25">
      <c r="A905" s="534"/>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c r="AL905" s="271"/>
    </row>
    <row r="906" spans="1:38" ht="15.75" customHeight="1" x14ac:dyDescent="0.25">
      <c r="A906" s="534"/>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c r="AL906" s="271"/>
    </row>
    <row r="907" spans="1:38" ht="15.75" customHeight="1" x14ac:dyDescent="0.25">
      <c r="A907" s="534"/>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c r="AL907" s="271"/>
    </row>
    <row r="908" spans="1:38" ht="15.75" customHeight="1" x14ac:dyDescent="0.25">
      <c r="A908" s="534"/>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c r="AL908" s="271"/>
    </row>
    <row r="909" spans="1:38" ht="15.75" customHeight="1" x14ac:dyDescent="0.25">
      <c r="A909" s="534"/>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c r="AL909" s="271"/>
    </row>
    <row r="910" spans="1:38" ht="15.75" customHeight="1" x14ac:dyDescent="0.25">
      <c r="A910" s="534"/>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c r="AL910" s="271"/>
    </row>
    <row r="911" spans="1:38" ht="15.75" customHeight="1" x14ac:dyDescent="0.25">
      <c r="A911" s="534"/>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c r="AL911" s="271"/>
    </row>
    <row r="912" spans="1:38" ht="15.75" customHeight="1" x14ac:dyDescent="0.25">
      <c r="A912" s="534"/>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c r="AL912" s="271"/>
    </row>
    <row r="913" spans="1:38" ht="15.75" customHeight="1" x14ac:dyDescent="0.25">
      <c r="A913" s="534"/>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c r="AL913" s="271"/>
    </row>
    <row r="914" spans="1:38" ht="15.75" customHeight="1" x14ac:dyDescent="0.25">
      <c r="A914" s="534"/>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c r="AL914" s="271"/>
    </row>
    <row r="915" spans="1:38" ht="15.75" customHeight="1" x14ac:dyDescent="0.25">
      <c r="A915" s="534"/>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c r="AL915" s="271"/>
    </row>
    <row r="916" spans="1:38" ht="15.75" customHeight="1" x14ac:dyDescent="0.25">
      <c r="A916" s="534"/>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c r="AL916" s="271"/>
    </row>
    <row r="917" spans="1:38" ht="15.75" customHeight="1" x14ac:dyDescent="0.25">
      <c r="A917" s="534"/>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c r="AL917" s="271"/>
    </row>
    <row r="918" spans="1:38" ht="15.75" customHeight="1" x14ac:dyDescent="0.25">
      <c r="A918" s="534"/>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c r="AL918" s="271"/>
    </row>
    <row r="919" spans="1:38" ht="15.75" customHeight="1" x14ac:dyDescent="0.25">
      <c r="A919" s="534"/>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c r="AL919" s="271"/>
    </row>
    <row r="920" spans="1:38" ht="15.75" customHeight="1" x14ac:dyDescent="0.25">
      <c r="A920" s="534"/>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c r="AL920" s="271"/>
    </row>
    <row r="921" spans="1:38" ht="15.75" customHeight="1" x14ac:dyDescent="0.25">
      <c r="A921" s="534"/>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c r="AL921" s="271"/>
    </row>
    <row r="922" spans="1:38" ht="15.75" customHeight="1" x14ac:dyDescent="0.25">
      <c r="A922" s="534"/>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c r="AL922" s="271"/>
    </row>
    <row r="923" spans="1:38" ht="15.75" customHeight="1" x14ac:dyDescent="0.25">
      <c r="A923" s="534"/>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c r="AL923" s="271"/>
    </row>
    <row r="924" spans="1:38" ht="15.75" customHeight="1" x14ac:dyDescent="0.25">
      <c r="A924" s="534"/>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c r="AL924" s="271"/>
    </row>
    <row r="925" spans="1:38" ht="15.75" customHeight="1" x14ac:dyDescent="0.25">
      <c r="A925" s="534"/>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c r="AL925" s="271"/>
    </row>
    <row r="926" spans="1:38" ht="15.75" customHeight="1" x14ac:dyDescent="0.25">
      <c r="A926" s="534"/>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c r="AL926" s="271"/>
    </row>
    <row r="927" spans="1:38" ht="15.75" customHeight="1" x14ac:dyDescent="0.25">
      <c r="A927" s="534"/>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c r="AL927" s="271"/>
    </row>
    <row r="928" spans="1:38" ht="15.75" customHeight="1" x14ac:dyDescent="0.25">
      <c r="A928" s="534"/>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c r="AL928" s="271"/>
    </row>
    <row r="929" spans="1:38" ht="15.75" customHeight="1" x14ac:dyDescent="0.25">
      <c r="A929" s="534"/>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c r="AL929" s="271"/>
    </row>
    <row r="930" spans="1:38" ht="15.75" customHeight="1" x14ac:dyDescent="0.25">
      <c r="A930" s="534"/>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c r="AL930" s="271"/>
    </row>
    <row r="931" spans="1:38" ht="15.75" customHeight="1" x14ac:dyDescent="0.25">
      <c r="A931" s="534"/>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c r="AL931" s="271"/>
    </row>
    <row r="932" spans="1:38" ht="15.75" customHeight="1" x14ac:dyDescent="0.25">
      <c r="A932" s="534"/>
      <c r="B932" s="271"/>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c r="AL932" s="271"/>
    </row>
    <row r="933" spans="1:38" ht="15.75" customHeight="1" x14ac:dyDescent="0.25">
      <c r="A933" s="534"/>
      <c r="B933" s="271"/>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c r="AL933" s="271"/>
    </row>
    <row r="934" spans="1:38" ht="15.75" customHeight="1" x14ac:dyDescent="0.25">
      <c r="A934" s="534"/>
      <c r="B934" s="271"/>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c r="AL934" s="271"/>
    </row>
    <row r="935" spans="1:38" ht="15.75" customHeight="1" x14ac:dyDescent="0.25">
      <c r="A935" s="534"/>
      <c r="B935" s="271"/>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c r="AL935" s="271"/>
    </row>
    <row r="936" spans="1:38" ht="15.75" customHeight="1" x14ac:dyDescent="0.25">
      <c r="A936" s="534"/>
      <c r="B936" s="271"/>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c r="AL936" s="271"/>
    </row>
    <row r="937" spans="1:38" ht="15.75" customHeight="1" x14ac:dyDescent="0.25">
      <c r="A937" s="534"/>
      <c r="B937" s="271"/>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c r="AL937" s="271"/>
    </row>
    <row r="938" spans="1:38" ht="15.75" customHeight="1" x14ac:dyDescent="0.25">
      <c r="A938" s="534"/>
      <c r="B938" s="271"/>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c r="AL938" s="271"/>
    </row>
    <row r="939" spans="1:38" ht="15.75" customHeight="1" x14ac:dyDescent="0.25">
      <c r="A939" s="534"/>
      <c r="B939" s="271"/>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c r="AL939" s="271"/>
    </row>
    <row r="940" spans="1:38" ht="15.75" customHeight="1" x14ac:dyDescent="0.25">
      <c r="A940" s="534"/>
      <c r="B940" s="271"/>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c r="AL940" s="271"/>
    </row>
    <row r="941" spans="1:38" ht="15.75" customHeight="1" x14ac:dyDescent="0.25">
      <c r="A941" s="534"/>
      <c r="B941" s="271"/>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c r="AL941" s="271"/>
    </row>
    <row r="942" spans="1:38" ht="15.75" customHeight="1" x14ac:dyDescent="0.25">
      <c r="A942" s="534"/>
      <c r="B942" s="271"/>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c r="AL942" s="271"/>
    </row>
    <row r="943" spans="1:38" ht="15.75" customHeight="1" x14ac:dyDescent="0.25">
      <c r="A943" s="534"/>
      <c r="B943" s="271"/>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c r="AL943" s="271"/>
    </row>
    <row r="944" spans="1:38" ht="15.75" customHeight="1" x14ac:dyDescent="0.25">
      <c r="A944" s="534"/>
      <c r="B944" s="271"/>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c r="AL944" s="271"/>
    </row>
    <row r="945" spans="1:38" ht="15.75" customHeight="1" x14ac:dyDescent="0.25">
      <c r="A945" s="534"/>
      <c r="B945" s="271"/>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c r="AL945" s="271"/>
    </row>
    <row r="946" spans="1:38" ht="15.75" customHeight="1" x14ac:dyDescent="0.25">
      <c r="A946" s="534"/>
      <c r="B946" s="271"/>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c r="AL946" s="271"/>
    </row>
    <row r="947" spans="1:38" ht="15.75" customHeight="1" x14ac:dyDescent="0.25">
      <c r="A947" s="534"/>
      <c r="B947" s="271"/>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c r="AL947" s="271"/>
    </row>
    <row r="948" spans="1:38" ht="15.75" customHeight="1" x14ac:dyDescent="0.25">
      <c r="A948" s="534"/>
      <c r="B948" s="271"/>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c r="AL948" s="271"/>
    </row>
    <row r="949" spans="1:38" ht="15.75" customHeight="1" x14ac:dyDescent="0.25">
      <c r="A949" s="534"/>
      <c r="B949" s="271"/>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c r="AL949" s="271"/>
    </row>
    <row r="950" spans="1:38" ht="15.75" customHeight="1" x14ac:dyDescent="0.25">
      <c r="A950" s="534"/>
      <c r="B950" s="271"/>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c r="AL950" s="271"/>
    </row>
    <row r="951" spans="1:38" ht="15.75" customHeight="1" x14ac:dyDescent="0.25">
      <c r="A951" s="534"/>
      <c r="B951" s="271"/>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c r="AL951" s="271"/>
    </row>
    <row r="952" spans="1:38" ht="15.75" customHeight="1" x14ac:dyDescent="0.25">
      <c r="A952" s="534"/>
      <c r="B952" s="271"/>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c r="AL952" s="271"/>
    </row>
    <row r="953" spans="1:38" ht="15.75" customHeight="1" x14ac:dyDescent="0.25">
      <c r="A953" s="534"/>
      <c r="B953" s="271"/>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c r="AL953" s="271"/>
    </row>
    <row r="954" spans="1:38" ht="15.75" customHeight="1" x14ac:dyDescent="0.25">
      <c r="A954" s="534"/>
      <c r="B954" s="271"/>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c r="AL954" s="271"/>
    </row>
    <row r="955" spans="1:38" ht="15.75" customHeight="1" x14ac:dyDescent="0.25">
      <c r="A955" s="534"/>
      <c r="B955" s="271"/>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c r="AL955" s="271"/>
    </row>
    <row r="956" spans="1:38" ht="15.75" customHeight="1" x14ac:dyDescent="0.25">
      <c r="A956" s="534"/>
      <c r="B956" s="271"/>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c r="AL956" s="271"/>
    </row>
    <row r="957" spans="1:38" ht="15.75" customHeight="1" x14ac:dyDescent="0.25">
      <c r="A957" s="534"/>
      <c r="B957" s="271"/>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c r="AL957" s="271"/>
    </row>
    <row r="958" spans="1:38" ht="15.75" customHeight="1" x14ac:dyDescent="0.25">
      <c r="A958" s="534"/>
      <c r="B958" s="271"/>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c r="AL958" s="271"/>
    </row>
    <row r="959" spans="1:38" ht="15.75" customHeight="1" x14ac:dyDescent="0.25">
      <c r="A959" s="534"/>
      <c r="B959" s="271"/>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c r="AL959" s="271"/>
    </row>
    <row r="960" spans="1:38" ht="15.75" customHeight="1" x14ac:dyDescent="0.25">
      <c r="A960" s="534"/>
      <c r="B960" s="271"/>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c r="AL960" s="271"/>
    </row>
    <row r="961" spans="1:38" ht="15.75" customHeight="1" x14ac:dyDescent="0.25">
      <c r="A961" s="534"/>
      <c r="B961" s="271"/>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c r="AL961" s="271"/>
    </row>
    <row r="962" spans="1:38" ht="15.75" customHeight="1" x14ac:dyDescent="0.25">
      <c r="A962" s="534"/>
      <c r="B962" s="271"/>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c r="AL962" s="271"/>
    </row>
    <row r="963" spans="1:38" ht="15.75" customHeight="1" x14ac:dyDescent="0.25">
      <c r="A963" s="534"/>
      <c r="B963" s="271"/>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c r="AL963" s="271"/>
    </row>
    <row r="964" spans="1:38" ht="15.75" customHeight="1" x14ac:dyDescent="0.25">
      <c r="A964" s="534"/>
      <c r="B964" s="271"/>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c r="AL964" s="271"/>
    </row>
    <row r="965" spans="1:38" ht="15.75" customHeight="1" x14ac:dyDescent="0.25">
      <c r="A965" s="534"/>
      <c r="B965" s="271"/>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c r="AL965" s="271"/>
    </row>
    <row r="966" spans="1:38" ht="15.75" customHeight="1" x14ac:dyDescent="0.25">
      <c r="A966" s="534"/>
      <c r="B966" s="271"/>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c r="AL966" s="271"/>
    </row>
    <row r="967" spans="1:38" ht="15.75" customHeight="1" x14ac:dyDescent="0.25">
      <c r="A967" s="534"/>
      <c r="B967" s="271"/>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c r="AL967" s="271"/>
    </row>
    <row r="968" spans="1:38" ht="15.75" customHeight="1" x14ac:dyDescent="0.25">
      <c r="A968" s="534"/>
      <c r="B968" s="271"/>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c r="AL968" s="271"/>
    </row>
    <row r="969" spans="1:38" ht="15.75" customHeight="1" x14ac:dyDescent="0.25">
      <c r="A969" s="534"/>
      <c r="B969" s="271"/>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c r="AL969" s="271"/>
    </row>
    <row r="970" spans="1:38" ht="15.75" customHeight="1" x14ac:dyDescent="0.25">
      <c r="A970" s="534"/>
      <c r="B970" s="271"/>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c r="AL970" s="271"/>
    </row>
    <row r="971" spans="1:38" ht="15.75" customHeight="1" x14ac:dyDescent="0.25">
      <c r="A971" s="534"/>
      <c r="B971" s="271"/>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c r="AL971" s="271"/>
    </row>
    <row r="972" spans="1:38" ht="15.75" customHeight="1" x14ac:dyDescent="0.25">
      <c r="A972" s="534"/>
      <c r="B972" s="271"/>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c r="AL972" s="271"/>
    </row>
    <row r="973" spans="1:38" ht="15.75" customHeight="1" x14ac:dyDescent="0.25">
      <c r="A973" s="534"/>
      <c r="B973" s="271"/>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c r="AL973" s="271"/>
    </row>
    <row r="974" spans="1:38" ht="15.75" customHeight="1" x14ac:dyDescent="0.25">
      <c r="A974" s="534"/>
      <c r="B974" s="271"/>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c r="AL974" s="271"/>
    </row>
    <row r="975" spans="1:38" ht="15.75" customHeight="1" x14ac:dyDescent="0.25">
      <c r="A975" s="534"/>
      <c r="B975" s="271"/>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c r="AL975" s="271"/>
    </row>
    <row r="976" spans="1:38" ht="15.75" customHeight="1" x14ac:dyDescent="0.25">
      <c r="A976" s="534"/>
      <c r="B976" s="271"/>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c r="AL976" s="271"/>
    </row>
    <row r="977" spans="1:38" ht="15.75" customHeight="1" x14ac:dyDescent="0.25">
      <c r="A977" s="534"/>
      <c r="B977" s="271"/>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c r="AL977" s="271"/>
    </row>
    <row r="978" spans="1:38" ht="15.75" customHeight="1" x14ac:dyDescent="0.25">
      <c r="A978" s="534"/>
      <c r="B978" s="271"/>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c r="AL978" s="271"/>
    </row>
    <row r="979" spans="1:38" ht="15.75" customHeight="1" x14ac:dyDescent="0.25">
      <c r="A979" s="534"/>
      <c r="B979" s="271"/>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c r="AL979" s="271"/>
    </row>
    <row r="980" spans="1:38" ht="15.75" customHeight="1" x14ac:dyDescent="0.25">
      <c r="A980" s="534"/>
      <c r="B980" s="271"/>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c r="AL980" s="271"/>
    </row>
    <row r="981" spans="1:38" ht="15.75" customHeight="1" x14ac:dyDescent="0.25">
      <c r="A981" s="534"/>
      <c r="B981" s="271"/>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c r="AL981" s="271"/>
    </row>
    <row r="982" spans="1:38" ht="15.75" customHeight="1" x14ac:dyDescent="0.25">
      <c r="A982" s="534"/>
      <c r="B982" s="271"/>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c r="AL982" s="271"/>
    </row>
    <row r="983" spans="1:38" ht="15.75" customHeight="1" x14ac:dyDescent="0.25">
      <c r="A983" s="534"/>
      <c r="B983" s="271"/>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c r="AL983" s="271"/>
    </row>
    <row r="984" spans="1:38" ht="15.75" customHeight="1" x14ac:dyDescent="0.25">
      <c r="A984" s="534"/>
      <c r="B984" s="271"/>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c r="AL984" s="271"/>
    </row>
    <row r="985" spans="1:38" ht="15.75" customHeight="1" x14ac:dyDescent="0.25">
      <c r="A985" s="534"/>
      <c r="B985" s="271"/>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c r="AL985" s="271"/>
    </row>
    <row r="986" spans="1:38" ht="15.75" customHeight="1" x14ac:dyDescent="0.25">
      <c r="A986" s="534"/>
      <c r="B986" s="271"/>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c r="AL986" s="271"/>
    </row>
    <row r="987" spans="1:38" ht="15.75" customHeight="1" x14ac:dyDescent="0.25">
      <c r="A987" s="534"/>
      <c r="B987" s="271"/>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c r="AL987" s="271"/>
    </row>
    <row r="988" spans="1:38" ht="15.75" customHeight="1" x14ac:dyDescent="0.25">
      <c r="A988" s="534"/>
      <c r="B988" s="271"/>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c r="AL988" s="271"/>
    </row>
    <row r="989" spans="1:38" ht="15.75" customHeight="1" x14ac:dyDescent="0.25">
      <c r="A989" s="534"/>
      <c r="B989" s="271"/>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c r="AL989" s="271"/>
    </row>
    <row r="990" spans="1:38" ht="15.75" customHeight="1" x14ac:dyDescent="0.25">
      <c r="A990" s="534"/>
      <c r="B990" s="271"/>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c r="AL990" s="271"/>
    </row>
    <row r="991" spans="1:38" ht="15.75" customHeight="1" x14ac:dyDescent="0.25">
      <c r="A991" s="534"/>
      <c r="B991" s="271"/>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c r="AL991" s="271"/>
    </row>
    <row r="992" spans="1:38" ht="15.75" customHeight="1" x14ac:dyDescent="0.25">
      <c r="A992" s="534"/>
      <c r="B992" s="271"/>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c r="AL992" s="271"/>
    </row>
    <row r="993" spans="1:38" ht="15.75" customHeight="1" x14ac:dyDescent="0.25">
      <c r="A993" s="534"/>
      <c r="B993" s="271"/>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c r="AL993" s="271"/>
    </row>
    <row r="994" spans="1:38" ht="15.75" customHeight="1" x14ac:dyDescent="0.25">
      <c r="A994" s="534"/>
      <c r="B994" s="271"/>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c r="AL994" s="271"/>
    </row>
    <row r="995" spans="1:38" ht="15.75" customHeight="1" x14ac:dyDescent="0.25">
      <c r="A995" s="534"/>
      <c r="B995" s="271"/>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c r="AL995" s="271"/>
    </row>
    <row r="996" spans="1:38" ht="15.75" customHeight="1" x14ac:dyDescent="0.25">
      <c r="A996" s="534"/>
      <c r="B996" s="271"/>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c r="AL996" s="271"/>
    </row>
    <row r="997" spans="1:38" ht="15.75" customHeight="1" x14ac:dyDescent="0.25">
      <c r="A997" s="534"/>
      <c r="B997" s="271"/>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c r="AL997" s="271"/>
    </row>
    <row r="998" spans="1:38" ht="15.75" customHeight="1" x14ac:dyDescent="0.25">
      <c r="A998" s="534"/>
      <c r="B998" s="271"/>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c r="AL998" s="271"/>
    </row>
    <row r="999" spans="1:38" ht="15.75" customHeight="1" x14ac:dyDescent="0.25">
      <c r="A999" s="534"/>
      <c r="B999" s="271"/>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c r="AL999" s="271"/>
    </row>
    <row r="1000" spans="1:38" ht="15.75" customHeight="1" x14ac:dyDescent="0.25">
      <c r="A1000" s="534"/>
      <c r="B1000" s="271"/>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c r="AL1000" s="271"/>
    </row>
  </sheetData>
  <mergeCells count="1">
    <mergeCell ref="O1:AB1"/>
  </mergeCells>
  <pageMargins left="0.7" right="0.7" top="0.75" bottom="0.75" header="0" footer="0"/>
  <pageSetup orientation="portrait"/>
  <headerFooter>
    <oddFooter>&amp;C000000000000&amp;P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000"/>
  <sheetViews>
    <sheetView showGridLines="0" workbookViewId="0">
      <selection activeCell="B1" sqref="B1:B1048576"/>
    </sheetView>
  </sheetViews>
  <sheetFormatPr baseColWidth="10" defaultColWidth="12.5703125" defaultRowHeight="15" customHeight="1" x14ac:dyDescent="0.2"/>
  <cols>
    <col min="1" max="1" width="19.42578125" customWidth="1"/>
    <col min="2" max="2" width="18.42578125" style="535" customWidth="1"/>
    <col min="3" max="3" width="15.42578125" customWidth="1"/>
    <col min="4" max="4" width="19.42578125" customWidth="1"/>
    <col min="5" max="5" width="16.28515625" customWidth="1"/>
    <col min="6" max="9" width="15" customWidth="1"/>
    <col min="10" max="10" width="7.7109375" customWidth="1"/>
    <col min="11" max="11" width="15.28515625" customWidth="1"/>
    <col min="12" max="12" width="18.42578125" customWidth="1"/>
    <col min="13" max="14" width="16.7109375" customWidth="1"/>
    <col min="15" max="15" width="11.140625" customWidth="1"/>
    <col min="16" max="16" width="14.7109375" customWidth="1"/>
    <col min="17" max="17" width="11.85546875" customWidth="1"/>
    <col min="18" max="18" width="13" customWidth="1"/>
    <col min="19" max="21" width="15" customWidth="1"/>
    <col min="22" max="22" width="12.85546875" customWidth="1"/>
    <col min="23" max="23" width="14.42578125" customWidth="1"/>
    <col min="24" max="40" width="19.140625" customWidth="1"/>
    <col min="41" max="41" width="11.42578125" customWidth="1"/>
    <col min="42" max="51" width="9.140625" customWidth="1"/>
  </cols>
  <sheetData>
    <row r="1" spans="1:51" ht="15.75" customHeight="1" x14ac:dyDescent="0.25">
      <c r="A1" s="272" t="s">
        <v>190</v>
      </c>
      <c r="B1" s="521" t="s">
        <v>152</v>
      </c>
      <c r="C1" s="272" t="s">
        <v>157</v>
      </c>
      <c r="D1" s="272" t="s">
        <v>153</v>
      </c>
      <c r="E1" s="272" t="s">
        <v>191</v>
      </c>
      <c r="F1" s="272" t="s">
        <v>155</v>
      </c>
      <c r="G1" s="272" t="s">
        <v>156</v>
      </c>
      <c r="H1" s="272" t="s">
        <v>132</v>
      </c>
      <c r="I1" s="272" t="s">
        <v>158</v>
      </c>
      <c r="J1" s="272" t="s">
        <v>40</v>
      </c>
      <c r="K1" s="272" t="s">
        <v>192</v>
      </c>
      <c r="L1" s="272" t="s">
        <v>160</v>
      </c>
      <c r="M1" s="273" t="s">
        <v>193</v>
      </c>
      <c r="N1" s="272" t="s">
        <v>194</v>
      </c>
      <c r="O1" s="274"/>
      <c r="P1" s="553" t="s">
        <v>163</v>
      </c>
      <c r="Q1" s="554"/>
      <c r="R1" s="554"/>
      <c r="S1" s="554"/>
      <c r="T1" s="554"/>
      <c r="U1" s="554"/>
      <c r="V1" s="554"/>
      <c r="W1" s="554"/>
      <c r="X1" s="554"/>
      <c r="Y1" s="554"/>
      <c r="Z1" s="554"/>
      <c r="AA1" s="554"/>
      <c r="AB1" s="554"/>
      <c r="AC1" s="554"/>
      <c r="AD1" s="554"/>
      <c r="AE1" s="554"/>
      <c r="AF1" s="554"/>
      <c r="AG1" s="554"/>
      <c r="AH1" s="554"/>
      <c r="AI1" s="554"/>
      <c r="AJ1" s="554"/>
      <c r="AK1" s="554"/>
      <c r="AL1" s="554"/>
      <c r="AM1" s="554"/>
      <c r="AN1" s="554"/>
      <c r="AO1" s="555"/>
      <c r="AP1" s="275"/>
      <c r="AQ1" s="276"/>
      <c r="AR1" s="276"/>
      <c r="AS1" s="276"/>
      <c r="AT1" s="276"/>
      <c r="AU1" s="276"/>
      <c r="AV1" s="276"/>
      <c r="AW1" s="276"/>
      <c r="AX1" s="276"/>
      <c r="AY1" s="276"/>
    </row>
    <row r="2" spans="1:51" ht="15.75" customHeight="1" x14ac:dyDescent="0.25">
      <c r="A2" s="278"/>
      <c r="B2" s="522"/>
      <c r="C2" s="279"/>
      <c r="D2" s="278"/>
      <c r="E2" s="278"/>
      <c r="F2" s="278"/>
      <c r="G2" s="278"/>
      <c r="H2" s="278"/>
      <c r="I2" s="278"/>
      <c r="J2" s="279"/>
      <c r="K2" s="424"/>
      <c r="L2" s="281"/>
      <c r="M2" s="282"/>
      <c r="N2" s="425"/>
      <c r="O2" s="357">
        <v>0.7</v>
      </c>
      <c r="P2" s="285" t="s">
        <v>164</v>
      </c>
      <c r="Q2" s="286" t="s">
        <v>165</v>
      </c>
      <c r="R2" s="286" t="s">
        <v>166</v>
      </c>
      <c r="S2" s="286" t="s">
        <v>167</v>
      </c>
      <c r="T2" s="286" t="s">
        <v>168</v>
      </c>
      <c r="U2" s="287" t="s">
        <v>169</v>
      </c>
      <c r="V2" s="285" t="s">
        <v>170</v>
      </c>
      <c r="W2" s="287" t="s">
        <v>171</v>
      </c>
      <c r="X2" s="288" t="s">
        <v>195</v>
      </c>
      <c r="Y2" s="288" t="s">
        <v>196</v>
      </c>
      <c r="Z2" s="288" t="s">
        <v>197</v>
      </c>
      <c r="AA2" s="288" t="s">
        <v>198</v>
      </c>
      <c r="AB2" s="288" t="s">
        <v>199</v>
      </c>
      <c r="AC2" s="288" t="s">
        <v>200</v>
      </c>
      <c r="AD2" s="288" t="s">
        <v>201</v>
      </c>
      <c r="AE2" s="288" t="s">
        <v>202</v>
      </c>
      <c r="AF2" s="288" t="s">
        <v>203</v>
      </c>
      <c r="AG2" s="288" t="s">
        <v>204</v>
      </c>
      <c r="AH2" s="288" t="s">
        <v>205</v>
      </c>
      <c r="AI2" s="288" t="s">
        <v>206</v>
      </c>
      <c r="AJ2" s="288" t="s">
        <v>207</v>
      </c>
      <c r="AK2" s="288" t="s">
        <v>208</v>
      </c>
      <c r="AL2" s="288" t="s">
        <v>209</v>
      </c>
      <c r="AM2" s="288" t="s">
        <v>210</v>
      </c>
      <c r="AN2" s="288" t="s">
        <v>211</v>
      </c>
      <c r="AO2" s="288" t="s">
        <v>44</v>
      </c>
      <c r="AP2" s="275"/>
      <c r="AQ2" s="276"/>
      <c r="AR2" s="276"/>
      <c r="AS2" s="276"/>
      <c r="AT2" s="276"/>
      <c r="AU2" s="276"/>
      <c r="AV2" s="276"/>
      <c r="AW2" s="276"/>
      <c r="AX2" s="276"/>
      <c r="AY2" s="276"/>
    </row>
    <row r="3" spans="1:51" ht="15.75" customHeight="1" x14ac:dyDescent="0.25">
      <c r="A3" s="426" t="s">
        <v>212</v>
      </c>
      <c r="B3" s="527">
        <v>45078</v>
      </c>
      <c r="C3" s="427">
        <f t="shared" ref="C3:C25" si="0">(D3+E3+F3+G3+H3)</f>
        <v>353000</v>
      </c>
      <c r="D3" s="427">
        <v>353000</v>
      </c>
      <c r="E3" s="243"/>
      <c r="F3" s="243"/>
      <c r="G3" s="243"/>
      <c r="H3" s="243"/>
      <c r="I3" s="243">
        <f>'Détail Dépenses'!Y51</f>
        <v>289000</v>
      </c>
      <c r="J3" s="360">
        <f t="shared" ref="J3:J32" si="1">I3/C3</f>
        <v>0.81869688385269124</v>
      </c>
      <c r="K3" s="312">
        <f t="shared" ref="K3:K32" si="2">D3-I3</f>
        <v>64000</v>
      </c>
      <c r="L3" s="332">
        <v>64000</v>
      </c>
      <c r="M3" s="332">
        <f t="shared" ref="M3:M28" si="3">L3-K3</f>
        <v>0</v>
      </c>
      <c r="N3" s="428">
        <f>L3</f>
        <v>64000</v>
      </c>
      <c r="O3" s="429"/>
      <c r="P3" s="335">
        <f>11500</f>
        <v>11500</v>
      </c>
      <c r="Q3" s="335"/>
      <c r="R3" s="335">
        <f>16500</f>
        <v>16500</v>
      </c>
      <c r="S3" s="335">
        <f>25000</f>
        <v>25000</v>
      </c>
      <c r="T3" s="335"/>
      <c r="U3" s="335"/>
      <c r="V3" s="335">
        <v>9000</v>
      </c>
      <c r="W3" s="335"/>
      <c r="X3" s="335"/>
      <c r="Y3" s="335"/>
      <c r="Z3" s="335"/>
      <c r="AA3" s="335">
        <v>2000</v>
      </c>
      <c r="AB3" s="335"/>
      <c r="AC3" s="335"/>
      <c r="AD3" s="335"/>
      <c r="AE3" s="335"/>
      <c r="AF3" s="335"/>
      <c r="AG3" s="335"/>
      <c r="AH3" s="335"/>
      <c r="AI3" s="335"/>
      <c r="AJ3" s="335"/>
      <c r="AK3" s="335"/>
      <c r="AL3" s="335"/>
      <c r="AM3" s="335"/>
      <c r="AN3" s="335"/>
      <c r="AO3" s="430">
        <f t="shared" ref="AO3:AO32" si="4">SUM(AA3:AN3)</f>
        <v>2000</v>
      </c>
      <c r="AP3" s="201"/>
      <c r="AQ3" s="276"/>
      <c r="AR3" s="276"/>
      <c r="AS3" s="276"/>
      <c r="AT3" s="276"/>
      <c r="AU3" s="276"/>
      <c r="AV3" s="276"/>
      <c r="AW3" s="276"/>
      <c r="AX3" s="276"/>
      <c r="AY3" s="276"/>
    </row>
    <row r="4" spans="1:51" ht="15.75" customHeight="1" x14ac:dyDescent="0.25">
      <c r="A4" s="431" t="s">
        <v>144</v>
      </c>
      <c r="B4" s="528">
        <v>45079</v>
      </c>
      <c r="C4" s="365">
        <f t="shared" si="0"/>
        <v>504250</v>
      </c>
      <c r="D4" s="365">
        <v>504250</v>
      </c>
      <c r="E4" s="309"/>
      <c r="F4" s="309"/>
      <c r="G4" s="309"/>
      <c r="H4" s="309"/>
      <c r="I4" s="309">
        <f>'Détail Dépenses'!Y52</f>
        <v>43300</v>
      </c>
      <c r="J4" s="378">
        <f t="shared" si="1"/>
        <v>8.5870104115022314E-2</v>
      </c>
      <c r="K4" s="312">
        <f t="shared" si="2"/>
        <v>460950</v>
      </c>
      <c r="L4" s="312">
        <v>461000</v>
      </c>
      <c r="M4" s="312">
        <f t="shared" si="3"/>
        <v>50</v>
      </c>
      <c r="N4" s="432">
        <f t="shared" ref="N4:N32" si="5">N3+L4</f>
        <v>525000</v>
      </c>
      <c r="O4" s="433"/>
      <c r="P4" s="315">
        <f>35500</f>
        <v>35500</v>
      </c>
      <c r="Q4" s="315">
        <f>37500</f>
        <v>37500</v>
      </c>
      <c r="R4" s="315"/>
      <c r="S4" s="315"/>
      <c r="T4" s="315"/>
      <c r="U4" s="315"/>
      <c r="V4" s="315">
        <f>11000</f>
        <v>11000</v>
      </c>
      <c r="W4" s="315"/>
      <c r="X4" s="315"/>
      <c r="Y4" s="315"/>
      <c r="Z4" s="315"/>
      <c r="AA4" s="315">
        <v>2000</v>
      </c>
      <c r="AB4" s="315"/>
      <c r="AC4" s="315"/>
      <c r="AD4" s="315"/>
      <c r="AE4" s="315"/>
      <c r="AF4" s="315"/>
      <c r="AG4" s="315"/>
      <c r="AH4" s="315"/>
      <c r="AI4" s="315"/>
      <c r="AJ4" s="315"/>
      <c r="AK4" s="315"/>
      <c r="AL4" s="315"/>
      <c r="AM4" s="315"/>
      <c r="AN4" s="315"/>
      <c r="AO4" s="434">
        <f t="shared" si="4"/>
        <v>2000</v>
      </c>
      <c r="AP4" s="201"/>
      <c r="AQ4" s="276"/>
      <c r="AR4" s="276"/>
      <c r="AS4" s="276"/>
      <c r="AT4" s="276"/>
      <c r="AU4" s="276"/>
      <c r="AV4" s="276"/>
      <c r="AW4" s="276"/>
      <c r="AX4" s="276"/>
      <c r="AY4" s="276"/>
    </row>
    <row r="5" spans="1:51" ht="15.75" customHeight="1" x14ac:dyDescent="0.25">
      <c r="A5" s="431" t="s">
        <v>138</v>
      </c>
      <c r="B5" s="528">
        <v>45080</v>
      </c>
      <c r="C5" s="365">
        <f t="shared" si="0"/>
        <v>549500</v>
      </c>
      <c r="D5" s="365">
        <v>549500</v>
      </c>
      <c r="E5" s="309"/>
      <c r="F5" s="309"/>
      <c r="G5" s="309"/>
      <c r="H5" s="309"/>
      <c r="I5" s="309">
        <f>'Détail Dépenses'!Y53</f>
        <v>274550</v>
      </c>
      <c r="J5" s="378">
        <f t="shared" si="1"/>
        <v>0.49963603275705187</v>
      </c>
      <c r="K5" s="312">
        <f t="shared" si="2"/>
        <v>274950</v>
      </c>
      <c r="L5" s="312">
        <v>275000</v>
      </c>
      <c r="M5" s="312">
        <f t="shared" si="3"/>
        <v>50</v>
      </c>
      <c r="N5" s="432">
        <f t="shared" si="5"/>
        <v>800000</v>
      </c>
      <c r="O5" s="433"/>
      <c r="P5" s="315"/>
      <c r="Q5" s="315">
        <f>2000</f>
        <v>2000</v>
      </c>
      <c r="R5" s="315">
        <f>48000</f>
        <v>48000</v>
      </c>
      <c r="S5" s="315"/>
      <c r="T5" s="315"/>
      <c r="U5" s="315"/>
      <c r="V5" s="315">
        <f>4000+1500+2000</f>
        <v>7500</v>
      </c>
      <c r="W5" s="315"/>
      <c r="X5" s="315"/>
      <c r="Y5" s="315"/>
      <c r="Z5" s="315"/>
      <c r="AA5" s="315">
        <v>2000</v>
      </c>
      <c r="AB5" s="315"/>
      <c r="AC5" s="315"/>
      <c r="AD5" s="315"/>
      <c r="AE5" s="315"/>
      <c r="AF5" s="315"/>
      <c r="AG5" s="315"/>
      <c r="AH5" s="315"/>
      <c r="AI5" s="315"/>
      <c r="AJ5" s="315"/>
      <c r="AK5" s="315"/>
      <c r="AL5" s="315"/>
      <c r="AM5" s="315"/>
      <c r="AN5" s="315"/>
      <c r="AO5" s="434">
        <f t="shared" si="4"/>
        <v>2000</v>
      </c>
      <c r="AP5" s="201"/>
      <c r="AQ5" s="276"/>
      <c r="AR5" s="276"/>
      <c r="AS5" s="276"/>
      <c r="AT5" s="276"/>
      <c r="AU5" s="276"/>
      <c r="AV5" s="276"/>
      <c r="AW5" s="276"/>
      <c r="AX5" s="276"/>
      <c r="AY5" s="276"/>
    </row>
    <row r="6" spans="1:51" ht="15.75" customHeight="1" x14ac:dyDescent="0.25">
      <c r="A6" s="435" t="s">
        <v>139</v>
      </c>
      <c r="B6" s="542">
        <v>45081</v>
      </c>
      <c r="C6" s="436">
        <f t="shared" si="0"/>
        <v>214500</v>
      </c>
      <c r="D6" s="436">
        <v>214500</v>
      </c>
      <c r="E6" s="320"/>
      <c r="F6" s="320"/>
      <c r="G6" s="320"/>
      <c r="H6" s="320"/>
      <c r="I6" s="320">
        <f>'Détail Dépenses'!Y54</f>
        <v>344650</v>
      </c>
      <c r="J6" s="367">
        <f t="shared" si="1"/>
        <v>1.6067599067599068</v>
      </c>
      <c r="K6" s="312">
        <f t="shared" si="2"/>
        <v>-130150</v>
      </c>
      <c r="L6" s="323">
        <f>111200-241800</f>
        <v>-130600</v>
      </c>
      <c r="M6" s="323">
        <f t="shared" si="3"/>
        <v>-450</v>
      </c>
      <c r="N6" s="432">
        <f t="shared" si="5"/>
        <v>669400</v>
      </c>
      <c r="O6" s="437"/>
      <c r="P6" s="327"/>
      <c r="Q6" s="327"/>
      <c r="R6" s="327"/>
      <c r="S6" s="327"/>
      <c r="T6" s="327"/>
      <c r="U6" s="327"/>
      <c r="V6" s="327">
        <v>9000</v>
      </c>
      <c r="W6" s="327"/>
      <c r="X6" s="327"/>
      <c r="Y6" s="327"/>
      <c r="Z6" s="327"/>
      <c r="AA6" s="327">
        <v>1000</v>
      </c>
      <c r="AB6" s="327"/>
      <c r="AC6" s="327"/>
      <c r="AD6" s="327"/>
      <c r="AE6" s="327"/>
      <c r="AF6" s="327"/>
      <c r="AG6" s="327"/>
      <c r="AH6" s="327"/>
      <c r="AI6" s="327"/>
      <c r="AJ6" s="327"/>
      <c r="AK6" s="327"/>
      <c r="AL6" s="327"/>
      <c r="AM6" s="327"/>
      <c r="AN6" s="327">
        <v>1000</v>
      </c>
      <c r="AO6" s="438">
        <f t="shared" si="4"/>
        <v>2000</v>
      </c>
      <c r="AP6" s="201"/>
      <c r="AQ6" s="276"/>
      <c r="AR6" s="276"/>
      <c r="AS6" s="276"/>
      <c r="AT6" s="276"/>
      <c r="AU6" s="276"/>
      <c r="AV6" s="276"/>
      <c r="AW6" s="276"/>
      <c r="AX6" s="276"/>
      <c r="AY6" s="276"/>
    </row>
    <row r="7" spans="1:51" ht="15.75" customHeight="1" x14ac:dyDescent="0.25">
      <c r="A7" s="426" t="s">
        <v>140</v>
      </c>
      <c r="B7" s="527">
        <v>45082</v>
      </c>
      <c r="C7" s="439">
        <f t="shared" si="0"/>
        <v>162500</v>
      </c>
      <c r="D7" s="427">
        <v>162500</v>
      </c>
      <c r="E7" s="243"/>
      <c r="F7" s="243"/>
      <c r="G7" s="243"/>
      <c r="H7" s="243"/>
      <c r="I7" s="243">
        <f>'Détail Dépenses'!Y55</f>
        <v>132725</v>
      </c>
      <c r="J7" s="360">
        <f t="shared" si="1"/>
        <v>0.8167692307692308</v>
      </c>
      <c r="K7" s="312">
        <f t="shared" si="2"/>
        <v>29775</v>
      </c>
      <c r="L7" s="332">
        <v>30000</v>
      </c>
      <c r="M7" s="332">
        <f t="shared" si="3"/>
        <v>225</v>
      </c>
      <c r="N7" s="432">
        <f t="shared" si="5"/>
        <v>699400</v>
      </c>
      <c r="O7" s="429"/>
      <c r="P7" s="335">
        <v>5000</v>
      </c>
      <c r="Q7" s="210"/>
      <c r="R7" s="335">
        <v>16000</v>
      </c>
      <c r="S7" s="335"/>
      <c r="T7" s="335">
        <f>27000</f>
        <v>27000</v>
      </c>
      <c r="U7" s="335"/>
      <c r="V7" s="335">
        <v>9500</v>
      </c>
      <c r="W7" s="335"/>
      <c r="X7" s="335">
        <v>7500</v>
      </c>
      <c r="Y7" s="335"/>
      <c r="Z7" s="335"/>
      <c r="AA7" s="335">
        <v>2000</v>
      </c>
      <c r="AB7" s="335"/>
      <c r="AC7" s="335"/>
      <c r="AD7" s="335"/>
      <c r="AE7" s="335"/>
      <c r="AF7" s="335"/>
      <c r="AG7" s="335"/>
      <c r="AH7" s="335"/>
      <c r="AI7" s="335"/>
      <c r="AJ7" s="335"/>
      <c r="AK7" s="335"/>
      <c r="AL7" s="335"/>
      <c r="AM7" s="335"/>
      <c r="AN7" s="335">
        <v>1000</v>
      </c>
      <c r="AO7" s="430">
        <f t="shared" si="4"/>
        <v>3000</v>
      </c>
      <c r="AP7" s="201"/>
      <c r="AQ7" s="276"/>
      <c r="AR7" s="276"/>
      <c r="AS7" s="276"/>
      <c r="AT7" s="276"/>
      <c r="AU7" s="276"/>
      <c r="AV7" s="276"/>
      <c r="AW7" s="276"/>
      <c r="AX7" s="276"/>
      <c r="AY7" s="276"/>
    </row>
    <row r="8" spans="1:51" ht="15.75" customHeight="1" x14ac:dyDescent="0.25">
      <c r="A8" s="431" t="s">
        <v>141</v>
      </c>
      <c r="B8" s="528">
        <v>45083</v>
      </c>
      <c r="C8" s="427">
        <f t="shared" si="0"/>
        <v>311750</v>
      </c>
      <c r="D8" s="440">
        <v>311750</v>
      </c>
      <c r="E8" s="309"/>
      <c r="F8" s="309"/>
      <c r="G8" s="309"/>
      <c r="H8" s="309"/>
      <c r="I8" s="309">
        <f>'Détail Dépenses'!Y56</f>
        <v>212350</v>
      </c>
      <c r="J8" s="378">
        <f t="shared" si="1"/>
        <v>0.68115477145148351</v>
      </c>
      <c r="K8" s="312">
        <f t="shared" si="2"/>
        <v>99400</v>
      </c>
      <c r="L8" s="312">
        <v>99400</v>
      </c>
      <c r="M8" s="312">
        <f t="shared" si="3"/>
        <v>0</v>
      </c>
      <c r="N8" s="432">
        <f t="shared" si="5"/>
        <v>798800</v>
      </c>
      <c r="O8" s="433"/>
      <c r="P8" s="315"/>
      <c r="Q8" s="315"/>
      <c r="R8" s="315"/>
      <c r="S8" s="315"/>
      <c r="T8" s="315"/>
      <c r="U8" s="315"/>
      <c r="V8" s="315">
        <v>13500</v>
      </c>
      <c r="W8" s="315"/>
      <c r="X8" s="315"/>
      <c r="Y8" s="315"/>
      <c r="Z8" s="315"/>
      <c r="AA8" s="315">
        <v>1500</v>
      </c>
      <c r="AB8" s="315">
        <v>1500</v>
      </c>
      <c r="AC8" s="315"/>
      <c r="AD8" s="315">
        <v>500</v>
      </c>
      <c r="AE8" s="315"/>
      <c r="AF8" s="315">
        <v>500</v>
      </c>
      <c r="AG8" s="315">
        <v>500</v>
      </c>
      <c r="AH8" s="315"/>
      <c r="AI8" s="315"/>
      <c r="AJ8" s="315"/>
      <c r="AK8" s="315"/>
      <c r="AL8" s="315"/>
      <c r="AM8" s="315"/>
      <c r="AN8" s="315">
        <v>1500</v>
      </c>
      <c r="AO8" s="434">
        <f t="shared" si="4"/>
        <v>6000</v>
      </c>
      <c r="AP8" s="201"/>
      <c r="AQ8" s="276"/>
      <c r="AR8" s="276"/>
      <c r="AS8" s="276"/>
      <c r="AT8" s="276"/>
      <c r="AU8" s="276"/>
      <c r="AV8" s="276"/>
      <c r="AW8" s="276"/>
      <c r="AX8" s="276"/>
      <c r="AY8" s="276"/>
    </row>
    <row r="9" spans="1:51" ht="15.75" customHeight="1" x14ac:dyDescent="0.25">
      <c r="A9" s="431" t="s">
        <v>142</v>
      </c>
      <c r="B9" s="528">
        <v>45084</v>
      </c>
      <c r="C9" s="365">
        <f t="shared" si="0"/>
        <v>520000</v>
      </c>
      <c r="D9" s="365">
        <v>520000</v>
      </c>
      <c r="E9" s="309"/>
      <c r="F9" s="309"/>
      <c r="G9" s="309"/>
      <c r="H9" s="309"/>
      <c r="I9" s="309">
        <f>'Détail Dépenses'!Y57</f>
        <v>260850</v>
      </c>
      <c r="J9" s="378">
        <f t="shared" si="1"/>
        <v>0.5016346153846154</v>
      </c>
      <c r="K9" s="312">
        <f t="shared" si="2"/>
        <v>259150</v>
      </c>
      <c r="L9" s="312">
        <f>310000-50000</f>
        <v>260000</v>
      </c>
      <c r="M9" s="312">
        <f t="shared" si="3"/>
        <v>850</v>
      </c>
      <c r="N9" s="432">
        <f t="shared" si="5"/>
        <v>1058800</v>
      </c>
      <c r="O9" s="433"/>
      <c r="P9" s="315"/>
      <c r="Q9" s="315"/>
      <c r="R9" s="315">
        <v>19500</v>
      </c>
      <c r="S9" s="315"/>
      <c r="T9" s="315"/>
      <c r="U9" s="315"/>
      <c r="V9" s="315">
        <f>30000+5000+5000</f>
        <v>40000</v>
      </c>
      <c r="W9" s="315"/>
      <c r="X9" s="315"/>
      <c r="Y9" s="315"/>
      <c r="Z9" s="315">
        <v>91000</v>
      </c>
      <c r="AA9" s="315"/>
      <c r="AB9" s="315"/>
      <c r="AC9" s="315"/>
      <c r="AD9" s="315"/>
      <c r="AE9" s="315">
        <v>5000</v>
      </c>
      <c r="AF9" s="315"/>
      <c r="AG9" s="315"/>
      <c r="AH9" s="315"/>
      <c r="AI9" s="315"/>
      <c r="AJ9" s="315"/>
      <c r="AK9" s="315"/>
      <c r="AL9" s="315"/>
      <c r="AM9" s="315"/>
      <c r="AN9" s="315">
        <v>500</v>
      </c>
      <c r="AO9" s="434">
        <f t="shared" si="4"/>
        <v>5500</v>
      </c>
      <c r="AP9" s="201"/>
      <c r="AQ9" s="276"/>
      <c r="AR9" s="276"/>
      <c r="AS9" s="276"/>
      <c r="AT9" s="276"/>
      <c r="AU9" s="276"/>
      <c r="AV9" s="276"/>
      <c r="AW9" s="276"/>
      <c r="AX9" s="276"/>
      <c r="AY9" s="276"/>
    </row>
    <row r="10" spans="1:51" ht="15.75" customHeight="1" x14ac:dyDescent="0.25">
      <c r="A10" s="431" t="s">
        <v>143</v>
      </c>
      <c r="B10" s="528">
        <v>45085</v>
      </c>
      <c r="C10" s="365">
        <f t="shared" si="0"/>
        <v>437250</v>
      </c>
      <c r="D10" s="441">
        <v>437250</v>
      </c>
      <c r="E10" s="309"/>
      <c r="F10" s="309"/>
      <c r="G10" s="309"/>
      <c r="H10" s="309"/>
      <c r="I10" s="309">
        <f>'Détail Dépenses'!Y58</f>
        <v>123250</v>
      </c>
      <c r="J10" s="378">
        <f t="shared" si="1"/>
        <v>0.28187535734705543</v>
      </c>
      <c r="K10" s="312">
        <f t="shared" si="2"/>
        <v>314000</v>
      </c>
      <c r="L10" s="312">
        <v>314000</v>
      </c>
      <c r="M10" s="312">
        <f t="shared" si="3"/>
        <v>0</v>
      </c>
      <c r="N10" s="432">
        <f t="shared" si="5"/>
        <v>1372800</v>
      </c>
      <c r="O10" s="433"/>
      <c r="P10" s="315">
        <f>9500</f>
        <v>9500</v>
      </c>
      <c r="Q10" s="315"/>
      <c r="R10" s="315"/>
      <c r="S10" s="315">
        <f>11000</f>
        <v>11000</v>
      </c>
      <c r="T10" s="315"/>
      <c r="U10" s="315"/>
      <c r="V10" s="315">
        <f>13500</f>
        <v>13500</v>
      </c>
      <c r="W10" s="315"/>
      <c r="X10" s="315"/>
      <c r="Y10" s="315">
        <v>90500</v>
      </c>
      <c r="Z10" s="315">
        <v>40000</v>
      </c>
      <c r="AA10" s="315">
        <v>2000</v>
      </c>
      <c r="AB10" s="315"/>
      <c r="AC10" s="315"/>
      <c r="AD10" s="315"/>
      <c r="AE10" s="315"/>
      <c r="AF10" s="315"/>
      <c r="AG10" s="315"/>
      <c r="AH10" s="315"/>
      <c r="AI10" s="315"/>
      <c r="AJ10" s="315"/>
      <c r="AK10" s="315"/>
      <c r="AL10" s="315"/>
      <c r="AM10" s="315"/>
      <c r="AN10" s="315">
        <v>1000</v>
      </c>
      <c r="AO10" s="434">
        <f t="shared" si="4"/>
        <v>3000</v>
      </c>
      <c r="AP10" s="201"/>
      <c r="AQ10" s="276"/>
      <c r="AR10" s="276"/>
      <c r="AS10" s="276"/>
      <c r="AT10" s="276"/>
      <c r="AU10" s="276"/>
      <c r="AV10" s="276"/>
      <c r="AW10" s="276"/>
      <c r="AX10" s="276"/>
      <c r="AY10" s="276"/>
    </row>
    <row r="11" spans="1:51" ht="15.75" customHeight="1" x14ac:dyDescent="0.25">
      <c r="A11" s="431" t="s">
        <v>144</v>
      </c>
      <c r="B11" s="528">
        <v>45086</v>
      </c>
      <c r="C11" s="436">
        <f t="shared" si="0"/>
        <v>1019500</v>
      </c>
      <c r="D11" s="441">
        <v>1019500</v>
      </c>
      <c r="E11" s="309"/>
      <c r="F11" s="309"/>
      <c r="G11" s="309"/>
      <c r="H11" s="309"/>
      <c r="I11" s="309">
        <f>'Détail Dépenses'!Y59</f>
        <v>159075</v>
      </c>
      <c r="J11" s="378">
        <f t="shared" si="1"/>
        <v>0.15603236880823934</v>
      </c>
      <c r="K11" s="312">
        <f t="shared" si="2"/>
        <v>860425</v>
      </c>
      <c r="L11" s="312">
        <v>860000</v>
      </c>
      <c r="M11" s="312">
        <f t="shared" si="3"/>
        <v>-425</v>
      </c>
      <c r="N11" s="432">
        <f t="shared" si="5"/>
        <v>2232800</v>
      </c>
      <c r="O11" s="433"/>
      <c r="P11" s="315"/>
      <c r="Q11" s="315">
        <f>47000</f>
        <v>47000</v>
      </c>
      <c r="R11" s="315"/>
      <c r="S11" s="315"/>
      <c r="T11" s="315"/>
      <c r="U11" s="315"/>
      <c r="V11" s="315">
        <f>6000</f>
        <v>6000</v>
      </c>
      <c r="W11" s="315"/>
      <c r="X11" s="315"/>
      <c r="Y11" s="315">
        <f>50000</f>
        <v>50000</v>
      </c>
      <c r="Z11" s="315"/>
      <c r="AA11" s="315">
        <f>2500</f>
        <v>2500</v>
      </c>
      <c r="AB11" s="315"/>
      <c r="AC11" s="315"/>
      <c r="AD11" s="315"/>
      <c r="AE11" s="315"/>
      <c r="AF11" s="315"/>
      <c r="AG11" s="315"/>
      <c r="AH11" s="315"/>
      <c r="AI11" s="315"/>
      <c r="AJ11" s="315"/>
      <c r="AK11" s="315"/>
      <c r="AL11" s="315"/>
      <c r="AM11" s="315"/>
      <c r="AN11" s="315">
        <f>1500</f>
        <v>1500</v>
      </c>
      <c r="AO11" s="434">
        <f t="shared" si="4"/>
        <v>4000</v>
      </c>
      <c r="AP11" s="201"/>
      <c r="AQ11" s="276"/>
      <c r="AR11" s="276"/>
      <c r="AS11" s="276"/>
      <c r="AT11" s="276"/>
      <c r="AU11" s="276"/>
      <c r="AV11" s="276"/>
      <c r="AW11" s="276"/>
      <c r="AX11" s="276"/>
      <c r="AY11" s="276"/>
    </row>
    <row r="12" spans="1:51" ht="15.75" customHeight="1" x14ac:dyDescent="0.25">
      <c r="A12" s="431" t="s">
        <v>138</v>
      </c>
      <c r="B12" s="528">
        <v>45087</v>
      </c>
      <c r="C12" s="439">
        <f t="shared" si="0"/>
        <v>1153500</v>
      </c>
      <c r="D12" s="441">
        <v>1153500</v>
      </c>
      <c r="E12" s="309"/>
      <c r="F12" s="309"/>
      <c r="G12" s="309"/>
      <c r="H12" s="309"/>
      <c r="I12" s="309">
        <f>'Détail Dépenses'!Y60</f>
        <v>168050</v>
      </c>
      <c r="J12" s="378">
        <f t="shared" si="1"/>
        <v>0.14568703944516689</v>
      </c>
      <c r="K12" s="312">
        <f t="shared" si="2"/>
        <v>985450</v>
      </c>
      <c r="L12" s="312">
        <f>995500-10000</f>
        <v>985500</v>
      </c>
      <c r="M12" s="312">
        <f t="shared" si="3"/>
        <v>50</v>
      </c>
      <c r="N12" s="432">
        <f t="shared" si="5"/>
        <v>3218300</v>
      </c>
      <c r="O12" s="433"/>
      <c r="P12" s="315">
        <v>5500</v>
      </c>
      <c r="Q12" s="315"/>
      <c r="R12" s="315">
        <v>46500</v>
      </c>
      <c r="S12" s="315">
        <v>55000</v>
      </c>
      <c r="T12" s="315"/>
      <c r="U12" s="315">
        <v>11000</v>
      </c>
      <c r="V12" s="315">
        <v>5000</v>
      </c>
      <c r="W12" s="315"/>
      <c r="X12" s="315"/>
      <c r="Y12" s="315">
        <v>172000</v>
      </c>
      <c r="Z12" s="315"/>
      <c r="AA12" s="315">
        <v>2500</v>
      </c>
      <c r="AB12" s="315">
        <v>1500</v>
      </c>
      <c r="AC12" s="315"/>
      <c r="AD12" s="315"/>
      <c r="AE12" s="315"/>
      <c r="AF12" s="315"/>
      <c r="AG12" s="315"/>
      <c r="AH12" s="315"/>
      <c r="AI12" s="315"/>
      <c r="AJ12" s="315"/>
      <c r="AK12" s="315"/>
      <c r="AL12" s="315"/>
      <c r="AM12" s="315"/>
      <c r="AN12" s="315">
        <f>1000</f>
        <v>1000</v>
      </c>
      <c r="AO12" s="434">
        <f t="shared" si="4"/>
        <v>5000</v>
      </c>
      <c r="AP12" s="201"/>
      <c r="AQ12" s="276"/>
      <c r="AR12" s="276"/>
      <c r="AS12" s="276"/>
      <c r="AT12" s="276"/>
      <c r="AU12" s="276"/>
      <c r="AV12" s="276"/>
      <c r="AW12" s="276"/>
      <c r="AX12" s="276"/>
      <c r="AY12" s="276"/>
    </row>
    <row r="13" spans="1:51" ht="15.75" customHeight="1" x14ac:dyDescent="0.25">
      <c r="A13" s="435" t="s">
        <v>139</v>
      </c>
      <c r="B13" s="542">
        <v>45088</v>
      </c>
      <c r="C13" s="427">
        <f t="shared" si="0"/>
        <v>942250</v>
      </c>
      <c r="D13" s="371">
        <f>950750-8500</f>
        <v>942250</v>
      </c>
      <c r="E13" s="320"/>
      <c r="F13" s="320"/>
      <c r="G13" s="320"/>
      <c r="H13" s="320"/>
      <c r="I13" s="320">
        <f>'Détail Dépenses'!Y61</f>
        <v>1425850</v>
      </c>
      <c r="J13" s="367">
        <f t="shared" si="1"/>
        <v>1.513239586097108</v>
      </c>
      <c r="K13" s="312">
        <f t="shared" si="2"/>
        <v>-483600</v>
      </c>
      <c r="L13" s="323">
        <f>727600-831500-160000-10000-120000-90000</f>
        <v>-483900</v>
      </c>
      <c r="M13" s="323">
        <f t="shared" si="3"/>
        <v>-300</v>
      </c>
      <c r="N13" s="432">
        <f t="shared" si="5"/>
        <v>2734400</v>
      </c>
      <c r="O13" s="437"/>
      <c r="P13" s="327"/>
      <c r="Q13" s="327"/>
      <c r="R13" s="327">
        <v>49000</v>
      </c>
      <c r="S13" s="327">
        <f>8500+60000</f>
        <v>68500</v>
      </c>
      <c r="T13" s="327"/>
      <c r="U13" s="327"/>
      <c r="V13" s="327">
        <f>8500+9500+4500</f>
        <v>22500</v>
      </c>
      <c r="W13" s="327"/>
      <c r="X13" s="327"/>
      <c r="Y13" s="327">
        <v>81500</v>
      </c>
      <c r="Z13" s="327"/>
      <c r="AA13" s="327">
        <v>2000</v>
      </c>
      <c r="AB13" s="327"/>
      <c r="AC13" s="327"/>
      <c r="AD13" s="327"/>
      <c r="AE13" s="327"/>
      <c r="AF13" s="327"/>
      <c r="AG13" s="327"/>
      <c r="AH13" s="327"/>
      <c r="AI13" s="327"/>
      <c r="AJ13" s="327"/>
      <c r="AK13" s="327"/>
      <c r="AL13" s="327"/>
      <c r="AM13" s="327"/>
      <c r="AN13" s="327"/>
      <c r="AO13" s="438">
        <f t="shared" si="4"/>
        <v>2000</v>
      </c>
      <c r="AP13" s="201"/>
      <c r="AQ13" s="276"/>
      <c r="AR13" s="276"/>
      <c r="AS13" s="276"/>
      <c r="AT13" s="276"/>
      <c r="AU13" s="276"/>
      <c r="AV13" s="276"/>
      <c r="AW13" s="276"/>
      <c r="AX13" s="276"/>
      <c r="AY13" s="276"/>
    </row>
    <row r="14" spans="1:51" ht="15.75" customHeight="1" x14ac:dyDescent="0.25">
      <c r="A14" s="426" t="s">
        <v>140</v>
      </c>
      <c r="B14" s="527">
        <v>45089</v>
      </c>
      <c r="C14" s="365">
        <f t="shared" si="0"/>
        <v>376500</v>
      </c>
      <c r="D14" s="427">
        <v>376500</v>
      </c>
      <c r="E14" s="243"/>
      <c r="F14" s="243"/>
      <c r="G14" s="243"/>
      <c r="H14" s="243"/>
      <c r="I14" s="243">
        <f>'Détail Dépenses'!Y62</f>
        <v>191225</v>
      </c>
      <c r="J14" s="360">
        <f t="shared" si="1"/>
        <v>0.50790172642762288</v>
      </c>
      <c r="K14" s="312">
        <f t="shared" si="2"/>
        <v>185275</v>
      </c>
      <c r="L14" s="332">
        <v>185200</v>
      </c>
      <c r="M14" s="332">
        <f t="shared" si="3"/>
        <v>-75</v>
      </c>
      <c r="N14" s="432">
        <f t="shared" si="5"/>
        <v>2919600</v>
      </c>
      <c r="O14" s="429"/>
      <c r="P14" s="335">
        <f>8000</f>
        <v>8000</v>
      </c>
      <c r="Q14" s="335">
        <f>5000</f>
        <v>5000</v>
      </c>
      <c r="R14" s="335">
        <v>17500</v>
      </c>
      <c r="S14" s="335"/>
      <c r="T14" s="335"/>
      <c r="U14" s="335"/>
      <c r="V14" s="335"/>
      <c r="W14" s="335"/>
      <c r="X14" s="335"/>
      <c r="Y14" s="335">
        <v>151000</v>
      </c>
      <c r="Z14" s="335"/>
      <c r="AA14" s="335">
        <f>500</f>
        <v>500</v>
      </c>
      <c r="AB14" s="335"/>
      <c r="AC14" s="335"/>
      <c r="AD14" s="335"/>
      <c r="AE14" s="335"/>
      <c r="AF14" s="335"/>
      <c r="AG14" s="335"/>
      <c r="AH14" s="335"/>
      <c r="AI14" s="335"/>
      <c r="AJ14" s="335"/>
      <c r="AK14" s="335"/>
      <c r="AL14" s="335"/>
      <c r="AM14" s="335"/>
      <c r="AN14" s="335">
        <f>6000</f>
        <v>6000</v>
      </c>
      <c r="AO14" s="430">
        <f t="shared" si="4"/>
        <v>6500</v>
      </c>
      <c r="AP14" s="201"/>
      <c r="AQ14" s="276"/>
      <c r="AR14" s="276"/>
      <c r="AS14" s="276"/>
      <c r="AT14" s="276"/>
      <c r="AU14" s="276"/>
      <c r="AV14" s="276"/>
      <c r="AW14" s="276"/>
      <c r="AX14" s="276"/>
      <c r="AY14" s="276"/>
    </row>
    <row r="15" spans="1:51" ht="15.75" customHeight="1" x14ac:dyDescent="0.25">
      <c r="A15" s="431" t="s">
        <v>141</v>
      </c>
      <c r="B15" s="528">
        <v>45090</v>
      </c>
      <c r="C15" s="365">
        <f t="shared" si="0"/>
        <v>417000</v>
      </c>
      <c r="D15" s="440">
        <v>417000</v>
      </c>
      <c r="E15" s="309"/>
      <c r="F15" s="309"/>
      <c r="G15" s="309"/>
      <c r="H15" s="309"/>
      <c r="I15" s="309">
        <f>'Détail Dépenses'!Y63</f>
        <v>127000</v>
      </c>
      <c r="J15" s="378">
        <f t="shared" si="1"/>
        <v>0.30455635491606714</v>
      </c>
      <c r="K15" s="312">
        <f t="shared" si="2"/>
        <v>290000</v>
      </c>
      <c r="L15" s="312">
        <v>290000</v>
      </c>
      <c r="M15" s="312">
        <f t="shared" si="3"/>
        <v>0</v>
      </c>
      <c r="N15" s="432">
        <f t="shared" si="5"/>
        <v>3209600</v>
      </c>
      <c r="O15" s="433"/>
      <c r="P15" s="315">
        <v>5000</v>
      </c>
      <c r="Q15" s="315"/>
      <c r="R15" s="315"/>
      <c r="S15" s="315"/>
      <c r="T15" s="315"/>
      <c r="U15" s="315"/>
      <c r="V15" s="315">
        <f>1500+5000</f>
        <v>6500</v>
      </c>
      <c r="W15" s="315"/>
      <c r="X15" s="315"/>
      <c r="Y15" s="315">
        <v>78000</v>
      </c>
      <c r="Z15" s="315"/>
      <c r="AA15" s="315"/>
      <c r="AB15" s="315"/>
      <c r="AC15" s="315"/>
      <c r="AD15" s="315"/>
      <c r="AE15" s="315"/>
      <c r="AF15" s="315"/>
      <c r="AG15" s="315"/>
      <c r="AH15" s="315"/>
      <c r="AI15" s="315"/>
      <c r="AJ15" s="315"/>
      <c r="AK15" s="315"/>
      <c r="AL15" s="315"/>
      <c r="AM15" s="315"/>
      <c r="AN15" s="315">
        <f>1500</f>
        <v>1500</v>
      </c>
      <c r="AO15" s="434">
        <f t="shared" si="4"/>
        <v>1500</v>
      </c>
      <c r="AP15" s="201"/>
      <c r="AQ15" s="276"/>
      <c r="AR15" s="276"/>
      <c r="AS15" s="276"/>
      <c r="AT15" s="276"/>
      <c r="AU15" s="276"/>
      <c r="AV15" s="276"/>
      <c r="AW15" s="276"/>
      <c r="AX15" s="276"/>
      <c r="AY15" s="276"/>
    </row>
    <row r="16" spans="1:51" ht="15.75" customHeight="1" x14ac:dyDescent="0.25">
      <c r="A16" s="431" t="s">
        <v>142</v>
      </c>
      <c r="B16" s="528">
        <v>45091</v>
      </c>
      <c r="C16" s="436">
        <f t="shared" si="0"/>
        <v>997250</v>
      </c>
      <c r="D16" s="441">
        <f>1022750-25500</f>
        <v>997250</v>
      </c>
      <c r="E16" s="309"/>
      <c r="F16" s="309"/>
      <c r="G16" s="309"/>
      <c r="H16" s="309"/>
      <c r="I16" s="309">
        <f>'Détail Dépenses'!Y64</f>
        <v>410925</v>
      </c>
      <c r="J16" s="378">
        <f t="shared" si="1"/>
        <v>0.41205815993983452</v>
      </c>
      <c r="K16" s="312">
        <f t="shared" si="2"/>
        <v>586325</v>
      </c>
      <c r="L16" s="312">
        <f>714900-80000-50000</f>
        <v>584900</v>
      </c>
      <c r="M16" s="312">
        <f t="shared" si="3"/>
        <v>-1425</v>
      </c>
      <c r="N16" s="432">
        <f t="shared" si="5"/>
        <v>3794500</v>
      </c>
      <c r="O16" s="433"/>
      <c r="P16" s="315">
        <v>10500</v>
      </c>
      <c r="Q16" s="315"/>
      <c r="R16" s="315">
        <v>24000</v>
      </c>
      <c r="S16" s="315">
        <v>8500</v>
      </c>
      <c r="T16" s="315">
        <v>24000</v>
      </c>
      <c r="U16" s="315"/>
      <c r="V16" s="315">
        <v>3000</v>
      </c>
      <c r="W16" s="315"/>
      <c r="X16" s="315"/>
      <c r="Y16" s="315">
        <v>86500</v>
      </c>
      <c r="Z16" s="315">
        <v>60000</v>
      </c>
      <c r="AA16" s="315"/>
      <c r="AB16" s="315"/>
      <c r="AC16" s="315">
        <v>2000</v>
      </c>
      <c r="AD16" s="315"/>
      <c r="AE16" s="315">
        <v>10000</v>
      </c>
      <c r="AF16" s="315"/>
      <c r="AG16" s="315"/>
      <c r="AH16" s="315"/>
      <c r="AI16" s="315"/>
      <c r="AJ16" s="315"/>
      <c r="AK16" s="315"/>
      <c r="AL16" s="315"/>
      <c r="AM16" s="315"/>
      <c r="AN16" s="315">
        <v>1000</v>
      </c>
      <c r="AO16" s="434">
        <f t="shared" si="4"/>
        <v>13000</v>
      </c>
      <c r="AP16" s="201"/>
      <c r="AQ16" s="276"/>
      <c r="AR16" s="276"/>
      <c r="AS16" s="276"/>
      <c r="AT16" s="276"/>
      <c r="AU16" s="276"/>
      <c r="AV16" s="276"/>
      <c r="AW16" s="276"/>
      <c r="AX16" s="276"/>
      <c r="AY16" s="276"/>
    </row>
    <row r="17" spans="1:51" ht="15.75" customHeight="1" x14ac:dyDescent="0.25">
      <c r="A17" s="431" t="s">
        <v>143</v>
      </c>
      <c r="B17" s="528">
        <v>45092</v>
      </c>
      <c r="C17" s="439">
        <f t="shared" si="0"/>
        <v>343000</v>
      </c>
      <c r="D17" s="440">
        <v>343000</v>
      </c>
      <c r="E17" s="309"/>
      <c r="F17" s="309"/>
      <c r="G17" s="309"/>
      <c r="H17" s="309"/>
      <c r="I17" s="309">
        <f>'Détail Dépenses'!Y65</f>
        <v>275925</v>
      </c>
      <c r="J17" s="378">
        <f t="shared" si="1"/>
        <v>0.80444606413994169</v>
      </c>
      <c r="K17" s="312">
        <f t="shared" si="2"/>
        <v>67075</v>
      </c>
      <c r="L17" s="312">
        <f>97000-30000</f>
        <v>67000</v>
      </c>
      <c r="M17" s="312">
        <f t="shared" si="3"/>
        <v>-75</v>
      </c>
      <c r="N17" s="432">
        <f t="shared" si="5"/>
        <v>3861500</v>
      </c>
      <c r="O17" s="433"/>
      <c r="P17" s="315">
        <v>4500</v>
      </c>
      <c r="Q17" s="315"/>
      <c r="R17" s="315"/>
      <c r="S17" s="315">
        <f>6500+9500</f>
        <v>16000</v>
      </c>
      <c r="T17" s="315"/>
      <c r="U17" s="315"/>
      <c r="V17" s="315"/>
      <c r="W17" s="315"/>
      <c r="X17" s="315"/>
      <c r="Y17" s="315">
        <v>73000</v>
      </c>
      <c r="Z17" s="315">
        <v>40000</v>
      </c>
      <c r="AA17" s="315">
        <v>2000</v>
      </c>
      <c r="AB17" s="315"/>
      <c r="AC17" s="315"/>
      <c r="AD17" s="315"/>
      <c r="AE17" s="315"/>
      <c r="AF17" s="315"/>
      <c r="AG17" s="315"/>
      <c r="AH17" s="315"/>
      <c r="AI17" s="315"/>
      <c r="AJ17" s="315"/>
      <c r="AK17" s="315"/>
      <c r="AL17" s="315"/>
      <c r="AM17" s="315"/>
      <c r="AN17" s="315"/>
      <c r="AO17" s="434">
        <f t="shared" si="4"/>
        <v>2000</v>
      </c>
      <c r="AP17" s="201"/>
      <c r="AQ17" s="276"/>
      <c r="AR17" s="276"/>
      <c r="AS17" s="276"/>
      <c r="AT17" s="276"/>
      <c r="AU17" s="276"/>
      <c r="AV17" s="276"/>
      <c r="AW17" s="276"/>
      <c r="AX17" s="276"/>
      <c r="AY17" s="276"/>
    </row>
    <row r="18" spans="1:51" ht="15.75" customHeight="1" x14ac:dyDescent="0.25">
      <c r="A18" s="431" t="s">
        <v>144</v>
      </c>
      <c r="B18" s="528">
        <v>45093</v>
      </c>
      <c r="C18" s="427">
        <f t="shared" si="0"/>
        <v>1074250</v>
      </c>
      <c r="D18" s="441">
        <f>1074250-4000</f>
        <v>1070250</v>
      </c>
      <c r="E18" s="309"/>
      <c r="F18" s="309"/>
      <c r="G18" s="309">
        <v>4000</v>
      </c>
      <c r="H18" s="309"/>
      <c r="I18" s="309">
        <f>'Détail Dépenses'!Y66</f>
        <v>180100</v>
      </c>
      <c r="J18" s="378">
        <f t="shared" si="1"/>
        <v>0.16765185012799627</v>
      </c>
      <c r="K18" s="312">
        <f t="shared" si="2"/>
        <v>890150</v>
      </c>
      <c r="L18" s="312">
        <v>890000</v>
      </c>
      <c r="M18" s="312">
        <f t="shared" si="3"/>
        <v>-150</v>
      </c>
      <c r="N18" s="432">
        <f t="shared" si="5"/>
        <v>4751500</v>
      </c>
      <c r="O18" s="433"/>
      <c r="P18" s="315">
        <f>20000+25000</f>
        <v>45000</v>
      </c>
      <c r="Q18" s="315"/>
      <c r="R18" s="315">
        <f>17000+13500+10000+69500+35500</f>
        <v>145500</v>
      </c>
      <c r="S18" s="315"/>
      <c r="T18" s="315"/>
      <c r="U18" s="315"/>
      <c r="V18" s="315">
        <f>7500+8500</f>
        <v>16000</v>
      </c>
      <c r="W18" s="315"/>
      <c r="X18" s="315"/>
      <c r="Y18" s="315">
        <v>250500</v>
      </c>
      <c r="Z18" s="315"/>
      <c r="AA18" s="315">
        <v>1000</v>
      </c>
      <c r="AB18" s="315"/>
      <c r="AC18" s="315">
        <v>2000</v>
      </c>
      <c r="AD18" s="315"/>
      <c r="AE18" s="315"/>
      <c r="AF18" s="315"/>
      <c r="AG18" s="315">
        <v>500</v>
      </c>
      <c r="AH18" s="315"/>
      <c r="AI18" s="315"/>
      <c r="AJ18" s="315"/>
      <c r="AK18" s="315"/>
      <c r="AL18" s="315"/>
      <c r="AM18" s="315"/>
      <c r="AN18" s="315">
        <v>2000</v>
      </c>
      <c r="AO18" s="434">
        <f t="shared" si="4"/>
        <v>5500</v>
      </c>
      <c r="AP18" s="201"/>
      <c r="AQ18" s="276"/>
      <c r="AR18" s="276"/>
      <c r="AS18" s="276"/>
      <c r="AT18" s="276"/>
      <c r="AU18" s="276"/>
      <c r="AV18" s="276"/>
      <c r="AW18" s="276"/>
      <c r="AX18" s="276"/>
      <c r="AY18" s="276"/>
    </row>
    <row r="19" spans="1:51" ht="15.75" customHeight="1" x14ac:dyDescent="0.25">
      <c r="A19" s="431" t="s">
        <v>138</v>
      </c>
      <c r="B19" s="528">
        <v>45094</v>
      </c>
      <c r="C19" s="365">
        <f t="shared" si="0"/>
        <v>1124750</v>
      </c>
      <c r="D19" s="441">
        <v>1124750</v>
      </c>
      <c r="E19" s="309"/>
      <c r="F19" s="309"/>
      <c r="G19" s="309"/>
      <c r="H19" s="309"/>
      <c r="I19" s="309">
        <f>'Détail Dépenses'!Y67</f>
        <v>628400</v>
      </c>
      <c r="J19" s="378">
        <f t="shared" si="1"/>
        <v>0.55870193376305843</v>
      </c>
      <c r="K19" s="312">
        <f t="shared" si="2"/>
        <v>496350</v>
      </c>
      <c r="L19" s="312">
        <f>804000-54000-200000</f>
        <v>550000</v>
      </c>
      <c r="M19" s="312">
        <f t="shared" si="3"/>
        <v>53650</v>
      </c>
      <c r="N19" s="432">
        <f t="shared" si="5"/>
        <v>5301500</v>
      </c>
      <c r="O19" s="433"/>
      <c r="P19" s="315">
        <v>2000</v>
      </c>
      <c r="Q19" s="315"/>
      <c r="R19" s="315">
        <v>30000</v>
      </c>
      <c r="S19" s="315"/>
      <c r="T19" s="315"/>
      <c r="U19" s="315"/>
      <c r="V19" s="315"/>
      <c r="W19" s="315"/>
      <c r="X19" s="315"/>
      <c r="Y19" s="315">
        <v>137000</v>
      </c>
      <c r="Z19" s="315"/>
      <c r="AA19" s="315">
        <v>2500</v>
      </c>
      <c r="AB19" s="315"/>
      <c r="AC19" s="315">
        <v>500</v>
      </c>
      <c r="AD19" s="315"/>
      <c r="AE19" s="315"/>
      <c r="AF19" s="315"/>
      <c r="AG19" s="315">
        <v>500</v>
      </c>
      <c r="AH19" s="315"/>
      <c r="AI19" s="315"/>
      <c r="AJ19" s="315"/>
      <c r="AK19" s="315"/>
      <c r="AL19" s="315"/>
      <c r="AM19" s="315"/>
      <c r="AN19" s="315">
        <v>1000</v>
      </c>
      <c r="AO19" s="434">
        <f t="shared" si="4"/>
        <v>4500</v>
      </c>
      <c r="AP19" s="201"/>
      <c r="AQ19" s="276"/>
      <c r="AR19" s="276"/>
      <c r="AS19" s="276"/>
      <c r="AT19" s="276"/>
      <c r="AU19" s="276"/>
      <c r="AV19" s="276"/>
      <c r="AW19" s="276"/>
      <c r="AX19" s="276"/>
      <c r="AY19" s="276"/>
    </row>
    <row r="20" spans="1:51" ht="15.75" customHeight="1" x14ac:dyDescent="0.25">
      <c r="A20" s="435" t="s">
        <v>139</v>
      </c>
      <c r="B20" s="542">
        <v>45095</v>
      </c>
      <c r="C20" s="365">
        <f t="shared" si="0"/>
        <v>392500</v>
      </c>
      <c r="D20" s="436">
        <v>392500</v>
      </c>
      <c r="E20" s="320"/>
      <c r="F20" s="320"/>
      <c r="G20" s="320"/>
      <c r="H20" s="320"/>
      <c r="I20" s="320">
        <f>'Détail Dépenses'!Y68</f>
        <v>1958050</v>
      </c>
      <c r="J20" s="367">
        <f t="shared" si="1"/>
        <v>4.9886624203821652</v>
      </c>
      <c r="K20" s="312">
        <f t="shared" si="2"/>
        <v>-1565550</v>
      </c>
      <c r="L20" s="323">
        <f>243000-848350-350000-70000-10000-30000-247500-150000-27500-74000-1000</f>
        <v>-1565350</v>
      </c>
      <c r="M20" s="323">
        <f t="shared" si="3"/>
        <v>200</v>
      </c>
      <c r="N20" s="432">
        <f t="shared" si="5"/>
        <v>3736150</v>
      </c>
      <c r="O20" s="437"/>
      <c r="P20" s="327"/>
      <c r="Q20" s="327"/>
      <c r="R20" s="327"/>
      <c r="S20" s="327"/>
      <c r="T20" s="327"/>
      <c r="U20" s="327"/>
      <c r="V20" s="327">
        <f>5000+3000</f>
        <v>8000</v>
      </c>
      <c r="W20" s="327"/>
      <c r="X20" s="327"/>
      <c r="Y20" s="327">
        <v>5000</v>
      </c>
      <c r="Z20" s="327"/>
      <c r="AA20" s="327">
        <v>2500</v>
      </c>
      <c r="AB20" s="327"/>
      <c r="AC20" s="327">
        <v>2000</v>
      </c>
      <c r="AD20" s="327"/>
      <c r="AE20" s="327"/>
      <c r="AF20" s="327"/>
      <c r="AG20" s="327">
        <v>500</v>
      </c>
      <c r="AH20" s="327"/>
      <c r="AI20" s="327"/>
      <c r="AJ20" s="327"/>
      <c r="AK20" s="327"/>
      <c r="AL20" s="327"/>
      <c r="AM20" s="327"/>
      <c r="AN20" s="327"/>
      <c r="AO20" s="438">
        <f t="shared" si="4"/>
        <v>5000</v>
      </c>
      <c r="AP20" s="201"/>
      <c r="AQ20" s="276"/>
      <c r="AR20" s="276"/>
      <c r="AS20" s="276"/>
      <c r="AT20" s="276"/>
      <c r="AU20" s="276"/>
      <c r="AV20" s="276"/>
      <c r="AW20" s="276"/>
      <c r="AX20" s="276"/>
      <c r="AY20" s="276"/>
    </row>
    <row r="21" spans="1:51" ht="15.75" customHeight="1" x14ac:dyDescent="0.25">
      <c r="A21" s="426" t="s">
        <v>140</v>
      </c>
      <c r="B21" s="527">
        <v>45096</v>
      </c>
      <c r="C21" s="436">
        <f t="shared" si="0"/>
        <v>145500</v>
      </c>
      <c r="D21" s="243">
        <v>145500</v>
      </c>
      <c r="E21" s="243"/>
      <c r="F21" s="243"/>
      <c r="G21" s="243"/>
      <c r="H21" s="243"/>
      <c r="I21" s="243">
        <f>'Détail Dépenses'!Y69</f>
        <v>201125</v>
      </c>
      <c r="J21" s="360">
        <f t="shared" si="1"/>
        <v>1.3823024054982818</v>
      </c>
      <c r="K21" s="312">
        <f t="shared" si="2"/>
        <v>-55625</v>
      </c>
      <c r="L21" s="332"/>
      <c r="M21" s="332">
        <f t="shared" si="3"/>
        <v>55625</v>
      </c>
      <c r="N21" s="432">
        <f t="shared" si="5"/>
        <v>3736150</v>
      </c>
      <c r="O21" s="429"/>
      <c r="P21" s="335">
        <f>5500+1500</f>
        <v>7000</v>
      </c>
      <c r="Q21" s="335">
        <v>7000</v>
      </c>
      <c r="R21" s="335"/>
      <c r="S21" s="335"/>
      <c r="T21" s="335"/>
      <c r="U21" s="335"/>
      <c r="V21" s="335">
        <v>500</v>
      </c>
      <c r="W21" s="335"/>
      <c r="X21" s="335"/>
      <c r="Y21" s="335">
        <v>72000</v>
      </c>
      <c r="Z21" s="335"/>
      <c r="AA21" s="335">
        <v>500</v>
      </c>
      <c r="AB21" s="335"/>
      <c r="AC21" s="335"/>
      <c r="AD21" s="335"/>
      <c r="AE21" s="335"/>
      <c r="AF21" s="335"/>
      <c r="AG21" s="335"/>
      <c r="AH21" s="335"/>
      <c r="AI21" s="335"/>
      <c r="AJ21" s="335"/>
      <c r="AK21" s="335"/>
      <c r="AL21" s="335"/>
      <c r="AM21" s="335"/>
      <c r="AN21" s="335">
        <v>500</v>
      </c>
      <c r="AO21" s="430">
        <f t="shared" si="4"/>
        <v>1000</v>
      </c>
      <c r="AP21" s="201"/>
      <c r="AQ21" s="276"/>
      <c r="AR21" s="276"/>
      <c r="AS21" s="276"/>
      <c r="AT21" s="276"/>
      <c r="AU21" s="276"/>
      <c r="AV21" s="276"/>
      <c r="AW21" s="276"/>
      <c r="AX21" s="276"/>
      <c r="AY21" s="276"/>
    </row>
    <row r="22" spans="1:51" ht="15.75" customHeight="1" x14ac:dyDescent="0.25">
      <c r="A22" s="431" t="s">
        <v>141</v>
      </c>
      <c r="B22" s="528">
        <v>45097</v>
      </c>
      <c r="C22" s="439">
        <f t="shared" si="0"/>
        <v>852000</v>
      </c>
      <c r="D22" s="365">
        <f>919750-67750</f>
        <v>852000</v>
      </c>
      <c r="E22" s="309"/>
      <c r="F22" s="309"/>
      <c r="G22" s="309"/>
      <c r="H22" s="309"/>
      <c r="I22" s="309">
        <f>'Détail Dépenses'!Y70</f>
        <v>97300</v>
      </c>
      <c r="J22" s="378">
        <f t="shared" si="1"/>
        <v>0.11420187793427231</v>
      </c>
      <c r="K22" s="312">
        <f t="shared" si="2"/>
        <v>754700</v>
      </c>
      <c r="L22" s="312">
        <f>766500-55000</f>
        <v>711500</v>
      </c>
      <c r="M22" s="312">
        <f t="shared" si="3"/>
        <v>-43200</v>
      </c>
      <c r="N22" s="432">
        <f t="shared" si="5"/>
        <v>4447650</v>
      </c>
      <c r="O22" s="433"/>
      <c r="P22" s="315"/>
      <c r="Q22" s="315"/>
      <c r="R22" s="315"/>
      <c r="S22" s="315"/>
      <c r="T22" s="315"/>
      <c r="U22" s="315"/>
      <c r="V22" s="315">
        <v>5000</v>
      </c>
      <c r="W22" s="315"/>
      <c r="X22" s="315"/>
      <c r="Y22" s="315">
        <v>141000</v>
      </c>
      <c r="Z22" s="315"/>
      <c r="AA22" s="315">
        <v>2000</v>
      </c>
      <c r="AB22" s="315">
        <v>1500</v>
      </c>
      <c r="AC22" s="315">
        <v>500</v>
      </c>
      <c r="AD22" s="315"/>
      <c r="AE22" s="315"/>
      <c r="AF22" s="315"/>
      <c r="AG22" s="315"/>
      <c r="AH22" s="315"/>
      <c r="AI22" s="315"/>
      <c r="AJ22" s="315"/>
      <c r="AK22" s="315"/>
      <c r="AL22" s="315"/>
      <c r="AM22" s="315"/>
      <c r="AN22" s="315"/>
      <c r="AO22" s="434">
        <f t="shared" si="4"/>
        <v>4000</v>
      </c>
      <c r="AP22" s="201"/>
      <c r="AQ22" s="276"/>
      <c r="AR22" s="276"/>
      <c r="AS22" s="276"/>
      <c r="AT22" s="276"/>
      <c r="AU22" s="276"/>
      <c r="AV22" s="276"/>
      <c r="AW22" s="276"/>
      <c r="AX22" s="276"/>
      <c r="AY22" s="276"/>
    </row>
    <row r="23" spans="1:51" ht="15.75" customHeight="1" x14ac:dyDescent="0.25">
      <c r="A23" s="431" t="s">
        <v>142</v>
      </c>
      <c r="B23" s="528">
        <v>45098</v>
      </c>
      <c r="C23" s="427">
        <f t="shared" si="0"/>
        <v>1422250</v>
      </c>
      <c r="D23" s="441">
        <f>1422250-11500</f>
        <v>1410750</v>
      </c>
      <c r="E23" s="309"/>
      <c r="F23" s="309"/>
      <c r="G23" s="309">
        <v>11500</v>
      </c>
      <c r="H23" s="309"/>
      <c r="I23" s="309">
        <f>'Détail Dépenses'!Y71</f>
        <v>185750</v>
      </c>
      <c r="J23" s="378">
        <f t="shared" si="1"/>
        <v>0.13060291791175954</v>
      </c>
      <c r="K23" s="312">
        <f t="shared" si="2"/>
        <v>1225000</v>
      </c>
      <c r="L23" s="312">
        <v>1225500</v>
      </c>
      <c r="M23" s="312">
        <f t="shared" si="3"/>
        <v>500</v>
      </c>
      <c r="N23" s="432">
        <f t="shared" si="5"/>
        <v>5673150</v>
      </c>
      <c r="O23" s="433"/>
      <c r="P23" s="315">
        <v>11000</v>
      </c>
      <c r="Q23" s="315"/>
      <c r="R23" s="315">
        <v>18000</v>
      </c>
      <c r="S23" s="315">
        <v>29500</v>
      </c>
      <c r="T23" s="315"/>
      <c r="U23" s="315"/>
      <c r="V23" s="315">
        <v>6500</v>
      </c>
      <c r="W23" s="315"/>
      <c r="X23" s="315"/>
      <c r="Y23" s="315">
        <v>171000</v>
      </c>
      <c r="Z23" s="315">
        <v>16500</v>
      </c>
      <c r="AA23" s="315"/>
      <c r="AB23" s="315"/>
      <c r="AC23" s="315"/>
      <c r="AD23" s="315"/>
      <c r="AE23" s="315"/>
      <c r="AF23" s="315"/>
      <c r="AG23" s="315">
        <v>500</v>
      </c>
      <c r="AH23" s="315"/>
      <c r="AI23" s="315">
        <v>500</v>
      </c>
      <c r="AJ23" s="315"/>
      <c r="AK23" s="315"/>
      <c r="AL23" s="315"/>
      <c r="AM23" s="315"/>
      <c r="AN23" s="315">
        <v>1500</v>
      </c>
      <c r="AO23" s="434">
        <f t="shared" si="4"/>
        <v>2500</v>
      </c>
      <c r="AP23" s="201"/>
      <c r="AQ23" s="276"/>
      <c r="AR23" s="276"/>
      <c r="AS23" s="276"/>
      <c r="AT23" s="276"/>
      <c r="AU23" s="276"/>
      <c r="AV23" s="276"/>
      <c r="AW23" s="276"/>
      <c r="AX23" s="276"/>
      <c r="AY23" s="276"/>
    </row>
    <row r="24" spans="1:51" ht="15.75" customHeight="1" x14ac:dyDescent="0.25">
      <c r="A24" s="431" t="s">
        <v>143</v>
      </c>
      <c r="B24" s="528">
        <v>45099</v>
      </c>
      <c r="C24" s="365">
        <f t="shared" si="0"/>
        <v>493000</v>
      </c>
      <c r="D24" s="365">
        <f>493000-8500</f>
        <v>484500</v>
      </c>
      <c r="E24" s="309"/>
      <c r="F24" s="309"/>
      <c r="G24" s="309">
        <f>3000+5500</f>
        <v>8500</v>
      </c>
      <c r="H24" s="309"/>
      <c r="I24" s="309">
        <f>'Détail Dépenses'!Y72</f>
        <v>247700</v>
      </c>
      <c r="J24" s="378">
        <f t="shared" si="1"/>
        <v>0.50243407707910748</v>
      </c>
      <c r="K24" s="312">
        <f t="shared" si="2"/>
        <v>236800</v>
      </c>
      <c r="L24" s="312">
        <v>236500</v>
      </c>
      <c r="M24" s="312">
        <f t="shared" si="3"/>
        <v>-300</v>
      </c>
      <c r="N24" s="432">
        <f t="shared" si="5"/>
        <v>5909650</v>
      </c>
      <c r="O24" s="433"/>
      <c r="P24" s="315">
        <v>14500</v>
      </c>
      <c r="Q24" s="315">
        <v>78500</v>
      </c>
      <c r="R24" s="315"/>
      <c r="S24" s="315"/>
      <c r="T24" s="315"/>
      <c r="U24" s="315">
        <v>4000</v>
      </c>
      <c r="V24" s="315"/>
      <c r="W24" s="315"/>
      <c r="X24" s="315"/>
      <c r="Y24" s="315">
        <v>53000</v>
      </c>
      <c r="Z24" s="315">
        <v>40000</v>
      </c>
      <c r="AA24" s="315">
        <v>2500</v>
      </c>
      <c r="AB24" s="315"/>
      <c r="AC24" s="315">
        <v>500</v>
      </c>
      <c r="AD24" s="315"/>
      <c r="AE24" s="315"/>
      <c r="AF24" s="315"/>
      <c r="AG24" s="315">
        <v>500</v>
      </c>
      <c r="AH24" s="315"/>
      <c r="AI24" s="315"/>
      <c r="AJ24" s="315"/>
      <c r="AK24" s="315"/>
      <c r="AL24" s="315"/>
      <c r="AM24" s="315"/>
      <c r="AN24" s="315"/>
      <c r="AO24" s="434">
        <f t="shared" si="4"/>
        <v>3500</v>
      </c>
      <c r="AP24" s="201"/>
      <c r="AQ24" s="276"/>
      <c r="AR24" s="276"/>
      <c r="AS24" s="276"/>
      <c r="AT24" s="276"/>
      <c r="AU24" s="276"/>
      <c r="AV24" s="276"/>
      <c r="AW24" s="276"/>
      <c r="AX24" s="276"/>
      <c r="AY24" s="276"/>
    </row>
    <row r="25" spans="1:51" ht="15.75" customHeight="1" x14ac:dyDescent="0.25">
      <c r="A25" s="431" t="s">
        <v>144</v>
      </c>
      <c r="B25" s="528">
        <v>45100</v>
      </c>
      <c r="C25" s="365">
        <f t="shared" si="0"/>
        <v>654250</v>
      </c>
      <c r="D25" s="365">
        <f>654250-11000</f>
        <v>643250</v>
      </c>
      <c r="E25" s="309"/>
      <c r="F25" s="309"/>
      <c r="G25" s="309">
        <f>6000+5000</f>
        <v>11000</v>
      </c>
      <c r="H25" s="309"/>
      <c r="I25" s="309">
        <f>'Détail Dépenses'!Y73</f>
        <v>257950</v>
      </c>
      <c r="J25" s="378">
        <f t="shared" si="1"/>
        <v>0.39426824608330147</v>
      </c>
      <c r="K25" s="312">
        <f t="shared" si="2"/>
        <v>385300</v>
      </c>
      <c r="L25" s="312">
        <f>555000-170000</f>
        <v>385000</v>
      </c>
      <c r="M25" s="312">
        <f t="shared" si="3"/>
        <v>-300</v>
      </c>
      <c r="N25" s="432">
        <f t="shared" si="5"/>
        <v>6294650</v>
      </c>
      <c r="O25" s="433"/>
      <c r="P25" s="315">
        <v>75000</v>
      </c>
      <c r="Q25" s="315"/>
      <c r="R25" s="315"/>
      <c r="S25" s="315"/>
      <c r="T25" s="315"/>
      <c r="U25" s="315"/>
      <c r="V25" s="315">
        <v>7000</v>
      </c>
      <c r="W25" s="315"/>
      <c r="X25" s="315"/>
      <c r="Y25" s="315">
        <v>86000</v>
      </c>
      <c r="Z25" s="315"/>
      <c r="AA25" s="315">
        <v>2000</v>
      </c>
      <c r="AB25" s="315"/>
      <c r="AC25" s="315"/>
      <c r="AD25" s="315"/>
      <c r="AE25" s="315"/>
      <c r="AF25" s="315"/>
      <c r="AG25" s="315">
        <v>500</v>
      </c>
      <c r="AH25" s="315"/>
      <c r="AI25" s="315"/>
      <c r="AJ25" s="315"/>
      <c r="AK25" s="315"/>
      <c r="AL25" s="315"/>
      <c r="AM25" s="315"/>
      <c r="AN25" s="315">
        <v>2000</v>
      </c>
      <c r="AO25" s="434">
        <f t="shared" si="4"/>
        <v>4500</v>
      </c>
      <c r="AP25" s="201"/>
      <c r="AQ25" s="276"/>
      <c r="AR25" s="276"/>
      <c r="AS25" s="276"/>
      <c r="AT25" s="276"/>
      <c r="AU25" s="276"/>
      <c r="AV25" s="276"/>
      <c r="AW25" s="276"/>
      <c r="AX25" s="276"/>
      <c r="AY25" s="276"/>
    </row>
    <row r="26" spans="1:51" ht="15.75" customHeight="1" x14ac:dyDescent="0.25">
      <c r="A26" s="431" t="s">
        <v>138</v>
      </c>
      <c r="B26" s="528">
        <v>45101</v>
      </c>
      <c r="C26" s="436">
        <v>977750</v>
      </c>
      <c r="D26" s="309">
        <v>977750</v>
      </c>
      <c r="E26" s="309"/>
      <c r="F26" s="309"/>
      <c r="G26" s="309"/>
      <c r="H26" s="309"/>
      <c r="I26" s="309">
        <f>'Détail Dépenses'!Y74</f>
        <v>164500</v>
      </c>
      <c r="J26" s="378">
        <f t="shared" si="1"/>
        <v>0.16824341600613654</v>
      </c>
      <c r="K26" s="312">
        <f t="shared" si="2"/>
        <v>813250</v>
      </c>
      <c r="L26" s="312">
        <v>813500</v>
      </c>
      <c r="M26" s="312">
        <f t="shared" si="3"/>
        <v>250</v>
      </c>
      <c r="N26" s="432">
        <f t="shared" si="5"/>
        <v>7108150</v>
      </c>
      <c r="O26" s="433"/>
      <c r="P26" s="315">
        <v>19000</v>
      </c>
      <c r="Q26" s="315"/>
      <c r="R26" s="315"/>
      <c r="S26" s="315"/>
      <c r="T26" s="315"/>
      <c r="U26" s="315"/>
      <c r="V26" s="315">
        <v>10500</v>
      </c>
      <c r="W26" s="315"/>
      <c r="X26" s="315"/>
      <c r="Y26" s="315">
        <v>47500</v>
      </c>
      <c r="Z26" s="315"/>
      <c r="AA26" s="315">
        <v>2500</v>
      </c>
      <c r="AB26" s="315"/>
      <c r="AC26" s="315">
        <v>500</v>
      </c>
      <c r="AD26" s="315"/>
      <c r="AE26" s="315"/>
      <c r="AF26" s="315"/>
      <c r="AG26" s="315">
        <v>500</v>
      </c>
      <c r="AH26" s="315">
        <v>500</v>
      </c>
      <c r="AI26" s="315"/>
      <c r="AJ26" s="315"/>
      <c r="AK26" s="315"/>
      <c r="AL26" s="315"/>
      <c r="AM26" s="315"/>
      <c r="AN26" s="315">
        <v>2000</v>
      </c>
      <c r="AO26" s="434">
        <f t="shared" si="4"/>
        <v>6000</v>
      </c>
      <c r="AP26" s="201"/>
      <c r="AQ26" s="276"/>
      <c r="AR26" s="276"/>
      <c r="AS26" s="276"/>
      <c r="AT26" s="276"/>
      <c r="AU26" s="276"/>
      <c r="AV26" s="276"/>
      <c r="AW26" s="276"/>
      <c r="AX26" s="276"/>
      <c r="AY26" s="276"/>
    </row>
    <row r="27" spans="1:51" ht="15.75" customHeight="1" x14ac:dyDescent="0.25">
      <c r="A27" s="435" t="s">
        <v>139</v>
      </c>
      <c r="B27" s="542">
        <v>45102</v>
      </c>
      <c r="C27" s="439">
        <f t="shared" ref="C27:C32" si="6">(D27+E27+F27+G27+H27)</f>
        <v>792750</v>
      </c>
      <c r="D27" s="320">
        <f>792750-6000</f>
        <v>786750</v>
      </c>
      <c r="E27" s="320"/>
      <c r="F27" s="320"/>
      <c r="G27" s="320">
        <v>6000</v>
      </c>
      <c r="H27" s="320"/>
      <c r="I27" s="320">
        <f>'Détail Dépenses'!Y75</f>
        <v>1569500</v>
      </c>
      <c r="J27" s="367">
        <f t="shared" si="1"/>
        <v>1.9798170923998739</v>
      </c>
      <c r="K27" s="312">
        <f t="shared" si="2"/>
        <v>-782750</v>
      </c>
      <c r="L27" s="323">
        <f>518000-1300500</f>
        <v>-782500</v>
      </c>
      <c r="M27" s="323">
        <f t="shared" si="3"/>
        <v>250</v>
      </c>
      <c r="N27" s="432">
        <f t="shared" si="5"/>
        <v>6325650</v>
      </c>
      <c r="O27" s="437"/>
      <c r="P27" s="327"/>
      <c r="Q27" s="327"/>
      <c r="R27" s="327"/>
      <c r="S27" s="327"/>
      <c r="T27" s="327"/>
      <c r="U27" s="327"/>
      <c r="V27" s="327">
        <v>6000</v>
      </c>
      <c r="W27" s="327"/>
      <c r="X27" s="327"/>
      <c r="Y27" s="327">
        <v>124500</v>
      </c>
      <c r="Z27" s="327"/>
      <c r="AA27" s="327">
        <v>2000</v>
      </c>
      <c r="AB27" s="327"/>
      <c r="AC27" s="327">
        <v>1000</v>
      </c>
      <c r="AD27" s="327"/>
      <c r="AE27" s="327"/>
      <c r="AF27" s="327"/>
      <c r="AG27" s="327">
        <v>500</v>
      </c>
      <c r="AH27" s="327"/>
      <c r="AI27" s="327"/>
      <c r="AJ27" s="327"/>
      <c r="AK27" s="327"/>
      <c r="AL27" s="327"/>
      <c r="AM27" s="327"/>
      <c r="AN27" s="327">
        <v>500</v>
      </c>
      <c r="AO27" s="438">
        <f t="shared" si="4"/>
        <v>4000</v>
      </c>
      <c r="AP27" s="201"/>
      <c r="AQ27" s="276"/>
      <c r="AR27" s="276"/>
      <c r="AS27" s="276"/>
      <c r="AT27" s="276"/>
      <c r="AU27" s="276"/>
      <c r="AV27" s="276"/>
      <c r="AW27" s="276"/>
      <c r="AX27" s="276"/>
      <c r="AY27" s="276"/>
    </row>
    <row r="28" spans="1:51" ht="15.75" customHeight="1" x14ac:dyDescent="0.25">
      <c r="A28" s="442" t="s">
        <v>140</v>
      </c>
      <c r="B28" s="527">
        <v>45103</v>
      </c>
      <c r="C28" s="427">
        <f t="shared" si="6"/>
        <v>335500</v>
      </c>
      <c r="D28" s="243">
        <f>335500-7500</f>
        <v>328000</v>
      </c>
      <c r="E28" s="243"/>
      <c r="F28" s="243"/>
      <c r="G28" s="243">
        <v>7500</v>
      </c>
      <c r="H28" s="243"/>
      <c r="I28" s="243">
        <f>'Détail Dépenses'!Y76</f>
        <v>261325</v>
      </c>
      <c r="J28" s="360">
        <f t="shared" si="1"/>
        <v>0.7789120715350224</v>
      </c>
      <c r="K28" s="312">
        <f t="shared" si="2"/>
        <v>66675</v>
      </c>
      <c r="L28" s="332">
        <f>131700-65000</f>
        <v>66700</v>
      </c>
      <c r="M28" s="332">
        <f t="shared" si="3"/>
        <v>25</v>
      </c>
      <c r="N28" s="432">
        <f t="shared" si="5"/>
        <v>6392350</v>
      </c>
      <c r="O28" s="429"/>
      <c r="P28" s="335">
        <v>5000</v>
      </c>
      <c r="Q28" s="335"/>
      <c r="R28" s="335">
        <v>8000</v>
      </c>
      <c r="S28" s="335"/>
      <c r="T28" s="335"/>
      <c r="U28" s="335"/>
      <c r="V28" s="335">
        <v>1000</v>
      </c>
      <c r="W28" s="335"/>
      <c r="X28" s="335"/>
      <c r="Y28" s="335">
        <v>83000</v>
      </c>
      <c r="Z28" s="335">
        <v>10000</v>
      </c>
      <c r="AA28" s="335">
        <v>500</v>
      </c>
      <c r="AB28" s="335"/>
      <c r="AC28" s="335"/>
      <c r="AD28" s="335"/>
      <c r="AE28" s="335"/>
      <c r="AF28" s="335"/>
      <c r="AG28" s="335"/>
      <c r="AH28" s="335"/>
      <c r="AI28" s="335"/>
      <c r="AJ28" s="335"/>
      <c r="AK28" s="335"/>
      <c r="AL28" s="335"/>
      <c r="AM28" s="335"/>
      <c r="AN28" s="335">
        <v>500</v>
      </c>
      <c r="AO28" s="443">
        <f t="shared" si="4"/>
        <v>1000</v>
      </c>
      <c r="AP28" s="444"/>
      <c r="AQ28" s="276"/>
      <c r="AR28" s="276"/>
      <c r="AS28" s="276"/>
      <c r="AT28" s="276"/>
      <c r="AU28" s="276"/>
      <c r="AV28" s="276"/>
      <c r="AW28" s="276"/>
      <c r="AX28" s="276"/>
      <c r="AY28" s="276"/>
    </row>
    <row r="29" spans="1:51" ht="15.75" customHeight="1" x14ac:dyDescent="0.25">
      <c r="A29" s="445" t="s">
        <v>141</v>
      </c>
      <c r="B29" s="528">
        <v>45104</v>
      </c>
      <c r="C29" s="365">
        <f t="shared" si="6"/>
        <v>653500</v>
      </c>
      <c r="D29" s="309">
        <f>653500-6000</f>
        <v>647500</v>
      </c>
      <c r="E29" s="309"/>
      <c r="F29" s="309"/>
      <c r="G29" s="309">
        <v>6000</v>
      </c>
      <c r="H29" s="309"/>
      <c r="I29" s="309">
        <f>'Détail Dépenses'!Y77</f>
        <v>191425</v>
      </c>
      <c r="J29" s="378">
        <f t="shared" si="1"/>
        <v>0.29292272379495027</v>
      </c>
      <c r="K29" s="312">
        <f t="shared" si="2"/>
        <v>456075</v>
      </c>
      <c r="L29" s="312">
        <v>462050</v>
      </c>
      <c r="M29" s="312"/>
      <c r="N29" s="432">
        <f t="shared" si="5"/>
        <v>6854400</v>
      </c>
      <c r="O29" s="433"/>
      <c r="P29" s="315"/>
      <c r="Q29" s="315"/>
      <c r="R29" s="315"/>
      <c r="S29" s="315">
        <v>63000</v>
      </c>
      <c r="T29" s="315"/>
      <c r="U29" s="315"/>
      <c r="V29" s="315">
        <f>13500+4500</f>
        <v>18000</v>
      </c>
      <c r="W29" s="315"/>
      <c r="X29" s="315"/>
      <c r="Y29" s="315">
        <v>39500</v>
      </c>
      <c r="Z29" s="315"/>
      <c r="AA29" s="315">
        <f>500+1500</f>
        <v>2000</v>
      </c>
      <c r="AB29" s="315"/>
      <c r="AC29" s="315"/>
      <c r="AD29" s="315"/>
      <c r="AE29" s="315"/>
      <c r="AF29" s="315"/>
      <c r="AG29" s="315">
        <v>500</v>
      </c>
      <c r="AH29" s="315"/>
      <c r="AI29" s="315"/>
      <c r="AJ29" s="315"/>
      <c r="AK29" s="315"/>
      <c r="AL29" s="315"/>
      <c r="AM29" s="315"/>
      <c r="AN29" s="315">
        <v>500</v>
      </c>
      <c r="AO29" s="446">
        <f t="shared" si="4"/>
        <v>3000</v>
      </c>
      <c r="AP29" s="444"/>
      <c r="AQ29" s="276"/>
      <c r="AR29" s="276"/>
      <c r="AS29" s="276"/>
      <c r="AT29" s="276"/>
      <c r="AU29" s="276"/>
      <c r="AV29" s="276"/>
      <c r="AW29" s="276"/>
      <c r="AX29" s="276"/>
      <c r="AY29" s="276"/>
    </row>
    <row r="30" spans="1:51" ht="15.75" customHeight="1" x14ac:dyDescent="0.25">
      <c r="A30" s="445" t="s">
        <v>142</v>
      </c>
      <c r="B30" s="528">
        <v>45105</v>
      </c>
      <c r="C30" s="365">
        <f t="shared" si="6"/>
        <v>1170500</v>
      </c>
      <c r="D30" s="309">
        <f>1170500-156500</f>
        <v>1014000</v>
      </c>
      <c r="E30" s="309">
        <v>156500</v>
      </c>
      <c r="F30" s="309"/>
      <c r="G30" s="309"/>
      <c r="H30" s="309"/>
      <c r="I30" s="309">
        <f>'Détail Dépenses'!Y78</f>
        <v>330450</v>
      </c>
      <c r="J30" s="378">
        <f t="shared" si="1"/>
        <v>0.28231524989320805</v>
      </c>
      <c r="K30" s="312">
        <f t="shared" si="2"/>
        <v>683550</v>
      </c>
      <c r="L30" s="312">
        <f>740000-50000-1500-5000</f>
        <v>683500</v>
      </c>
      <c r="M30" s="312">
        <f t="shared" ref="M30:M32" si="7">L30-K30</f>
        <v>-50</v>
      </c>
      <c r="N30" s="432">
        <f t="shared" si="5"/>
        <v>7537900</v>
      </c>
      <c r="O30" s="433"/>
      <c r="P30" s="315">
        <v>6000</v>
      </c>
      <c r="Q30" s="315">
        <v>50500</v>
      </c>
      <c r="R30" s="315">
        <v>177000</v>
      </c>
      <c r="S30" s="315">
        <v>95000</v>
      </c>
      <c r="T30" s="315"/>
      <c r="U30" s="315"/>
      <c r="V30" s="315"/>
      <c r="W30" s="315">
        <v>500</v>
      </c>
      <c r="X30" s="315"/>
      <c r="Y30" s="315">
        <v>274000</v>
      </c>
      <c r="Z30" s="315">
        <v>65500</v>
      </c>
      <c r="AA30" s="315"/>
      <c r="AB30" s="315"/>
      <c r="AC30" s="315"/>
      <c r="AD30" s="315"/>
      <c r="AE30" s="315"/>
      <c r="AF30" s="315"/>
      <c r="AG30" s="315"/>
      <c r="AH30" s="315"/>
      <c r="AI30" s="315"/>
      <c r="AJ30" s="315"/>
      <c r="AK30" s="315"/>
      <c r="AL30" s="315"/>
      <c r="AM30" s="315"/>
      <c r="AN30" s="315"/>
      <c r="AO30" s="446">
        <f t="shared" si="4"/>
        <v>0</v>
      </c>
      <c r="AP30" s="444"/>
      <c r="AQ30" s="276"/>
      <c r="AR30" s="276"/>
      <c r="AS30" s="276"/>
      <c r="AT30" s="276"/>
      <c r="AU30" s="276"/>
      <c r="AV30" s="276"/>
      <c r="AW30" s="276"/>
      <c r="AX30" s="276"/>
      <c r="AY30" s="276"/>
    </row>
    <row r="31" spans="1:51" ht="15.75" customHeight="1" x14ac:dyDescent="0.25">
      <c r="A31" s="445" t="s">
        <v>143</v>
      </c>
      <c r="B31" s="528">
        <v>45106</v>
      </c>
      <c r="C31" s="436">
        <f t="shared" si="6"/>
        <v>602250</v>
      </c>
      <c r="D31" s="309">
        <f>602250-10000</f>
        <v>592250</v>
      </c>
      <c r="E31" s="309"/>
      <c r="F31" s="309"/>
      <c r="G31" s="309">
        <v>10000</v>
      </c>
      <c r="H31" s="309"/>
      <c r="I31" s="309">
        <f>'Détail Dépenses'!Y79</f>
        <v>304300</v>
      </c>
      <c r="J31" s="378">
        <f t="shared" si="1"/>
        <v>0.50527189705271902</v>
      </c>
      <c r="K31" s="312">
        <f t="shared" si="2"/>
        <v>287950</v>
      </c>
      <c r="L31" s="312">
        <f>378000-90000</f>
        <v>288000</v>
      </c>
      <c r="M31" s="312">
        <f t="shared" si="7"/>
        <v>50</v>
      </c>
      <c r="N31" s="432">
        <f t="shared" si="5"/>
        <v>7825900</v>
      </c>
      <c r="O31" s="433"/>
      <c r="P31" s="315">
        <v>4500</v>
      </c>
      <c r="Q31" s="315"/>
      <c r="R31" s="315"/>
      <c r="S31" s="315"/>
      <c r="T31" s="315"/>
      <c r="U31" s="315"/>
      <c r="V31" s="315">
        <v>9500</v>
      </c>
      <c r="W31" s="315"/>
      <c r="X31" s="315"/>
      <c r="Y31" s="315">
        <v>51500</v>
      </c>
      <c r="Z31" s="315">
        <v>40000</v>
      </c>
      <c r="AA31" s="315">
        <v>2000</v>
      </c>
      <c r="AB31" s="315"/>
      <c r="AC31" s="315"/>
      <c r="AD31" s="315"/>
      <c r="AE31" s="315"/>
      <c r="AF31" s="315"/>
      <c r="AG31" s="315">
        <v>500</v>
      </c>
      <c r="AH31" s="315"/>
      <c r="AI31" s="315"/>
      <c r="AJ31" s="315"/>
      <c r="AK31" s="315"/>
      <c r="AL31" s="315"/>
      <c r="AM31" s="315"/>
      <c r="AN31" s="315">
        <v>1000</v>
      </c>
      <c r="AO31" s="446">
        <f t="shared" si="4"/>
        <v>3500</v>
      </c>
      <c r="AP31" s="444"/>
      <c r="AQ31" s="276"/>
      <c r="AR31" s="276"/>
      <c r="AS31" s="276"/>
      <c r="AT31" s="276"/>
      <c r="AU31" s="276"/>
      <c r="AV31" s="276"/>
      <c r="AW31" s="276"/>
      <c r="AX31" s="276"/>
      <c r="AY31" s="276"/>
    </row>
    <row r="32" spans="1:51" ht="15.75" customHeight="1" x14ac:dyDescent="0.25">
      <c r="A32" s="445" t="s">
        <v>144</v>
      </c>
      <c r="B32" s="528">
        <v>45107</v>
      </c>
      <c r="C32" s="427">
        <f t="shared" si="6"/>
        <v>1478500</v>
      </c>
      <c r="D32" s="309">
        <v>1388500</v>
      </c>
      <c r="E32" s="309">
        <v>30000</v>
      </c>
      <c r="F32" s="309"/>
      <c r="G32" s="309"/>
      <c r="H32" s="309">
        <v>60000</v>
      </c>
      <c r="I32" s="309">
        <f>'Détail Dépenses'!Y80</f>
        <v>1165250</v>
      </c>
      <c r="J32" s="378">
        <f t="shared" si="1"/>
        <v>0.78812986134595875</v>
      </c>
      <c r="K32" s="312">
        <f t="shared" si="2"/>
        <v>223250</v>
      </c>
      <c r="L32" s="312">
        <f>1152000-200000-54000-200000-200000-25000-75000-25000-150000</f>
        <v>223000</v>
      </c>
      <c r="M32" s="312">
        <f t="shared" si="7"/>
        <v>-250</v>
      </c>
      <c r="N32" s="432">
        <f t="shared" si="5"/>
        <v>8048900</v>
      </c>
      <c r="O32" s="433"/>
      <c r="P32" s="315"/>
      <c r="Q32" s="315">
        <f>150500+6000</f>
        <v>156500</v>
      </c>
      <c r="R32" s="315">
        <v>15000</v>
      </c>
      <c r="S32" s="315">
        <v>15500</v>
      </c>
      <c r="T32" s="315"/>
      <c r="U32" s="315"/>
      <c r="V32" s="315">
        <v>5500</v>
      </c>
      <c r="W32" s="315"/>
      <c r="X32" s="315"/>
      <c r="Y32" s="315">
        <v>134000</v>
      </c>
      <c r="Z32" s="315">
        <f>60000+44500</f>
        <v>104500</v>
      </c>
      <c r="AA32" s="315">
        <v>2000</v>
      </c>
      <c r="AB32" s="315"/>
      <c r="AC32" s="315">
        <v>500</v>
      </c>
      <c r="AD32" s="315"/>
      <c r="AE32" s="315"/>
      <c r="AF32" s="315"/>
      <c r="AG32" s="315">
        <v>500</v>
      </c>
      <c r="AH32" s="315"/>
      <c r="AI32" s="315"/>
      <c r="AJ32" s="315"/>
      <c r="AK32" s="315"/>
      <c r="AL32" s="315"/>
      <c r="AM32" s="315"/>
      <c r="AN32" s="315">
        <v>3000</v>
      </c>
      <c r="AO32" s="446">
        <f t="shared" si="4"/>
        <v>6000</v>
      </c>
      <c r="AP32" s="444"/>
      <c r="AQ32" s="276"/>
      <c r="AR32" s="276"/>
      <c r="AS32" s="276"/>
      <c r="AT32" s="276"/>
      <c r="AU32" s="276"/>
      <c r="AV32" s="276"/>
      <c r="AW32" s="276"/>
      <c r="AX32" s="276"/>
      <c r="AY32" s="276"/>
    </row>
    <row r="33" spans="1:51" ht="16.5" customHeight="1" x14ac:dyDescent="0.25">
      <c r="A33" s="447"/>
      <c r="B33" s="529" t="s">
        <v>44</v>
      </c>
      <c r="C33" s="447">
        <f t="shared" ref="C33:I33" si="8">SUM(C3:C32)</f>
        <v>20471000</v>
      </c>
      <c r="D33" s="447">
        <f t="shared" si="8"/>
        <v>20160000</v>
      </c>
      <c r="E33" s="447">
        <f t="shared" si="8"/>
        <v>186500</v>
      </c>
      <c r="F33" s="447">
        <f t="shared" si="8"/>
        <v>0</v>
      </c>
      <c r="G33" s="447">
        <f t="shared" si="8"/>
        <v>64500</v>
      </c>
      <c r="H33" s="447">
        <f t="shared" si="8"/>
        <v>60000</v>
      </c>
      <c r="I33" s="447">
        <f t="shared" si="8"/>
        <v>12181850</v>
      </c>
      <c r="J33" s="447"/>
      <c r="K33" s="447">
        <f t="shared" ref="K33:M33" si="9">SUM(K3:K32)</f>
        <v>7978150</v>
      </c>
      <c r="L33" s="447">
        <f t="shared" si="9"/>
        <v>8048900</v>
      </c>
      <c r="M33" s="447">
        <f t="shared" si="9"/>
        <v>64775</v>
      </c>
      <c r="N33" s="447">
        <f>N32</f>
        <v>8048900</v>
      </c>
      <c r="O33" s="448"/>
      <c r="P33" s="449">
        <f t="shared" ref="P33:AN33" si="10">SUM(P3:P32)</f>
        <v>284000</v>
      </c>
      <c r="Q33" s="449">
        <f t="shared" si="10"/>
        <v>384000</v>
      </c>
      <c r="R33" s="449">
        <f t="shared" si="10"/>
        <v>630500</v>
      </c>
      <c r="S33" s="449">
        <f t="shared" si="10"/>
        <v>387000</v>
      </c>
      <c r="T33" s="449">
        <f t="shared" si="10"/>
        <v>51000</v>
      </c>
      <c r="U33" s="449">
        <f t="shared" si="10"/>
        <v>15000</v>
      </c>
      <c r="V33" s="449">
        <f t="shared" si="10"/>
        <v>249500</v>
      </c>
      <c r="W33" s="449">
        <f t="shared" si="10"/>
        <v>500</v>
      </c>
      <c r="X33" s="449">
        <f t="shared" si="10"/>
        <v>7500</v>
      </c>
      <c r="Y33" s="449">
        <f t="shared" si="10"/>
        <v>2452000</v>
      </c>
      <c r="Z33" s="449">
        <f t="shared" si="10"/>
        <v>507500</v>
      </c>
      <c r="AA33" s="449">
        <f t="shared" si="10"/>
        <v>46000</v>
      </c>
      <c r="AB33" s="449">
        <f t="shared" si="10"/>
        <v>4500</v>
      </c>
      <c r="AC33" s="449">
        <f t="shared" si="10"/>
        <v>9500</v>
      </c>
      <c r="AD33" s="449">
        <f t="shared" si="10"/>
        <v>500</v>
      </c>
      <c r="AE33" s="449">
        <f t="shared" si="10"/>
        <v>15000</v>
      </c>
      <c r="AF33" s="449">
        <f t="shared" si="10"/>
        <v>500</v>
      </c>
      <c r="AG33" s="449">
        <f t="shared" si="10"/>
        <v>6000</v>
      </c>
      <c r="AH33" s="449">
        <f t="shared" si="10"/>
        <v>500</v>
      </c>
      <c r="AI33" s="449">
        <f t="shared" si="10"/>
        <v>500</v>
      </c>
      <c r="AJ33" s="449">
        <f t="shared" si="10"/>
        <v>0</v>
      </c>
      <c r="AK33" s="449">
        <f t="shared" si="10"/>
        <v>0</v>
      </c>
      <c r="AL33" s="449">
        <f t="shared" si="10"/>
        <v>0</v>
      </c>
      <c r="AM33" s="449">
        <f t="shared" si="10"/>
        <v>0</v>
      </c>
      <c r="AN33" s="449">
        <f t="shared" si="10"/>
        <v>30500</v>
      </c>
      <c r="AO33" s="450">
        <f>SUM(P33:AN33)</f>
        <v>5082000</v>
      </c>
      <c r="AP33" s="201"/>
      <c r="AQ33" s="276"/>
      <c r="AR33" s="276"/>
      <c r="AS33" s="276"/>
      <c r="AT33" s="276"/>
      <c r="AU33" s="276"/>
      <c r="AV33" s="276"/>
      <c r="AW33" s="276"/>
      <c r="AX33" s="276"/>
      <c r="AY33" s="276"/>
    </row>
    <row r="34" spans="1:51" ht="15.75" customHeight="1" x14ac:dyDescent="0.25">
      <c r="A34" s="391"/>
      <c r="B34" s="543" t="s">
        <v>40</v>
      </c>
      <c r="C34" s="391"/>
      <c r="D34" s="391"/>
      <c r="E34" s="391">
        <f t="shared" ref="E34:I34" si="11">E33/$C$33</f>
        <v>9.1104489277514539E-3</v>
      </c>
      <c r="F34" s="391">
        <f t="shared" si="11"/>
        <v>0</v>
      </c>
      <c r="G34" s="391">
        <f t="shared" si="11"/>
        <v>3.1507986908309317E-3</v>
      </c>
      <c r="H34" s="391">
        <f t="shared" si="11"/>
        <v>2.9309755263543548E-3</v>
      </c>
      <c r="I34" s="391">
        <f t="shared" si="11"/>
        <v>0.59507840359532993</v>
      </c>
      <c r="J34" s="391"/>
      <c r="K34" s="391">
        <f t="shared" ref="K34:N34" si="12">K33/$C$33</f>
        <v>0.38972937325973328</v>
      </c>
      <c r="L34" s="391">
        <f t="shared" si="12"/>
        <v>0.3931854819012261</v>
      </c>
      <c r="M34" s="391">
        <f t="shared" si="12"/>
        <v>3.1642323286600557E-3</v>
      </c>
      <c r="N34" s="391">
        <f t="shared" si="12"/>
        <v>0.3931854819012261</v>
      </c>
      <c r="O34" s="452"/>
      <c r="P34" s="391">
        <f t="shared" ref="P34:AN34" si="13">P33/$AO$33</f>
        <v>5.5883510428964972E-2</v>
      </c>
      <c r="Q34" s="391">
        <f t="shared" si="13"/>
        <v>7.5560802833530102E-2</v>
      </c>
      <c r="R34" s="391">
        <f t="shared" si="13"/>
        <v>0.12406532861078316</v>
      </c>
      <c r="S34" s="391">
        <f t="shared" si="13"/>
        <v>7.615112160566706E-2</v>
      </c>
      <c r="T34" s="391">
        <f t="shared" si="13"/>
        <v>1.0035419126328217E-2</v>
      </c>
      <c r="U34" s="391">
        <f t="shared" si="13"/>
        <v>2.9515938606847697E-3</v>
      </c>
      <c r="V34" s="391">
        <f t="shared" si="13"/>
        <v>4.9094844549390004E-2</v>
      </c>
      <c r="W34" s="391">
        <f t="shared" si="13"/>
        <v>9.8386462022825654E-5</v>
      </c>
      <c r="X34" s="391">
        <f t="shared" si="13"/>
        <v>1.4757969303423849E-3</v>
      </c>
      <c r="Y34" s="391">
        <f t="shared" si="13"/>
        <v>0.48248720975993703</v>
      </c>
      <c r="Z34" s="391">
        <f t="shared" si="13"/>
        <v>9.986225895316804E-2</v>
      </c>
      <c r="AA34" s="391">
        <f t="shared" si="13"/>
        <v>9.0515545060999604E-3</v>
      </c>
      <c r="AB34" s="391">
        <f t="shared" si="13"/>
        <v>8.8547815820543094E-4</v>
      </c>
      <c r="AC34" s="391">
        <f t="shared" si="13"/>
        <v>1.8693427784336875E-3</v>
      </c>
      <c r="AD34" s="391">
        <f t="shared" si="13"/>
        <v>9.8386462022825654E-5</v>
      </c>
      <c r="AE34" s="391">
        <f t="shared" si="13"/>
        <v>2.9515938606847697E-3</v>
      </c>
      <c r="AF34" s="391">
        <f t="shared" si="13"/>
        <v>9.8386462022825654E-5</v>
      </c>
      <c r="AG34" s="391">
        <f t="shared" si="13"/>
        <v>1.1806375442739079E-3</v>
      </c>
      <c r="AH34" s="391">
        <f t="shared" si="13"/>
        <v>9.8386462022825654E-5</v>
      </c>
      <c r="AI34" s="391">
        <f t="shared" si="13"/>
        <v>9.8386462022825654E-5</v>
      </c>
      <c r="AJ34" s="391">
        <f t="shared" si="13"/>
        <v>0</v>
      </c>
      <c r="AK34" s="391">
        <f t="shared" si="13"/>
        <v>0</v>
      </c>
      <c r="AL34" s="391">
        <f t="shared" si="13"/>
        <v>0</v>
      </c>
      <c r="AM34" s="391">
        <f t="shared" si="13"/>
        <v>0</v>
      </c>
      <c r="AN34" s="391">
        <f t="shared" si="13"/>
        <v>6.0015741833923655E-3</v>
      </c>
      <c r="AO34" s="453">
        <f>AO33-Y33</f>
        <v>2630000</v>
      </c>
      <c r="AP34" s="201"/>
      <c r="AQ34" s="276"/>
      <c r="AR34" s="276"/>
      <c r="AS34" s="276"/>
      <c r="AT34" s="276"/>
      <c r="AU34" s="276"/>
      <c r="AV34" s="276"/>
      <c r="AW34" s="276"/>
      <c r="AX34" s="276"/>
      <c r="AY34" s="276"/>
    </row>
    <row r="35" spans="1:51" ht="15.75" customHeight="1" x14ac:dyDescent="0.25">
      <c r="A35" s="391"/>
      <c r="B35" s="543" t="s">
        <v>147</v>
      </c>
      <c r="C35" s="391">
        <f>C33/'MAI 23'!G34-1</f>
        <v>0.67451257868065984</v>
      </c>
      <c r="D35" s="391">
        <f>D33/'MAI 23'!B34-1</f>
        <v>0.52680427596078472</v>
      </c>
      <c r="E35" s="391">
        <f>E33/'MAI 23'!C34-1</f>
        <v>6.6122448979591839</v>
      </c>
      <c r="F35" s="391" t="e">
        <f>F33/'MAI 23'!D34-1</f>
        <v>#DIV/0!</v>
      </c>
      <c r="G35" s="391">
        <f>G33/'MAI 23'!E34-1</f>
        <v>3.6071428571428568</v>
      </c>
      <c r="H35" s="391">
        <f>H33/'MAI 23'!F34-1</f>
        <v>2</v>
      </c>
      <c r="I35" s="391">
        <f>I33/'MAI 23'!H34-1</f>
        <v>9.8448643388775681E-2</v>
      </c>
      <c r="J35" s="391"/>
      <c r="K35" s="391">
        <f>K33/'MAI 23'!J34-1</f>
        <v>6.4638857088034509</v>
      </c>
      <c r="L35" s="391">
        <f>L33/'MAI 23'!K34-1</f>
        <v>7.3507807231415683</v>
      </c>
      <c r="M35" s="391">
        <f>M33/'MAI 23'!L34-1</f>
        <v>-0.76365721945008225</v>
      </c>
      <c r="N35" s="391">
        <f>N33/'MAI 23'!M34-1</f>
        <v>6.3422120866590648</v>
      </c>
      <c r="O35" s="452"/>
      <c r="P35" s="391">
        <f>P33/'MAI 23'!O34-1</f>
        <v>-0.20781032078103212</v>
      </c>
      <c r="Q35" s="391">
        <f>Q33/'MAI 23'!P34-1</f>
        <v>-0.45915492957746484</v>
      </c>
      <c r="R35" s="391">
        <f>R33/'MAI 23'!Q34-1</f>
        <v>1.6659619450317127</v>
      </c>
      <c r="S35" s="391">
        <f>S33/'MAI 23'!R34-1</f>
        <v>1.2967359050445104</v>
      </c>
      <c r="T35" s="391" t="e">
        <f>T33/'MAI 23'!S34-1</f>
        <v>#DIV/0!</v>
      </c>
      <c r="U35" s="391">
        <f>U33/'MAI 23'!T34-1</f>
        <v>-0.81132075471698117</v>
      </c>
      <c r="V35" s="391">
        <f>V33/'MAI 23'!U34-1</f>
        <v>1.2079646017699117</v>
      </c>
      <c r="W35" s="391">
        <f>W33/'MAI 23'!V34-1</f>
        <v>-0.98</v>
      </c>
      <c r="X35" s="391"/>
      <c r="Y35" s="391"/>
      <c r="Z35" s="391">
        <f>Z33/'MAI 23'!X34-1</f>
        <v>6</v>
      </c>
      <c r="AA35" s="391">
        <f>AA33/'MAI 23'!Z34-1</f>
        <v>2.2857142857142856</v>
      </c>
      <c r="AB35" s="391"/>
      <c r="AC35" s="391"/>
      <c r="AD35" s="391"/>
      <c r="AE35" s="391"/>
      <c r="AF35" s="391"/>
      <c r="AG35" s="391"/>
      <c r="AH35" s="391"/>
      <c r="AI35" s="391"/>
      <c r="AJ35" s="391"/>
      <c r="AK35" s="391"/>
      <c r="AL35" s="391"/>
      <c r="AM35" s="391"/>
      <c r="AN35" s="391"/>
      <c r="AO35" s="391">
        <f>AO33/'MAI 23'!AB34-1</f>
        <v>1.8391061452513968</v>
      </c>
      <c r="AP35" s="201"/>
      <c r="AQ35" s="276"/>
      <c r="AR35" s="276"/>
      <c r="AS35" s="276"/>
      <c r="AT35" s="276"/>
      <c r="AU35" s="276"/>
      <c r="AV35" s="276"/>
      <c r="AW35" s="276"/>
      <c r="AX35" s="276"/>
      <c r="AY35" s="276"/>
    </row>
    <row r="36" spans="1:51" ht="15.75" customHeight="1" x14ac:dyDescent="0.25">
      <c r="A36" s="392" t="s">
        <v>157</v>
      </c>
      <c r="B36" s="539">
        <f>C33</f>
        <v>20471000</v>
      </c>
      <c r="C36" s="454"/>
      <c r="D36" s="293"/>
      <c r="E36" s="293"/>
      <c r="F36" s="352"/>
      <c r="G36" s="455"/>
      <c r="H36" s="455"/>
      <c r="I36" s="455"/>
      <c r="J36" s="456"/>
      <c r="K36" s="457"/>
      <c r="L36" s="458"/>
      <c r="M36" s="396"/>
      <c r="N36" s="459"/>
      <c r="O36" s="350" t="s">
        <v>186</v>
      </c>
      <c r="P36" s="351">
        <f>'AVRIL 23'!N15</f>
        <v>25950.000000000004</v>
      </c>
      <c r="Q36" s="351">
        <f>'AVRIL 23'!O15</f>
        <v>94950.000000000015</v>
      </c>
      <c r="R36" s="351">
        <f>'AVRIL 23'!P15</f>
        <v>4500.0000000000009</v>
      </c>
      <c r="S36" s="347"/>
      <c r="T36" s="293"/>
      <c r="U36" s="293"/>
      <c r="V36" s="293"/>
      <c r="W36" s="293"/>
      <c r="X36" s="293"/>
      <c r="Y36" s="293"/>
      <c r="Z36" s="293"/>
      <c r="AA36" s="293"/>
      <c r="AB36" s="293"/>
      <c r="AC36" s="293"/>
      <c r="AD36" s="293"/>
      <c r="AE36" s="293"/>
      <c r="AF36" s="293"/>
      <c r="AG36" s="293"/>
      <c r="AH36" s="293"/>
      <c r="AI36" s="293"/>
      <c r="AJ36" s="460"/>
      <c r="AK36" s="460"/>
      <c r="AL36" s="460"/>
      <c r="AM36" s="460"/>
      <c r="AN36" s="461">
        <v>0.2</v>
      </c>
      <c r="AO36" s="453">
        <f>AO34*(1-AN36)</f>
        <v>2104000</v>
      </c>
      <c r="AP36" s="201"/>
      <c r="AQ36" s="276"/>
      <c r="AR36" s="276"/>
      <c r="AS36" s="276"/>
      <c r="AT36" s="276"/>
      <c r="AU36" s="276"/>
      <c r="AV36" s="276"/>
      <c r="AW36" s="276"/>
      <c r="AX36" s="276"/>
      <c r="AY36" s="276"/>
    </row>
    <row r="37" spans="1:51" ht="15.75" customHeight="1" x14ac:dyDescent="0.25">
      <c r="A37" s="392" t="s">
        <v>177</v>
      </c>
      <c r="B37" s="539">
        <f>'Détail Dépenses'!D81+'Détail Dépenses'!E81+'Détail Dépenses'!G81+'Détail Dépenses'!H81+'Détail Dépenses'!I81</f>
        <v>8239800</v>
      </c>
      <c r="C37" s="462"/>
      <c r="D37" s="276"/>
      <c r="E37" s="276"/>
      <c r="F37" s="463"/>
      <c r="G37" s="414"/>
      <c r="H37" s="414"/>
      <c r="I37" s="414"/>
      <c r="J37" s="415"/>
      <c r="K37" s="416"/>
      <c r="L37" s="417"/>
      <c r="M37" s="464"/>
      <c r="N37" s="465"/>
      <c r="O37" s="350" t="s">
        <v>187</v>
      </c>
      <c r="P37" s="403">
        <f>'MAI 23'!O37</f>
        <v>107550.00000000001</v>
      </c>
      <c r="Q37" s="403">
        <f>'MAI 23'!P37</f>
        <v>213000.00000000003</v>
      </c>
      <c r="R37" s="403">
        <f>'MAI 23'!Q37</f>
        <v>70950.000000000015</v>
      </c>
      <c r="S37" s="201"/>
      <c r="T37" s="276"/>
      <c r="U37" s="276"/>
      <c r="V37" s="276"/>
      <c r="W37" s="276"/>
      <c r="X37" s="276"/>
      <c r="Y37" s="276"/>
      <c r="Z37" s="276"/>
      <c r="AA37" s="276"/>
      <c r="AB37" s="276"/>
      <c r="AC37" s="276"/>
      <c r="AD37" s="276"/>
      <c r="AE37" s="276"/>
      <c r="AF37" s="276"/>
      <c r="AG37" s="276"/>
      <c r="AH37" s="276"/>
      <c r="AI37" s="276"/>
      <c r="AJ37" s="276"/>
      <c r="AK37" s="276"/>
      <c r="AL37" s="276"/>
      <c r="AM37" s="276"/>
      <c r="AN37" s="276"/>
      <c r="AO37" s="293"/>
      <c r="AP37" s="276"/>
      <c r="AQ37" s="276"/>
      <c r="AR37" s="276"/>
      <c r="AS37" s="276"/>
      <c r="AT37" s="276"/>
      <c r="AU37" s="276"/>
      <c r="AV37" s="276"/>
      <c r="AW37" s="276"/>
      <c r="AX37" s="276"/>
      <c r="AY37" s="276"/>
    </row>
    <row r="38" spans="1:51" ht="15.75" customHeight="1" x14ac:dyDescent="0.25">
      <c r="A38" s="392" t="s">
        <v>178</v>
      </c>
      <c r="B38" s="539">
        <f>C33-B37</f>
        <v>12231200</v>
      </c>
      <c r="C38" s="466"/>
      <c r="D38" s="276"/>
      <c r="E38" s="276"/>
      <c r="F38" s="467"/>
      <c r="G38" s="414"/>
      <c r="H38" s="414"/>
      <c r="I38" s="414"/>
      <c r="J38" s="415"/>
      <c r="K38" s="416"/>
      <c r="L38" s="417"/>
      <c r="M38" s="468"/>
      <c r="N38" s="469"/>
      <c r="O38" s="350" t="s">
        <v>213</v>
      </c>
      <c r="P38" s="403">
        <f t="shared" ref="P38:R38" si="14">P33*(1-$O$2)</f>
        <v>85200.000000000015</v>
      </c>
      <c r="Q38" s="403">
        <f t="shared" si="14"/>
        <v>115200.00000000001</v>
      </c>
      <c r="R38" s="403">
        <f t="shared" si="14"/>
        <v>189150.00000000003</v>
      </c>
      <c r="S38" s="201"/>
      <c r="T38" s="276"/>
      <c r="U38" s="276"/>
      <c r="V38" s="276"/>
      <c r="W38" s="276"/>
      <c r="X38" s="276"/>
      <c r="Y38" s="276"/>
      <c r="Z38" s="276"/>
      <c r="AA38" s="276"/>
      <c r="AB38" s="276"/>
      <c r="AC38" s="276"/>
      <c r="AD38" s="276"/>
      <c r="AE38" s="276"/>
      <c r="AF38" s="276"/>
      <c r="AG38" s="276"/>
      <c r="AH38" s="276"/>
      <c r="AI38" s="276"/>
      <c r="AJ38" s="276"/>
      <c r="AK38" s="276"/>
      <c r="AL38" s="276"/>
      <c r="AM38" s="276"/>
      <c r="AN38" s="276"/>
      <c r="AO38" s="276"/>
      <c r="AP38" s="276"/>
      <c r="AQ38" s="276"/>
      <c r="AR38" s="276"/>
      <c r="AS38" s="276"/>
      <c r="AT38" s="276"/>
      <c r="AU38" s="276"/>
      <c r="AV38" s="276"/>
      <c r="AW38" s="276"/>
      <c r="AX38" s="276"/>
      <c r="AY38" s="276"/>
    </row>
    <row r="39" spans="1:51" ht="15.75" customHeight="1" x14ac:dyDescent="0.25">
      <c r="A39" s="392" t="s">
        <v>179</v>
      </c>
      <c r="B39" s="544">
        <f>B38/C33</f>
        <v>0.5974891309657564</v>
      </c>
      <c r="C39" s="470"/>
      <c r="D39" s="419"/>
      <c r="E39" s="471"/>
      <c r="F39" s="414"/>
      <c r="G39" s="414"/>
      <c r="H39" s="414"/>
      <c r="I39" s="414"/>
      <c r="J39" s="415"/>
      <c r="K39" s="416"/>
      <c r="L39" s="417"/>
      <c r="M39" s="418"/>
      <c r="N39" s="472"/>
      <c r="O39" s="410" t="s">
        <v>188</v>
      </c>
      <c r="P39" s="411">
        <f t="shared" ref="P39:R39" si="15">SUM(P36:P38)</f>
        <v>218700.00000000006</v>
      </c>
      <c r="Q39" s="411">
        <f t="shared" si="15"/>
        <v>423150.00000000006</v>
      </c>
      <c r="R39" s="411">
        <f t="shared" si="15"/>
        <v>264600.00000000006</v>
      </c>
      <c r="S39" s="201"/>
      <c r="T39" s="276"/>
      <c r="U39" s="276"/>
      <c r="V39" s="276"/>
      <c r="W39" s="276"/>
      <c r="X39" s="276"/>
      <c r="Y39" s="276"/>
      <c r="Z39" s="276"/>
      <c r="AA39" s="276"/>
      <c r="AB39" s="276"/>
      <c r="AC39" s="276"/>
      <c r="AD39" s="276"/>
      <c r="AE39" s="276"/>
      <c r="AF39" s="276"/>
      <c r="AG39" s="276"/>
      <c r="AH39" s="276"/>
      <c r="AI39" s="276"/>
      <c r="AJ39" s="276"/>
      <c r="AK39" s="276"/>
      <c r="AL39" s="276"/>
      <c r="AM39" s="276"/>
      <c r="AN39" s="276"/>
      <c r="AO39" s="276"/>
      <c r="AP39" s="276"/>
      <c r="AQ39" s="276"/>
      <c r="AR39" s="276"/>
      <c r="AS39" s="276"/>
      <c r="AT39" s="276"/>
      <c r="AU39" s="276"/>
      <c r="AV39" s="276"/>
      <c r="AW39" s="276"/>
      <c r="AX39" s="276"/>
      <c r="AY39" s="276"/>
    </row>
    <row r="40" spans="1:51" ht="15.75" customHeight="1" x14ac:dyDescent="0.25">
      <c r="A40" s="392" t="s">
        <v>20</v>
      </c>
      <c r="B40" s="539">
        <f>SUM('Détail Dépenses'!J81:V81)+'Détail Dépenses'!F81</f>
        <v>1970050</v>
      </c>
      <c r="C40" s="470"/>
      <c r="D40" s="419"/>
      <c r="E40" s="471"/>
      <c r="F40" s="414"/>
      <c r="G40" s="414"/>
      <c r="H40" s="414"/>
      <c r="I40" s="414"/>
      <c r="J40" s="415"/>
      <c r="K40" s="416"/>
      <c r="L40" s="417"/>
      <c r="M40" s="418"/>
      <c r="N40" s="418"/>
      <c r="O40" s="473"/>
      <c r="P40" s="293"/>
      <c r="Q40" s="293"/>
      <c r="R40" s="293"/>
      <c r="S40" s="276"/>
      <c r="T40" s="276"/>
      <c r="U40" s="276"/>
      <c r="V40" s="276"/>
      <c r="W40" s="276"/>
      <c r="X40" s="276"/>
      <c r="Y40" s="276"/>
      <c r="Z40" s="276"/>
      <c r="AA40" s="276"/>
      <c r="AB40" s="276"/>
      <c r="AC40" s="276"/>
      <c r="AD40" s="276"/>
      <c r="AE40" s="276"/>
      <c r="AF40" s="276"/>
      <c r="AG40" s="276"/>
      <c r="AH40" s="276"/>
      <c r="AI40" s="276"/>
      <c r="AJ40" s="276"/>
      <c r="AK40" s="276"/>
      <c r="AL40" s="276"/>
      <c r="AM40" s="276"/>
      <c r="AN40" s="276"/>
      <c r="AO40" s="276"/>
      <c r="AP40" s="276"/>
      <c r="AQ40" s="276"/>
      <c r="AR40" s="276"/>
      <c r="AS40" s="276"/>
      <c r="AT40" s="276"/>
      <c r="AU40" s="276"/>
      <c r="AV40" s="276"/>
      <c r="AW40" s="276"/>
      <c r="AX40" s="276"/>
      <c r="AY40" s="276"/>
    </row>
    <row r="41" spans="1:51" ht="15.75" customHeight="1" x14ac:dyDescent="0.25">
      <c r="A41" s="392" t="s">
        <v>214</v>
      </c>
      <c r="B41" s="544">
        <f>B40/B36</f>
        <v>9.6236138928239956E-2</v>
      </c>
      <c r="C41" s="470"/>
      <c r="D41" s="419"/>
      <c r="E41" s="471"/>
      <c r="F41" s="414"/>
      <c r="G41" s="414"/>
      <c r="H41" s="414"/>
      <c r="I41" s="414"/>
      <c r="J41" s="415"/>
      <c r="K41" s="416"/>
      <c r="L41" s="417"/>
      <c r="M41" s="418"/>
      <c r="N41" s="418"/>
      <c r="O41" s="419"/>
      <c r="P41" s="276"/>
      <c r="Q41" s="276"/>
      <c r="R41" s="276"/>
      <c r="S41" s="276"/>
      <c r="T41" s="276"/>
      <c r="U41" s="276"/>
      <c r="V41" s="276"/>
      <c r="W41" s="276"/>
      <c r="X41" s="276"/>
      <c r="Y41" s="276"/>
      <c r="Z41" s="276"/>
      <c r="AA41" s="276"/>
      <c r="AB41" s="276"/>
      <c r="AC41" s="276"/>
      <c r="AD41" s="276"/>
      <c r="AE41" s="276"/>
      <c r="AF41" s="276"/>
      <c r="AG41" s="276"/>
      <c r="AH41" s="276"/>
      <c r="AI41" s="276"/>
      <c r="AJ41" s="276"/>
      <c r="AK41" s="276"/>
      <c r="AL41" s="276"/>
      <c r="AM41" s="276"/>
      <c r="AN41" s="276"/>
      <c r="AO41" s="276"/>
      <c r="AP41" s="276"/>
      <c r="AQ41" s="276"/>
      <c r="AR41" s="276"/>
      <c r="AS41" s="276"/>
      <c r="AT41" s="276"/>
      <c r="AU41" s="276"/>
      <c r="AV41" s="276"/>
      <c r="AW41" s="276"/>
      <c r="AX41" s="276"/>
      <c r="AY41" s="276"/>
    </row>
    <row r="42" spans="1:51" ht="15.75" customHeight="1" x14ac:dyDescent="0.25">
      <c r="A42" s="392" t="s">
        <v>180</v>
      </c>
      <c r="B42" s="539">
        <f>'Détail Dépenses'!W81+'Détail Dépenses'!X81</f>
        <v>1972000</v>
      </c>
      <c r="C42" s="470"/>
      <c r="D42" s="419"/>
      <c r="E42" s="471"/>
      <c r="F42" s="414"/>
      <c r="G42" s="414"/>
      <c r="H42" s="414"/>
      <c r="I42" s="414"/>
      <c r="J42" s="415"/>
      <c r="K42" s="416"/>
      <c r="L42" s="417"/>
      <c r="M42" s="418"/>
      <c r="N42" s="418"/>
      <c r="O42" s="419"/>
      <c r="P42" s="276"/>
      <c r="Q42" s="276"/>
      <c r="R42" s="276"/>
      <c r="S42" s="276"/>
      <c r="T42" s="276"/>
      <c r="U42" s="276"/>
      <c r="V42" s="276"/>
      <c r="W42" s="276"/>
      <c r="X42" s="276"/>
      <c r="Y42" s="276"/>
      <c r="Z42" s="276"/>
      <c r="AA42" s="276"/>
      <c r="AB42" s="276"/>
      <c r="AC42" s="276"/>
      <c r="AD42" s="276"/>
      <c r="AE42" s="276"/>
      <c r="AF42" s="276"/>
      <c r="AG42" s="276"/>
      <c r="AH42" s="276"/>
      <c r="AI42" s="276"/>
      <c r="AJ42" s="276"/>
      <c r="AK42" s="276"/>
      <c r="AL42" s="276"/>
      <c r="AM42" s="276"/>
      <c r="AN42" s="276"/>
      <c r="AO42" s="276"/>
      <c r="AP42" s="276"/>
      <c r="AQ42" s="276"/>
      <c r="AR42" s="276"/>
      <c r="AS42" s="276"/>
      <c r="AT42" s="276"/>
      <c r="AU42" s="276"/>
      <c r="AV42" s="276"/>
      <c r="AW42" s="276"/>
      <c r="AX42" s="276"/>
      <c r="AY42" s="276"/>
    </row>
    <row r="43" spans="1:51" ht="15.75" customHeight="1" x14ac:dyDescent="0.25">
      <c r="A43" s="392" t="s">
        <v>181</v>
      </c>
      <c r="B43" s="539">
        <f>B38-B40-B42</f>
        <v>8289150</v>
      </c>
      <c r="C43" s="474"/>
      <c r="D43" s="276"/>
      <c r="E43" s="276"/>
      <c r="F43" s="475"/>
      <c r="G43" s="414"/>
      <c r="H43" s="414"/>
      <c r="I43" s="271"/>
      <c r="J43" s="415"/>
      <c r="K43" s="416"/>
      <c r="L43" s="417"/>
      <c r="M43" s="418"/>
      <c r="N43" s="418"/>
      <c r="O43" s="419"/>
      <c r="P43" s="276"/>
      <c r="Q43" s="276"/>
      <c r="R43" s="276"/>
      <c r="S43" s="276"/>
      <c r="T43" s="276"/>
      <c r="U43" s="276"/>
      <c r="V43" s="276"/>
      <c r="W43" s="276"/>
      <c r="X43" s="276"/>
      <c r="Y43" s="276"/>
      <c r="Z43" s="276"/>
      <c r="AA43" s="276"/>
      <c r="AB43" s="276"/>
      <c r="AC43" s="276"/>
      <c r="AD43" s="276"/>
      <c r="AE43" s="276"/>
      <c r="AF43" s="276"/>
      <c r="AG43" s="276"/>
      <c r="AH43" s="276"/>
      <c r="AI43" s="276"/>
      <c r="AJ43" s="276"/>
      <c r="AK43" s="276"/>
      <c r="AL43" s="276"/>
      <c r="AM43" s="276"/>
      <c r="AN43" s="276"/>
      <c r="AO43" s="276"/>
      <c r="AP43" s="276"/>
      <c r="AQ43" s="276"/>
      <c r="AR43" s="276"/>
      <c r="AS43" s="276"/>
      <c r="AT43" s="276"/>
      <c r="AU43" s="276"/>
      <c r="AV43" s="276"/>
      <c r="AW43" s="276"/>
      <c r="AX43" s="276"/>
      <c r="AY43" s="276"/>
    </row>
    <row r="44" spans="1:51" ht="15.75" customHeight="1" x14ac:dyDescent="0.25">
      <c r="A44" s="392" t="s">
        <v>182</v>
      </c>
      <c r="B44" s="544">
        <f>B43/C33</f>
        <v>0.40492159640467001</v>
      </c>
      <c r="C44" s="201"/>
      <c r="D44" s="276"/>
      <c r="E44" s="276"/>
      <c r="F44" s="471"/>
      <c r="G44" s="414"/>
      <c r="H44" s="414"/>
      <c r="I44" s="414"/>
      <c r="J44" s="415"/>
      <c r="K44" s="416"/>
      <c r="L44" s="417"/>
      <c r="M44" s="418"/>
      <c r="N44" s="418"/>
      <c r="O44" s="419"/>
      <c r="P44" s="276"/>
      <c r="Q44" s="276"/>
      <c r="R44" s="276"/>
      <c r="S44" s="276"/>
      <c r="T44" s="276"/>
      <c r="U44" s="276"/>
      <c r="V44" s="276"/>
      <c r="W44" s="276"/>
      <c r="X44" s="276"/>
      <c r="Y44" s="276"/>
      <c r="Z44" s="276"/>
      <c r="AA44" s="276"/>
      <c r="AB44" s="276"/>
      <c r="AC44" s="276"/>
      <c r="AD44" s="276"/>
      <c r="AE44" s="276"/>
      <c r="AF44" s="276"/>
      <c r="AG44" s="276"/>
      <c r="AH44" s="276"/>
      <c r="AI44" s="276"/>
      <c r="AJ44" s="276"/>
      <c r="AK44" s="276"/>
      <c r="AL44" s="276"/>
      <c r="AM44" s="276"/>
      <c r="AN44" s="276"/>
      <c r="AO44" s="276"/>
      <c r="AP44" s="276"/>
      <c r="AQ44" s="276"/>
      <c r="AR44" s="276"/>
      <c r="AS44" s="276"/>
      <c r="AT44" s="276"/>
      <c r="AU44" s="276"/>
      <c r="AV44" s="276"/>
      <c r="AW44" s="276"/>
      <c r="AX44" s="276"/>
      <c r="AY44" s="276"/>
    </row>
    <row r="45" spans="1:51" ht="15.75" customHeight="1" x14ac:dyDescent="0.25">
      <c r="A45" s="392" t="s">
        <v>215</v>
      </c>
      <c r="B45" s="539">
        <f>RHv!F58</f>
        <v>1736000</v>
      </c>
      <c r="C45" s="476"/>
      <c r="D45" s="276"/>
      <c r="E45" s="276"/>
      <c r="F45" s="471"/>
      <c r="G45" s="414"/>
      <c r="H45" s="414"/>
      <c r="I45" s="414"/>
      <c r="J45" s="415"/>
      <c r="K45" s="416"/>
      <c r="L45" s="417"/>
      <c r="M45" s="418"/>
      <c r="N45" s="418"/>
      <c r="O45" s="419"/>
      <c r="P45" s="276"/>
      <c r="Q45" s="276"/>
      <c r="R45" s="276"/>
      <c r="S45" s="276"/>
      <c r="T45" s="276"/>
      <c r="U45" s="276"/>
      <c r="V45" s="276"/>
      <c r="W45" s="276"/>
      <c r="X45" s="276"/>
      <c r="Y45" s="276"/>
      <c r="Z45" s="276"/>
      <c r="AA45" s="276"/>
      <c r="AB45" s="276"/>
      <c r="AC45" s="276"/>
      <c r="AD45" s="276"/>
      <c r="AE45" s="276"/>
      <c r="AF45" s="276"/>
      <c r="AG45" s="276"/>
      <c r="AH45" s="276"/>
      <c r="AI45" s="276"/>
      <c r="AJ45" s="276"/>
      <c r="AK45" s="276"/>
      <c r="AL45" s="276"/>
      <c r="AM45" s="276"/>
      <c r="AN45" s="276"/>
      <c r="AO45" s="276"/>
      <c r="AP45" s="276"/>
      <c r="AQ45" s="276"/>
      <c r="AR45" s="276"/>
      <c r="AS45" s="276"/>
      <c r="AT45" s="276"/>
      <c r="AU45" s="276"/>
      <c r="AV45" s="276"/>
      <c r="AW45" s="276"/>
      <c r="AX45" s="276"/>
      <c r="AY45" s="276"/>
    </row>
    <row r="46" spans="1:51" ht="15.75" customHeight="1" x14ac:dyDescent="0.25">
      <c r="A46" s="392" t="s">
        <v>216</v>
      </c>
      <c r="B46" s="544">
        <f>B45/B36</f>
        <v>8.4802891895852675E-2</v>
      </c>
      <c r="C46" s="470"/>
      <c r="D46" s="464" t="e">
        <f t="shared" ref="D46:F46" si="16">#REF!</f>
        <v>#REF!</v>
      </c>
      <c r="E46" s="401" t="e">
        <f t="shared" si="16"/>
        <v>#REF!</v>
      </c>
      <c r="F46" s="477" t="e">
        <f t="shared" si="16"/>
        <v>#REF!</v>
      </c>
      <c r="G46" s="414"/>
      <c r="H46" s="414"/>
      <c r="I46" s="271"/>
      <c r="J46" s="415"/>
      <c r="K46" s="416"/>
      <c r="L46" s="417"/>
      <c r="M46" s="418"/>
      <c r="N46" s="418"/>
      <c r="O46" s="419"/>
      <c r="P46" s="276"/>
      <c r="Q46" s="276"/>
      <c r="R46" s="276"/>
      <c r="S46" s="276"/>
      <c r="T46" s="276"/>
      <c r="U46" s="276"/>
      <c r="V46" s="276"/>
      <c r="W46" s="276"/>
      <c r="X46" s="276"/>
      <c r="Y46" s="276"/>
      <c r="Z46" s="276"/>
      <c r="AA46" s="276"/>
      <c r="AB46" s="276"/>
      <c r="AC46" s="276"/>
      <c r="AD46" s="276"/>
      <c r="AE46" s="276"/>
      <c r="AF46" s="276"/>
      <c r="AG46" s="276"/>
      <c r="AH46" s="276"/>
      <c r="AI46" s="276"/>
      <c r="AJ46" s="276"/>
      <c r="AK46" s="276"/>
      <c r="AL46" s="276"/>
      <c r="AM46" s="276"/>
      <c r="AN46" s="276"/>
      <c r="AO46" s="276"/>
      <c r="AP46" s="276"/>
      <c r="AQ46" s="276"/>
      <c r="AR46" s="276"/>
      <c r="AS46" s="276"/>
      <c r="AT46" s="276"/>
      <c r="AU46" s="276"/>
      <c r="AV46" s="276"/>
      <c r="AW46" s="276"/>
      <c r="AX46" s="276"/>
      <c r="AY46" s="276"/>
    </row>
    <row r="47" spans="1:51" ht="15.75" customHeight="1" x14ac:dyDescent="0.25">
      <c r="A47" s="392" t="s">
        <v>217</v>
      </c>
      <c r="B47" s="539">
        <f>B37+B40+B42+B45</f>
        <v>13917850</v>
      </c>
      <c r="C47" s="470"/>
      <c r="D47" s="419"/>
      <c r="E47" s="471"/>
      <c r="F47" s="414"/>
      <c r="G47" s="414"/>
      <c r="H47" s="414"/>
      <c r="I47" s="414"/>
      <c r="J47" s="415"/>
      <c r="K47" s="416"/>
      <c r="L47" s="417"/>
      <c r="M47" s="418"/>
      <c r="N47" s="418"/>
      <c r="O47" s="419"/>
      <c r="P47" s="276"/>
      <c r="Q47" s="276"/>
      <c r="R47" s="276"/>
      <c r="S47" s="276"/>
      <c r="T47" s="276"/>
      <c r="U47" s="276"/>
      <c r="V47" s="276"/>
      <c r="W47" s="276"/>
      <c r="X47" s="276"/>
      <c r="Y47" s="276"/>
      <c r="Z47" s="276"/>
      <c r="AA47" s="276"/>
      <c r="AB47" s="276"/>
      <c r="AC47" s="276"/>
      <c r="AD47" s="276"/>
      <c r="AE47" s="276"/>
      <c r="AF47" s="276"/>
      <c r="AG47" s="276"/>
      <c r="AH47" s="276"/>
      <c r="AI47" s="276"/>
      <c r="AJ47" s="276"/>
      <c r="AK47" s="276"/>
      <c r="AL47" s="276"/>
      <c r="AM47" s="276"/>
      <c r="AN47" s="276"/>
      <c r="AO47" s="276"/>
      <c r="AP47" s="276"/>
      <c r="AQ47" s="276"/>
      <c r="AR47" s="276"/>
      <c r="AS47" s="276"/>
      <c r="AT47" s="276"/>
      <c r="AU47" s="276"/>
      <c r="AV47" s="276"/>
      <c r="AW47" s="276"/>
      <c r="AX47" s="276"/>
      <c r="AY47" s="276"/>
    </row>
    <row r="48" spans="1:51" ht="15.75" customHeight="1" x14ac:dyDescent="0.25">
      <c r="A48" s="392" t="s">
        <v>184</v>
      </c>
      <c r="B48" s="545">
        <f>B43-B45+'MAI 23'!B45</f>
        <v>6293150.3437700002</v>
      </c>
      <c r="C48" s="470">
        <f>N33+E33+H33-B45+'MAI 23'!B45+'MAI 23'!C42</f>
        <v>6168750</v>
      </c>
      <c r="D48" s="478" t="e">
        <f t="shared" ref="D48:F48" si="17">$C$48*D46</f>
        <v>#REF!</v>
      </c>
      <c r="E48" s="479" t="e">
        <f t="shared" si="17"/>
        <v>#REF!</v>
      </c>
      <c r="F48" s="480" t="e">
        <f t="shared" si="17"/>
        <v>#REF!</v>
      </c>
      <c r="G48" s="414"/>
      <c r="H48" s="414"/>
      <c r="I48" s="414"/>
      <c r="J48" s="415"/>
      <c r="K48" s="416"/>
      <c r="L48" s="417"/>
      <c r="M48" s="418"/>
      <c r="N48" s="418"/>
      <c r="O48" s="419"/>
      <c r="P48" s="276"/>
      <c r="Q48" s="276"/>
      <c r="R48" s="276"/>
      <c r="S48" s="276"/>
      <c r="T48" s="276"/>
      <c r="U48" s="276"/>
      <c r="V48" s="276"/>
      <c r="W48" s="276"/>
      <c r="X48" s="276"/>
      <c r="Y48" s="276"/>
      <c r="Z48" s="276"/>
      <c r="AA48" s="276"/>
      <c r="AB48" s="276"/>
      <c r="AC48" s="276"/>
      <c r="AD48" s="276"/>
      <c r="AE48" s="276"/>
      <c r="AF48" s="276"/>
      <c r="AG48" s="276"/>
      <c r="AH48" s="276"/>
      <c r="AI48" s="276"/>
      <c r="AJ48" s="276"/>
      <c r="AK48" s="276"/>
      <c r="AL48" s="276"/>
      <c r="AM48" s="276"/>
      <c r="AN48" s="276"/>
      <c r="AO48" s="276"/>
      <c r="AP48" s="276"/>
      <c r="AQ48" s="276"/>
      <c r="AR48" s="276"/>
      <c r="AS48" s="276"/>
      <c r="AT48" s="276"/>
      <c r="AU48" s="276"/>
      <c r="AV48" s="276"/>
      <c r="AW48" s="276"/>
      <c r="AX48" s="276"/>
      <c r="AY48" s="276"/>
    </row>
    <row r="49" spans="1:51" ht="15.75" customHeight="1" x14ac:dyDescent="0.25">
      <c r="A49" s="392" t="s">
        <v>185</v>
      </c>
      <c r="B49" s="544">
        <f>B48/B36</f>
        <v>0.30741782735430612</v>
      </c>
      <c r="C49" s="470"/>
      <c r="D49" s="419"/>
      <c r="E49" s="471"/>
      <c r="F49" s="414"/>
      <c r="G49" s="414"/>
      <c r="H49" s="414"/>
      <c r="I49" s="414"/>
      <c r="J49" s="415"/>
      <c r="K49" s="416"/>
      <c r="L49" s="417"/>
      <c r="M49" s="418"/>
      <c r="N49" s="418"/>
      <c r="O49" s="419"/>
      <c r="P49" s="276"/>
      <c r="Q49" s="276"/>
      <c r="R49" s="276"/>
      <c r="S49" s="276"/>
      <c r="T49" s="276"/>
      <c r="U49" s="276"/>
      <c r="V49" s="276"/>
      <c r="W49" s="276"/>
      <c r="X49" s="276"/>
      <c r="Y49" s="276"/>
      <c r="Z49" s="276"/>
      <c r="AA49" s="276"/>
      <c r="AB49" s="276"/>
      <c r="AC49" s="276"/>
      <c r="AD49" s="276"/>
      <c r="AE49" s="276"/>
      <c r="AF49" s="276"/>
      <c r="AG49" s="276"/>
      <c r="AH49" s="276"/>
      <c r="AI49" s="276"/>
      <c r="AJ49" s="276"/>
      <c r="AK49" s="276"/>
      <c r="AL49" s="276"/>
      <c r="AM49" s="276"/>
      <c r="AN49" s="276"/>
      <c r="AO49" s="276"/>
      <c r="AP49" s="276"/>
      <c r="AQ49" s="276"/>
      <c r="AR49" s="276"/>
      <c r="AS49" s="276"/>
      <c r="AT49" s="276"/>
      <c r="AU49" s="276"/>
      <c r="AV49" s="276"/>
      <c r="AW49" s="276"/>
      <c r="AX49" s="276"/>
      <c r="AY49" s="276"/>
    </row>
    <row r="50" spans="1:51" ht="15.75" customHeight="1" x14ac:dyDescent="0.25">
      <c r="A50" s="293"/>
      <c r="B50" s="532"/>
      <c r="C50" s="423"/>
      <c r="D50" s="276"/>
      <c r="E50" s="276"/>
      <c r="F50" s="422"/>
      <c r="G50" s="422"/>
      <c r="H50" s="422"/>
      <c r="I50" s="422"/>
      <c r="J50" s="423"/>
      <c r="K50" s="422"/>
      <c r="L50" s="422"/>
      <c r="M50" s="422"/>
      <c r="N50" s="422"/>
      <c r="O50" s="276"/>
      <c r="P50" s="276"/>
      <c r="Q50" s="276"/>
      <c r="R50" s="276"/>
      <c r="S50" s="276"/>
      <c r="T50" s="276"/>
      <c r="U50" s="276"/>
      <c r="V50" s="276"/>
      <c r="W50" s="276"/>
      <c r="X50" s="276"/>
      <c r="Y50" s="276"/>
      <c r="Z50" s="276"/>
      <c r="AA50" s="276"/>
      <c r="AB50" s="276"/>
      <c r="AC50" s="276"/>
      <c r="AD50" s="276"/>
      <c r="AE50" s="276"/>
      <c r="AF50" s="276"/>
      <c r="AG50" s="276"/>
      <c r="AH50" s="276"/>
      <c r="AI50" s="276"/>
      <c r="AJ50" s="276"/>
      <c r="AK50" s="276"/>
      <c r="AL50" s="276"/>
      <c r="AM50" s="276"/>
      <c r="AN50" s="276"/>
      <c r="AO50" s="276"/>
      <c r="AP50" s="276"/>
      <c r="AQ50" s="276"/>
      <c r="AR50" s="276"/>
      <c r="AS50" s="276"/>
      <c r="AT50" s="276"/>
      <c r="AU50" s="276"/>
      <c r="AV50" s="276"/>
      <c r="AW50" s="276"/>
      <c r="AX50" s="276"/>
      <c r="AY50" s="276"/>
    </row>
    <row r="51" spans="1:51" ht="15.75" customHeight="1" x14ac:dyDescent="0.25">
      <c r="A51" s="276"/>
      <c r="B51" s="533"/>
      <c r="C51" s="353"/>
      <c r="D51" s="276"/>
      <c r="E51" s="276"/>
      <c r="F51" s="276"/>
      <c r="G51" s="276"/>
      <c r="H51" s="276"/>
      <c r="I51" s="276"/>
      <c r="J51" s="353"/>
      <c r="K51" s="276"/>
      <c r="L51" s="276"/>
      <c r="M51" s="276"/>
      <c r="N51" s="276"/>
      <c r="O51" s="276"/>
      <c r="P51" s="276"/>
      <c r="Q51" s="276"/>
      <c r="R51" s="276"/>
      <c r="S51" s="276"/>
      <c r="T51" s="276"/>
      <c r="U51" s="276"/>
      <c r="V51" s="276"/>
      <c r="W51" s="276"/>
      <c r="X51" s="276"/>
      <c r="Y51" s="276"/>
      <c r="Z51" s="276"/>
      <c r="AA51" s="276"/>
      <c r="AB51" s="276"/>
      <c r="AC51" s="276"/>
      <c r="AD51" s="276"/>
      <c r="AE51" s="276"/>
      <c r="AF51" s="276"/>
      <c r="AG51" s="276"/>
      <c r="AH51" s="276"/>
      <c r="AI51" s="276"/>
      <c r="AJ51" s="276"/>
      <c r="AK51" s="276"/>
      <c r="AL51" s="276"/>
      <c r="AM51" s="276"/>
      <c r="AN51" s="276"/>
      <c r="AO51" s="276"/>
      <c r="AP51" s="276"/>
      <c r="AQ51" s="276"/>
      <c r="AR51" s="276"/>
      <c r="AS51" s="276"/>
      <c r="AT51" s="276"/>
      <c r="AU51" s="276"/>
      <c r="AV51" s="276"/>
      <c r="AW51" s="276"/>
      <c r="AX51" s="276"/>
      <c r="AY51" s="276"/>
    </row>
    <row r="52" spans="1:51" ht="15.75" customHeight="1" x14ac:dyDescent="0.25">
      <c r="A52" s="276"/>
      <c r="B52" s="533"/>
      <c r="C52" s="353"/>
      <c r="D52" s="276"/>
      <c r="E52" s="276"/>
      <c r="F52" s="276"/>
      <c r="G52" s="276"/>
      <c r="H52" s="276"/>
      <c r="I52" s="276"/>
      <c r="J52" s="353"/>
      <c r="K52" s="276"/>
      <c r="L52" s="276"/>
      <c r="M52" s="276"/>
      <c r="N52" s="276"/>
      <c r="O52" s="276"/>
      <c r="P52" s="276"/>
      <c r="Q52" s="276"/>
      <c r="R52" s="276"/>
      <c r="S52" s="276"/>
      <c r="T52" s="276"/>
      <c r="U52" s="276"/>
      <c r="V52" s="276"/>
      <c r="W52" s="276"/>
      <c r="X52" s="276"/>
      <c r="Y52" s="276"/>
      <c r="Z52" s="276"/>
      <c r="AA52" s="276"/>
      <c r="AB52" s="276"/>
      <c r="AC52" s="276"/>
      <c r="AD52" s="276"/>
      <c r="AE52" s="276"/>
      <c r="AF52" s="276"/>
      <c r="AG52" s="276"/>
      <c r="AH52" s="276"/>
      <c r="AI52" s="276"/>
      <c r="AJ52" s="276"/>
      <c r="AK52" s="276"/>
      <c r="AL52" s="276"/>
      <c r="AM52" s="276"/>
      <c r="AN52" s="276"/>
      <c r="AO52" s="276"/>
      <c r="AP52" s="276"/>
      <c r="AQ52" s="276"/>
      <c r="AR52" s="276"/>
      <c r="AS52" s="276"/>
      <c r="AT52" s="276"/>
      <c r="AU52" s="276"/>
      <c r="AV52" s="276"/>
      <c r="AW52" s="276"/>
      <c r="AX52" s="276"/>
      <c r="AY52" s="276"/>
    </row>
    <row r="53" spans="1:51" ht="15.75" customHeight="1" x14ac:dyDescent="0.25">
      <c r="A53" s="276"/>
      <c r="B53" s="533"/>
      <c r="C53" s="353"/>
      <c r="D53" s="276"/>
      <c r="E53" s="276"/>
      <c r="F53" s="276"/>
      <c r="G53" s="276"/>
      <c r="H53" s="276"/>
      <c r="I53" s="276"/>
      <c r="J53" s="353"/>
      <c r="K53" s="276"/>
      <c r="L53" s="276"/>
      <c r="M53" s="276"/>
      <c r="N53" s="276"/>
      <c r="O53" s="276"/>
      <c r="P53" s="276"/>
      <c r="Q53" s="276"/>
      <c r="R53" s="276"/>
      <c r="S53" s="276"/>
      <c r="T53" s="276"/>
      <c r="U53" s="276"/>
      <c r="V53" s="276"/>
      <c r="W53" s="276"/>
      <c r="X53" s="276"/>
      <c r="Y53" s="276"/>
      <c r="Z53" s="276"/>
      <c r="AA53" s="276"/>
      <c r="AB53" s="276"/>
      <c r="AC53" s="276"/>
      <c r="AD53" s="276"/>
      <c r="AE53" s="276"/>
      <c r="AF53" s="276"/>
      <c r="AG53" s="276"/>
      <c r="AH53" s="276"/>
      <c r="AI53" s="276"/>
      <c r="AJ53" s="276"/>
      <c r="AK53" s="276"/>
      <c r="AL53" s="276"/>
      <c r="AM53" s="276"/>
      <c r="AN53" s="276"/>
      <c r="AO53" s="276"/>
      <c r="AP53" s="276"/>
      <c r="AQ53" s="276"/>
      <c r="AR53" s="276"/>
      <c r="AS53" s="276"/>
      <c r="AT53" s="276"/>
      <c r="AU53" s="276"/>
      <c r="AV53" s="276"/>
      <c r="AW53" s="276"/>
      <c r="AX53" s="276"/>
      <c r="AY53" s="276"/>
    </row>
    <row r="54" spans="1:51" ht="15.75" customHeight="1" x14ac:dyDescent="0.25">
      <c r="A54" s="276"/>
      <c r="B54" s="533"/>
      <c r="C54" s="353"/>
      <c r="D54" s="276"/>
      <c r="E54" s="276"/>
      <c r="F54" s="276"/>
      <c r="G54" s="276"/>
      <c r="H54" s="276"/>
      <c r="I54" s="276"/>
      <c r="J54" s="353"/>
      <c r="K54" s="276"/>
      <c r="L54" s="276"/>
      <c r="M54" s="276"/>
      <c r="N54" s="276"/>
      <c r="O54" s="276"/>
      <c r="P54" s="276"/>
      <c r="Q54" s="276"/>
      <c r="R54" s="276"/>
      <c r="S54" s="276"/>
      <c r="T54" s="276"/>
      <c r="U54" s="276"/>
      <c r="V54" s="276"/>
      <c r="W54" s="276"/>
      <c r="X54" s="276"/>
      <c r="Y54" s="276"/>
      <c r="Z54" s="276"/>
      <c r="AA54" s="276"/>
      <c r="AB54" s="276"/>
      <c r="AC54" s="276"/>
      <c r="AD54" s="276"/>
      <c r="AE54" s="276"/>
      <c r="AF54" s="276"/>
      <c r="AG54" s="276"/>
      <c r="AH54" s="276"/>
      <c r="AI54" s="276"/>
      <c r="AJ54" s="276"/>
      <c r="AK54" s="276"/>
      <c r="AL54" s="276"/>
      <c r="AM54" s="276"/>
      <c r="AN54" s="276"/>
      <c r="AO54" s="276"/>
      <c r="AP54" s="276"/>
      <c r="AQ54" s="276"/>
      <c r="AR54" s="276"/>
      <c r="AS54" s="276"/>
      <c r="AT54" s="276"/>
      <c r="AU54" s="276"/>
      <c r="AV54" s="276"/>
      <c r="AW54" s="276"/>
      <c r="AX54" s="276"/>
      <c r="AY54" s="276"/>
    </row>
    <row r="55" spans="1:51" ht="15.75" customHeight="1" x14ac:dyDescent="0.25">
      <c r="A55" s="276"/>
      <c r="B55" s="533"/>
      <c r="C55" s="353"/>
      <c r="D55" s="276"/>
      <c r="E55" s="276"/>
      <c r="F55" s="276"/>
      <c r="G55" s="276"/>
      <c r="H55" s="276"/>
      <c r="I55" s="276"/>
      <c r="J55" s="353"/>
      <c r="K55" s="276"/>
      <c r="L55" s="276"/>
      <c r="M55" s="276"/>
      <c r="N55" s="276"/>
      <c r="O55" s="276"/>
      <c r="P55" s="276"/>
      <c r="Q55" s="276"/>
      <c r="R55" s="276"/>
      <c r="S55" s="276"/>
      <c r="T55" s="276"/>
      <c r="U55" s="276"/>
      <c r="V55" s="276"/>
      <c r="W55" s="276"/>
      <c r="X55" s="276"/>
      <c r="Y55" s="276"/>
      <c r="Z55" s="276"/>
      <c r="AA55" s="276"/>
      <c r="AB55" s="276"/>
      <c r="AC55" s="276"/>
      <c r="AD55" s="276"/>
      <c r="AE55" s="276"/>
      <c r="AF55" s="276"/>
      <c r="AG55" s="276"/>
      <c r="AH55" s="276"/>
      <c r="AI55" s="276"/>
      <c r="AJ55" s="276"/>
      <c r="AK55" s="276"/>
      <c r="AL55" s="276"/>
      <c r="AM55" s="276"/>
      <c r="AN55" s="276"/>
      <c r="AO55" s="276"/>
      <c r="AP55" s="276"/>
      <c r="AQ55" s="276"/>
      <c r="AR55" s="276"/>
      <c r="AS55" s="276"/>
      <c r="AT55" s="276"/>
      <c r="AU55" s="276"/>
      <c r="AV55" s="276"/>
      <c r="AW55" s="276"/>
      <c r="AX55" s="276"/>
      <c r="AY55" s="276"/>
    </row>
    <row r="56" spans="1:51" ht="15.75" customHeight="1" x14ac:dyDescent="0.25">
      <c r="A56" s="276"/>
      <c r="B56" s="533"/>
      <c r="C56" s="353"/>
      <c r="D56" s="276"/>
      <c r="E56" s="276"/>
      <c r="F56" s="276"/>
      <c r="G56" s="276"/>
      <c r="H56" s="276"/>
      <c r="I56" s="276"/>
      <c r="J56" s="353"/>
      <c r="K56" s="276"/>
      <c r="L56" s="276"/>
      <c r="M56" s="276"/>
      <c r="N56" s="276"/>
      <c r="O56" s="276"/>
      <c r="P56" s="276"/>
      <c r="Q56" s="276"/>
      <c r="R56" s="276"/>
      <c r="S56" s="276"/>
      <c r="T56" s="276"/>
      <c r="U56" s="276"/>
      <c r="V56" s="276"/>
      <c r="W56" s="276"/>
      <c r="X56" s="276"/>
      <c r="Y56" s="276"/>
      <c r="Z56" s="276"/>
      <c r="AA56" s="276"/>
      <c r="AB56" s="276"/>
      <c r="AC56" s="276"/>
      <c r="AD56" s="276"/>
      <c r="AE56" s="276"/>
      <c r="AF56" s="276"/>
      <c r="AG56" s="276"/>
      <c r="AH56" s="276"/>
      <c r="AI56" s="276"/>
      <c r="AJ56" s="276"/>
      <c r="AK56" s="276"/>
      <c r="AL56" s="276"/>
      <c r="AM56" s="276"/>
      <c r="AN56" s="276"/>
      <c r="AO56" s="276"/>
      <c r="AP56" s="276"/>
      <c r="AQ56" s="276"/>
      <c r="AR56" s="276"/>
      <c r="AS56" s="276"/>
      <c r="AT56" s="276"/>
      <c r="AU56" s="276"/>
      <c r="AV56" s="276"/>
      <c r="AW56" s="276"/>
      <c r="AX56" s="276"/>
      <c r="AY56" s="276"/>
    </row>
    <row r="57" spans="1:51" ht="15.75" customHeight="1" x14ac:dyDescent="0.25">
      <c r="A57" s="276"/>
      <c r="B57" s="533"/>
      <c r="C57" s="353"/>
      <c r="D57" s="276"/>
      <c r="E57" s="276"/>
      <c r="F57" s="276"/>
      <c r="G57" s="276"/>
      <c r="H57" s="276"/>
      <c r="I57" s="276"/>
      <c r="J57" s="353"/>
      <c r="K57" s="276"/>
      <c r="L57" s="276"/>
      <c r="M57" s="276"/>
      <c r="N57" s="276"/>
      <c r="O57" s="276"/>
      <c r="P57" s="276"/>
      <c r="Q57" s="276"/>
      <c r="R57" s="276"/>
      <c r="S57" s="276"/>
      <c r="T57" s="276"/>
      <c r="U57" s="276"/>
      <c r="V57" s="276"/>
      <c r="W57" s="276"/>
      <c r="X57" s="276"/>
      <c r="Y57" s="276"/>
      <c r="Z57" s="276"/>
      <c r="AA57" s="276"/>
      <c r="AB57" s="276"/>
      <c r="AC57" s="276"/>
      <c r="AD57" s="276"/>
      <c r="AE57" s="276"/>
      <c r="AF57" s="276"/>
      <c r="AG57" s="276"/>
      <c r="AH57" s="276"/>
      <c r="AI57" s="276"/>
      <c r="AJ57" s="276"/>
      <c r="AK57" s="276"/>
      <c r="AL57" s="276"/>
      <c r="AM57" s="276"/>
      <c r="AN57" s="276"/>
      <c r="AO57" s="276"/>
      <c r="AP57" s="276"/>
      <c r="AQ57" s="276"/>
      <c r="AR57" s="276"/>
      <c r="AS57" s="276"/>
      <c r="AT57" s="276"/>
      <c r="AU57" s="276"/>
      <c r="AV57" s="276"/>
      <c r="AW57" s="276"/>
      <c r="AX57" s="276"/>
      <c r="AY57" s="276"/>
    </row>
    <row r="58" spans="1:51" ht="15.75" customHeight="1" x14ac:dyDescent="0.25">
      <c r="A58" s="276"/>
      <c r="B58" s="533"/>
      <c r="C58" s="353"/>
      <c r="D58" s="276"/>
      <c r="E58" s="276"/>
      <c r="F58" s="276"/>
      <c r="G58" s="276"/>
      <c r="H58" s="276"/>
      <c r="I58" s="276"/>
      <c r="J58" s="353"/>
      <c r="K58" s="276"/>
      <c r="L58" s="276"/>
      <c r="M58" s="276"/>
      <c r="N58" s="276"/>
      <c r="O58" s="276"/>
      <c r="P58" s="276"/>
      <c r="Q58" s="276"/>
      <c r="R58" s="276"/>
      <c r="S58" s="276"/>
      <c r="T58" s="276"/>
      <c r="U58" s="276"/>
      <c r="V58" s="276"/>
      <c r="W58" s="276"/>
      <c r="X58" s="276"/>
      <c r="Y58" s="276"/>
      <c r="Z58" s="276"/>
      <c r="AA58" s="276"/>
      <c r="AB58" s="276"/>
      <c r="AC58" s="276"/>
      <c r="AD58" s="276"/>
      <c r="AE58" s="276"/>
      <c r="AF58" s="276"/>
      <c r="AG58" s="276"/>
      <c r="AH58" s="276"/>
      <c r="AI58" s="276"/>
      <c r="AJ58" s="276"/>
      <c r="AK58" s="276"/>
      <c r="AL58" s="276"/>
      <c r="AM58" s="276"/>
      <c r="AN58" s="276"/>
      <c r="AO58" s="276"/>
      <c r="AP58" s="276"/>
      <c r="AQ58" s="276"/>
      <c r="AR58" s="276"/>
      <c r="AS58" s="276"/>
      <c r="AT58" s="276"/>
      <c r="AU58" s="276"/>
      <c r="AV58" s="276"/>
      <c r="AW58" s="276"/>
      <c r="AX58" s="276"/>
      <c r="AY58" s="276"/>
    </row>
    <row r="59" spans="1:51" ht="15.75" customHeight="1" x14ac:dyDescent="0.25">
      <c r="A59" s="276"/>
      <c r="B59" s="533"/>
      <c r="C59" s="353"/>
      <c r="D59" s="276"/>
      <c r="E59" s="276"/>
      <c r="F59" s="276"/>
      <c r="G59" s="276"/>
      <c r="H59" s="276"/>
      <c r="I59" s="276"/>
      <c r="J59" s="353"/>
      <c r="K59" s="276"/>
      <c r="L59" s="276"/>
      <c r="M59" s="276"/>
      <c r="N59" s="276"/>
      <c r="O59" s="276"/>
      <c r="P59" s="276"/>
      <c r="Q59" s="276"/>
      <c r="R59" s="276"/>
      <c r="S59" s="276"/>
      <c r="T59" s="276"/>
      <c r="U59" s="276"/>
      <c r="V59" s="276"/>
      <c r="W59" s="276"/>
      <c r="X59" s="276"/>
      <c r="Y59" s="276"/>
      <c r="Z59" s="276"/>
      <c r="AA59" s="276"/>
      <c r="AB59" s="276"/>
      <c r="AC59" s="276"/>
      <c r="AD59" s="276"/>
      <c r="AE59" s="276"/>
      <c r="AF59" s="276"/>
      <c r="AG59" s="276"/>
      <c r="AH59" s="276"/>
      <c r="AI59" s="276"/>
      <c r="AJ59" s="276"/>
      <c r="AK59" s="276"/>
      <c r="AL59" s="276"/>
      <c r="AM59" s="276"/>
      <c r="AN59" s="276"/>
      <c r="AO59" s="276"/>
      <c r="AP59" s="276"/>
      <c r="AQ59" s="276"/>
      <c r="AR59" s="276"/>
      <c r="AS59" s="276"/>
      <c r="AT59" s="276"/>
      <c r="AU59" s="276"/>
      <c r="AV59" s="276"/>
      <c r="AW59" s="276"/>
      <c r="AX59" s="276"/>
      <c r="AY59" s="276"/>
    </row>
    <row r="60" spans="1:51" ht="15.75" customHeight="1" x14ac:dyDescent="0.25">
      <c r="A60" s="276"/>
      <c r="B60" s="533"/>
      <c r="C60" s="353"/>
      <c r="D60" s="276"/>
      <c r="E60" s="276"/>
      <c r="F60" s="276"/>
      <c r="G60" s="276"/>
      <c r="H60" s="276"/>
      <c r="I60" s="276"/>
      <c r="J60" s="353"/>
      <c r="K60" s="276"/>
      <c r="L60" s="276"/>
      <c r="M60" s="276"/>
      <c r="N60" s="276"/>
      <c r="O60" s="276"/>
      <c r="P60" s="276"/>
      <c r="Q60" s="276"/>
      <c r="R60" s="276"/>
      <c r="S60" s="276"/>
      <c r="T60" s="276"/>
      <c r="U60" s="276"/>
      <c r="V60" s="276"/>
      <c r="W60" s="276"/>
      <c r="X60" s="276"/>
      <c r="Y60" s="276"/>
      <c r="Z60" s="276"/>
      <c r="AA60" s="276"/>
      <c r="AB60" s="276"/>
      <c r="AC60" s="276"/>
      <c r="AD60" s="276"/>
      <c r="AE60" s="276"/>
      <c r="AF60" s="276"/>
      <c r="AG60" s="276"/>
      <c r="AH60" s="276"/>
      <c r="AI60" s="276"/>
      <c r="AJ60" s="276"/>
      <c r="AK60" s="276"/>
      <c r="AL60" s="276"/>
      <c r="AM60" s="276"/>
      <c r="AN60" s="276"/>
      <c r="AO60" s="276"/>
      <c r="AP60" s="276"/>
      <c r="AQ60" s="276"/>
      <c r="AR60" s="276"/>
      <c r="AS60" s="276"/>
      <c r="AT60" s="276"/>
      <c r="AU60" s="276"/>
      <c r="AV60" s="276"/>
      <c r="AW60" s="276"/>
      <c r="AX60" s="276"/>
      <c r="AY60" s="276"/>
    </row>
    <row r="61" spans="1:51" ht="15.75" customHeight="1" x14ac:dyDescent="0.25">
      <c r="A61" s="276"/>
      <c r="B61" s="533"/>
      <c r="C61" s="353"/>
      <c r="D61" s="276"/>
      <c r="E61" s="276"/>
      <c r="F61" s="276"/>
      <c r="G61" s="276"/>
      <c r="H61" s="276"/>
      <c r="I61" s="276"/>
      <c r="J61" s="353"/>
      <c r="K61" s="276"/>
      <c r="L61" s="276"/>
      <c r="M61" s="276"/>
      <c r="N61" s="276"/>
      <c r="O61" s="276"/>
      <c r="P61" s="276"/>
      <c r="Q61" s="276"/>
      <c r="R61" s="276"/>
      <c r="S61" s="276"/>
      <c r="T61" s="276"/>
      <c r="U61" s="276"/>
      <c r="V61" s="276"/>
      <c r="W61" s="276"/>
      <c r="X61" s="276"/>
      <c r="Y61" s="276"/>
      <c r="Z61" s="276"/>
      <c r="AA61" s="276"/>
      <c r="AB61" s="276"/>
      <c r="AC61" s="276"/>
      <c r="AD61" s="276"/>
      <c r="AE61" s="276"/>
      <c r="AF61" s="276"/>
      <c r="AG61" s="276"/>
      <c r="AH61" s="276"/>
      <c r="AI61" s="276"/>
      <c r="AJ61" s="276"/>
      <c r="AK61" s="276"/>
      <c r="AL61" s="276"/>
      <c r="AM61" s="276"/>
      <c r="AN61" s="276"/>
      <c r="AO61" s="276"/>
      <c r="AP61" s="276"/>
      <c r="AQ61" s="276"/>
      <c r="AR61" s="276"/>
      <c r="AS61" s="276"/>
      <c r="AT61" s="276"/>
      <c r="AU61" s="276"/>
      <c r="AV61" s="276"/>
      <c r="AW61" s="276"/>
      <c r="AX61" s="276"/>
      <c r="AY61" s="276"/>
    </row>
    <row r="62" spans="1:51" ht="15.75" customHeight="1" x14ac:dyDescent="0.25">
      <c r="A62" s="276"/>
      <c r="B62" s="533"/>
      <c r="C62" s="353"/>
      <c r="D62" s="276"/>
      <c r="E62" s="276"/>
      <c r="F62" s="276"/>
      <c r="G62" s="276"/>
      <c r="H62" s="276"/>
      <c r="I62" s="276"/>
      <c r="J62" s="353"/>
      <c r="K62" s="276"/>
      <c r="L62" s="276"/>
      <c r="M62" s="276"/>
      <c r="N62" s="276"/>
      <c r="O62" s="276"/>
      <c r="P62" s="276"/>
      <c r="Q62" s="276"/>
      <c r="R62" s="276"/>
      <c r="S62" s="276"/>
      <c r="T62" s="276"/>
      <c r="U62" s="276"/>
      <c r="V62" s="276"/>
      <c r="W62" s="276"/>
      <c r="X62" s="276"/>
      <c r="Y62" s="276"/>
      <c r="Z62" s="276"/>
      <c r="AA62" s="276"/>
      <c r="AB62" s="276"/>
      <c r="AC62" s="276"/>
      <c r="AD62" s="276"/>
      <c r="AE62" s="276"/>
      <c r="AF62" s="276"/>
      <c r="AG62" s="276"/>
      <c r="AH62" s="276"/>
      <c r="AI62" s="276"/>
      <c r="AJ62" s="276"/>
      <c r="AK62" s="276"/>
      <c r="AL62" s="276"/>
      <c r="AM62" s="276"/>
      <c r="AN62" s="276"/>
      <c r="AO62" s="276"/>
      <c r="AP62" s="276"/>
      <c r="AQ62" s="276"/>
      <c r="AR62" s="276"/>
      <c r="AS62" s="276"/>
      <c r="AT62" s="276"/>
      <c r="AU62" s="276"/>
      <c r="AV62" s="276"/>
      <c r="AW62" s="276"/>
      <c r="AX62" s="276"/>
      <c r="AY62" s="276"/>
    </row>
    <row r="63" spans="1:51" ht="15.75" customHeight="1" x14ac:dyDescent="0.25">
      <c r="A63" s="276"/>
      <c r="B63" s="533"/>
      <c r="C63" s="353"/>
      <c r="D63" s="276"/>
      <c r="E63" s="276"/>
      <c r="F63" s="276"/>
      <c r="G63" s="276"/>
      <c r="H63" s="276"/>
      <c r="I63" s="276"/>
      <c r="J63" s="353"/>
      <c r="K63" s="276"/>
      <c r="L63" s="276"/>
      <c r="M63" s="276"/>
      <c r="N63" s="276"/>
      <c r="O63" s="276"/>
      <c r="P63" s="276"/>
      <c r="Q63" s="276"/>
      <c r="R63" s="276"/>
      <c r="S63" s="276"/>
      <c r="T63" s="276"/>
      <c r="U63" s="276"/>
      <c r="V63" s="276"/>
      <c r="W63" s="276"/>
      <c r="X63" s="276"/>
      <c r="Y63" s="276"/>
      <c r="Z63" s="276"/>
      <c r="AA63" s="276"/>
      <c r="AB63" s="276"/>
      <c r="AC63" s="276"/>
      <c r="AD63" s="276"/>
      <c r="AE63" s="276"/>
      <c r="AF63" s="276"/>
      <c r="AG63" s="276"/>
      <c r="AH63" s="276"/>
      <c r="AI63" s="276"/>
      <c r="AJ63" s="276"/>
      <c r="AK63" s="276"/>
      <c r="AL63" s="276"/>
      <c r="AM63" s="276"/>
      <c r="AN63" s="276"/>
      <c r="AO63" s="276"/>
      <c r="AP63" s="276"/>
      <c r="AQ63" s="276"/>
      <c r="AR63" s="276"/>
      <c r="AS63" s="276"/>
      <c r="AT63" s="276"/>
      <c r="AU63" s="276"/>
      <c r="AV63" s="276"/>
      <c r="AW63" s="276"/>
      <c r="AX63" s="276"/>
      <c r="AY63" s="276"/>
    </row>
    <row r="64" spans="1:51" ht="15.75" customHeight="1" x14ac:dyDescent="0.25">
      <c r="A64" s="276"/>
      <c r="B64" s="533"/>
      <c r="C64" s="353"/>
      <c r="D64" s="276"/>
      <c r="E64" s="276"/>
      <c r="F64" s="276"/>
      <c r="G64" s="276"/>
      <c r="H64" s="276"/>
      <c r="I64" s="276"/>
      <c r="J64" s="353"/>
      <c r="K64" s="276"/>
      <c r="L64" s="276"/>
      <c r="M64" s="276"/>
      <c r="N64" s="276"/>
      <c r="O64" s="276"/>
      <c r="P64" s="276"/>
      <c r="Q64" s="276"/>
      <c r="R64" s="276"/>
      <c r="S64" s="276"/>
      <c r="T64" s="276"/>
      <c r="U64" s="276"/>
      <c r="V64" s="276"/>
      <c r="W64" s="276"/>
      <c r="X64" s="276"/>
      <c r="Y64" s="276"/>
      <c r="Z64" s="276"/>
      <c r="AA64" s="276"/>
      <c r="AB64" s="276"/>
      <c r="AC64" s="276"/>
      <c r="AD64" s="276"/>
      <c r="AE64" s="276"/>
      <c r="AF64" s="276"/>
      <c r="AG64" s="276"/>
      <c r="AH64" s="276"/>
      <c r="AI64" s="276"/>
      <c r="AJ64" s="276"/>
      <c r="AK64" s="276"/>
      <c r="AL64" s="276"/>
      <c r="AM64" s="276"/>
      <c r="AN64" s="276"/>
      <c r="AO64" s="276"/>
      <c r="AP64" s="276"/>
      <c r="AQ64" s="276"/>
      <c r="AR64" s="276"/>
      <c r="AS64" s="276"/>
      <c r="AT64" s="276"/>
      <c r="AU64" s="276"/>
      <c r="AV64" s="276"/>
      <c r="AW64" s="276"/>
      <c r="AX64" s="276"/>
      <c r="AY64" s="276"/>
    </row>
    <row r="65" spans="1:51" ht="15.75" customHeight="1" x14ac:dyDescent="0.25">
      <c r="A65" s="276"/>
      <c r="B65" s="533"/>
      <c r="C65" s="353"/>
      <c r="D65" s="276"/>
      <c r="E65" s="276"/>
      <c r="F65" s="276"/>
      <c r="G65" s="276"/>
      <c r="H65" s="276"/>
      <c r="I65" s="276"/>
      <c r="J65" s="353"/>
      <c r="K65" s="276"/>
      <c r="L65" s="276"/>
      <c r="M65" s="276"/>
      <c r="N65" s="276"/>
      <c r="O65" s="276"/>
      <c r="P65" s="276"/>
      <c r="Q65" s="276"/>
      <c r="R65" s="276"/>
      <c r="S65" s="276"/>
      <c r="T65" s="276"/>
      <c r="U65" s="276"/>
      <c r="V65" s="276"/>
      <c r="W65" s="276"/>
      <c r="X65" s="276"/>
      <c r="Y65" s="276"/>
      <c r="Z65" s="276"/>
      <c r="AA65" s="276"/>
      <c r="AB65" s="276"/>
      <c r="AC65" s="276"/>
      <c r="AD65" s="276"/>
      <c r="AE65" s="276"/>
      <c r="AF65" s="276"/>
      <c r="AG65" s="276"/>
      <c r="AH65" s="276"/>
      <c r="AI65" s="276"/>
      <c r="AJ65" s="276"/>
      <c r="AK65" s="276"/>
      <c r="AL65" s="276"/>
      <c r="AM65" s="276"/>
      <c r="AN65" s="276"/>
      <c r="AO65" s="276"/>
      <c r="AP65" s="276"/>
      <c r="AQ65" s="276"/>
      <c r="AR65" s="276"/>
      <c r="AS65" s="276"/>
      <c r="AT65" s="276"/>
      <c r="AU65" s="276"/>
      <c r="AV65" s="276"/>
      <c r="AW65" s="276"/>
      <c r="AX65" s="276"/>
      <c r="AY65" s="276"/>
    </row>
    <row r="66" spans="1:51" ht="15.75" customHeight="1" x14ac:dyDescent="0.25">
      <c r="A66" s="276"/>
      <c r="B66" s="533"/>
      <c r="C66" s="353"/>
      <c r="D66" s="276"/>
      <c r="E66" s="276"/>
      <c r="F66" s="276"/>
      <c r="G66" s="276"/>
      <c r="H66" s="276"/>
      <c r="I66" s="276"/>
      <c r="J66" s="353"/>
      <c r="K66" s="276"/>
      <c r="L66" s="276"/>
      <c r="M66" s="276"/>
      <c r="N66" s="276"/>
      <c r="O66" s="276"/>
      <c r="P66" s="276"/>
      <c r="Q66" s="276"/>
      <c r="R66" s="276"/>
      <c r="S66" s="276"/>
      <c r="T66" s="276"/>
      <c r="U66" s="276"/>
      <c r="V66" s="276"/>
      <c r="W66" s="276"/>
      <c r="X66" s="276"/>
      <c r="Y66" s="276"/>
      <c r="Z66" s="276"/>
      <c r="AA66" s="276"/>
      <c r="AB66" s="276"/>
      <c r="AC66" s="276"/>
      <c r="AD66" s="276"/>
      <c r="AE66" s="276"/>
      <c r="AF66" s="276"/>
      <c r="AG66" s="276"/>
      <c r="AH66" s="276"/>
      <c r="AI66" s="276"/>
      <c r="AJ66" s="276"/>
      <c r="AK66" s="276"/>
      <c r="AL66" s="276"/>
      <c r="AM66" s="276"/>
      <c r="AN66" s="276"/>
      <c r="AO66" s="276"/>
      <c r="AP66" s="276"/>
      <c r="AQ66" s="276"/>
      <c r="AR66" s="276"/>
      <c r="AS66" s="276"/>
      <c r="AT66" s="276"/>
      <c r="AU66" s="276"/>
      <c r="AV66" s="276"/>
      <c r="AW66" s="276"/>
      <c r="AX66" s="276"/>
      <c r="AY66" s="276"/>
    </row>
    <row r="67" spans="1:51" ht="15.75" customHeight="1" x14ac:dyDescent="0.25">
      <c r="A67" s="276"/>
      <c r="B67" s="533"/>
      <c r="C67" s="353"/>
      <c r="D67" s="276"/>
      <c r="E67" s="276"/>
      <c r="F67" s="276"/>
      <c r="G67" s="276"/>
      <c r="H67" s="276"/>
      <c r="I67" s="276"/>
      <c r="J67" s="353"/>
      <c r="K67" s="276"/>
      <c r="L67" s="276"/>
      <c r="M67" s="276"/>
      <c r="N67" s="276"/>
      <c r="O67" s="276"/>
      <c r="P67" s="276"/>
      <c r="Q67" s="276"/>
      <c r="R67" s="276"/>
      <c r="S67" s="276"/>
      <c r="T67" s="276"/>
      <c r="U67" s="276"/>
      <c r="V67" s="276"/>
      <c r="W67" s="276"/>
      <c r="X67" s="276"/>
      <c r="Y67" s="276"/>
      <c r="Z67" s="276"/>
      <c r="AA67" s="276"/>
      <c r="AB67" s="276"/>
      <c r="AC67" s="276"/>
      <c r="AD67" s="276"/>
      <c r="AE67" s="276"/>
      <c r="AF67" s="276"/>
      <c r="AG67" s="276"/>
      <c r="AH67" s="276"/>
      <c r="AI67" s="276"/>
      <c r="AJ67" s="276"/>
      <c r="AK67" s="276"/>
      <c r="AL67" s="276"/>
      <c r="AM67" s="276"/>
      <c r="AN67" s="276"/>
      <c r="AO67" s="276"/>
      <c r="AP67" s="276"/>
      <c r="AQ67" s="276"/>
      <c r="AR67" s="276"/>
      <c r="AS67" s="276"/>
      <c r="AT67" s="276"/>
      <c r="AU67" s="276"/>
      <c r="AV67" s="276"/>
      <c r="AW67" s="276"/>
      <c r="AX67" s="276"/>
      <c r="AY67" s="276"/>
    </row>
    <row r="68" spans="1:51" ht="15.75" customHeight="1" x14ac:dyDescent="0.25">
      <c r="A68" s="276"/>
      <c r="B68" s="533"/>
      <c r="C68" s="353"/>
      <c r="D68" s="276"/>
      <c r="E68" s="276"/>
      <c r="F68" s="276"/>
      <c r="G68" s="276"/>
      <c r="H68" s="276"/>
      <c r="I68" s="276"/>
      <c r="J68" s="353"/>
      <c r="K68" s="276"/>
      <c r="L68" s="276"/>
      <c r="M68" s="276"/>
      <c r="N68" s="276"/>
      <c r="O68" s="276"/>
      <c r="P68" s="276"/>
      <c r="Q68" s="276"/>
      <c r="R68" s="276"/>
      <c r="S68" s="276"/>
      <c r="T68" s="276"/>
      <c r="U68" s="276"/>
      <c r="V68" s="276"/>
      <c r="W68" s="276"/>
      <c r="X68" s="276"/>
      <c r="Y68" s="276"/>
      <c r="Z68" s="276"/>
      <c r="AA68" s="276"/>
      <c r="AB68" s="276"/>
      <c r="AC68" s="276"/>
      <c r="AD68" s="276"/>
      <c r="AE68" s="276"/>
      <c r="AF68" s="276"/>
      <c r="AG68" s="276"/>
      <c r="AH68" s="276"/>
      <c r="AI68" s="276"/>
      <c r="AJ68" s="276"/>
      <c r="AK68" s="276"/>
      <c r="AL68" s="276"/>
      <c r="AM68" s="276"/>
      <c r="AN68" s="276"/>
      <c r="AO68" s="276"/>
      <c r="AP68" s="276"/>
      <c r="AQ68" s="276"/>
      <c r="AR68" s="276"/>
      <c r="AS68" s="276"/>
      <c r="AT68" s="276"/>
      <c r="AU68" s="276"/>
      <c r="AV68" s="276"/>
      <c r="AW68" s="276"/>
      <c r="AX68" s="276"/>
      <c r="AY68" s="276"/>
    </row>
    <row r="69" spans="1:51" ht="15.75" customHeight="1" x14ac:dyDescent="0.25">
      <c r="A69" s="276"/>
      <c r="B69" s="533"/>
      <c r="C69" s="353"/>
      <c r="D69" s="276"/>
      <c r="E69" s="276"/>
      <c r="F69" s="276"/>
      <c r="G69" s="276"/>
      <c r="H69" s="276"/>
      <c r="I69" s="276"/>
      <c r="J69" s="353"/>
      <c r="K69" s="276"/>
      <c r="L69" s="276"/>
      <c r="M69" s="276"/>
      <c r="N69" s="276"/>
      <c r="O69" s="276"/>
      <c r="P69" s="276"/>
      <c r="Q69" s="276"/>
      <c r="R69" s="276"/>
      <c r="S69" s="276"/>
      <c r="T69" s="276"/>
      <c r="U69" s="276"/>
      <c r="V69" s="276"/>
      <c r="W69" s="276"/>
      <c r="X69" s="276"/>
      <c r="Y69" s="276"/>
      <c r="Z69" s="276"/>
      <c r="AA69" s="276"/>
      <c r="AB69" s="276"/>
      <c r="AC69" s="276"/>
      <c r="AD69" s="276"/>
      <c r="AE69" s="276"/>
      <c r="AF69" s="276"/>
      <c r="AG69" s="276"/>
      <c r="AH69" s="276"/>
      <c r="AI69" s="276"/>
      <c r="AJ69" s="276"/>
      <c r="AK69" s="276"/>
      <c r="AL69" s="276"/>
      <c r="AM69" s="276"/>
      <c r="AN69" s="276"/>
      <c r="AO69" s="276"/>
      <c r="AP69" s="276"/>
      <c r="AQ69" s="276"/>
      <c r="AR69" s="276"/>
      <c r="AS69" s="276"/>
      <c r="AT69" s="276"/>
      <c r="AU69" s="276"/>
      <c r="AV69" s="276"/>
      <c r="AW69" s="276"/>
      <c r="AX69" s="276"/>
      <c r="AY69" s="276"/>
    </row>
    <row r="70" spans="1:51" ht="15.75" customHeight="1" x14ac:dyDescent="0.25">
      <c r="A70" s="276"/>
      <c r="B70" s="533"/>
      <c r="C70" s="353"/>
      <c r="D70" s="276"/>
      <c r="E70" s="276"/>
      <c r="F70" s="276"/>
      <c r="G70" s="276"/>
      <c r="H70" s="276"/>
      <c r="I70" s="276"/>
      <c r="J70" s="353"/>
      <c r="K70" s="276"/>
      <c r="L70" s="276"/>
      <c r="M70" s="276"/>
      <c r="N70" s="276"/>
      <c r="O70" s="276"/>
      <c r="P70" s="276"/>
      <c r="Q70" s="276"/>
      <c r="R70" s="276"/>
      <c r="S70" s="276"/>
      <c r="T70" s="276"/>
      <c r="U70" s="276"/>
      <c r="V70" s="276"/>
      <c r="W70" s="276"/>
      <c r="X70" s="276"/>
      <c r="Y70" s="276"/>
      <c r="Z70" s="276"/>
      <c r="AA70" s="276"/>
      <c r="AB70" s="276"/>
      <c r="AC70" s="276"/>
      <c r="AD70" s="276"/>
      <c r="AE70" s="276"/>
      <c r="AF70" s="276"/>
      <c r="AG70" s="276"/>
      <c r="AH70" s="276"/>
      <c r="AI70" s="276"/>
      <c r="AJ70" s="276"/>
      <c r="AK70" s="276"/>
      <c r="AL70" s="276"/>
      <c r="AM70" s="276"/>
      <c r="AN70" s="276"/>
      <c r="AO70" s="276"/>
      <c r="AP70" s="276"/>
      <c r="AQ70" s="276"/>
      <c r="AR70" s="276"/>
      <c r="AS70" s="276"/>
      <c r="AT70" s="276"/>
      <c r="AU70" s="276"/>
      <c r="AV70" s="276"/>
      <c r="AW70" s="276"/>
      <c r="AX70" s="276"/>
      <c r="AY70" s="276"/>
    </row>
    <row r="71" spans="1:51" ht="15.75" customHeight="1" x14ac:dyDescent="0.25">
      <c r="A71" s="276"/>
      <c r="B71" s="533"/>
      <c r="C71" s="353"/>
      <c r="D71" s="276"/>
      <c r="E71" s="276"/>
      <c r="F71" s="276"/>
      <c r="G71" s="276"/>
      <c r="H71" s="276"/>
      <c r="I71" s="276"/>
      <c r="J71" s="353"/>
      <c r="K71" s="276"/>
      <c r="L71" s="276"/>
      <c r="M71" s="276"/>
      <c r="N71" s="276"/>
      <c r="O71" s="276"/>
      <c r="P71" s="276"/>
      <c r="Q71" s="276"/>
      <c r="R71" s="276"/>
      <c r="S71" s="276"/>
      <c r="T71" s="276"/>
      <c r="U71" s="276"/>
      <c r="V71" s="276"/>
      <c r="W71" s="276"/>
      <c r="X71" s="276"/>
      <c r="Y71" s="276"/>
      <c r="Z71" s="276"/>
      <c r="AA71" s="276"/>
      <c r="AB71" s="276"/>
      <c r="AC71" s="276"/>
      <c r="AD71" s="276"/>
      <c r="AE71" s="276"/>
      <c r="AF71" s="276"/>
      <c r="AG71" s="276"/>
      <c r="AH71" s="276"/>
      <c r="AI71" s="276"/>
      <c r="AJ71" s="276"/>
      <c r="AK71" s="276"/>
      <c r="AL71" s="276"/>
      <c r="AM71" s="276"/>
      <c r="AN71" s="276"/>
      <c r="AO71" s="276"/>
      <c r="AP71" s="276"/>
      <c r="AQ71" s="276"/>
      <c r="AR71" s="276"/>
      <c r="AS71" s="276"/>
      <c r="AT71" s="276"/>
      <c r="AU71" s="276"/>
      <c r="AV71" s="276"/>
      <c r="AW71" s="276"/>
      <c r="AX71" s="276"/>
      <c r="AY71" s="276"/>
    </row>
    <row r="72" spans="1:51" ht="15.75" customHeight="1" x14ac:dyDescent="0.25">
      <c r="A72" s="276"/>
      <c r="B72" s="533"/>
      <c r="C72" s="353"/>
      <c r="D72" s="276"/>
      <c r="E72" s="276"/>
      <c r="F72" s="276"/>
      <c r="G72" s="276"/>
      <c r="H72" s="276"/>
      <c r="I72" s="276"/>
      <c r="J72" s="353"/>
      <c r="K72" s="276"/>
      <c r="L72" s="276"/>
      <c r="M72" s="276"/>
      <c r="N72" s="276"/>
      <c r="O72" s="276"/>
      <c r="P72" s="276"/>
      <c r="Q72" s="276"/>
      <c r="R72" s="276"/>
      <c r="S72" s="276"/>
      <c r="T72" s="276"/>
      <c r="U72" s="276"/>
      <c r="V72" s="276"/>
      <c r="W72" s="276"/>
      <c r="X72" s="276"/>
      <c r="Y72" s="276"/>
      <c r="Z72" s="276"/>
      <c r="AA72" s="276"/>
      <c r="AB72" s="276"/>
      <c r="AC72" s="276"/>
      <c r="AD72" s="276"/>
      <c r="AE72" s="276"/>
      <c r="AF72" s="276"/>
      <c r="AG72" s="276"/>
      <c r="AH72" s="276"/>
      <c r="AI72" s="276"/>
      <c r="AJ72" s="276"/>
      <c r="AK72" s="276"/>
      <c r="AL72" s="276"/>
      <c r="AM72" s="276"/>
      <c r="AN72" s="276"/>
      <c r="AO72" s="276"/>
      <c r="AP72" s="276"/>
      <c r="AQ72" s="276"/>
      <c r="AR72" s="276"/>
      <c r="AS72" s="276"/>
      <c r="AT72" s="276"/>
      <c r="AU72" s="276"/>
      <c r="AV72" s="276"/>
      <c r="AW72" s="276"/>
      <c r="AX72" s="276"/>
      <c r="AY72" s="276"/>
    </row>
    <row r="73" spans="1:51" ht="15.75" customHeight="1" x14ac:dyDescent="0.25">
      <c r="A73" s="276"/>
      <c r="B73" s="533"/>
      <c r="C73" s="353"/>
      <c r="D73" s="276"/>
      <c r="E73" s="276"/>
      <c r="F73" s="276"/>
      <c r="G73" s="276"/>
      <c r="H73" s="276"/>
      <c r="I73" s="276"/>
      <c r="J73" s="353"/>
      <c r="K73" s="276"/>
      <c r="L73" s="276"/>
      <c r="M73" s="276"/>
      <c r="N73" s="276"/>
      <c r="O73" s="276"/>
      <c r="P73" s="276"/>
      <c r="Q73" s="276"/>
      <c r="R73" s="276"/>
      <c r="S73" s="276"/>
      <c r="T73" s="276"/>
      <c r="U73" s="276"/>
      <c r="V73" s="276"/>
      <c r="W73" s="276"/>
      <c r="X73" s="276"/>
      <c r="Y73" s="276"/>
      <c r="Z73" s="276"/>
      <c r="AA73" s="276"/>
      <c r="AB73" s="276"/>
      <c r="AC73" s="276"/>
      <c r="AD73" s="276"/>
      <c r="AE73" s="276"/>
      <c r="AF73" s="276"/>
      <c r="AG73" s="276"/>
      <c r="AH73" s="276"/>
      <c r="AI73" s="276"/>
      <c r="AJ73" s="276"/>
      <c r="AK73" s="276"/>
      <c r="AL73" s="276"/>
      <c r="AM73" s="276"/>
      <c r="AN73" s="276"/>
      <c r="AO73" s="276"/>
      <c r="AP73" s="276"/>
      <c r="AQ73" s="276"/>
      <c r="AR73" s="276"/>
      <c r="AS73" s="276"/>
      <c r="AT73" s="276"/>
      <c r="AU73" s="276"/>
      <c r="AV73" s="276"/>
      <c r="AW73" s="276"/>
      <c r="AX73" s="276"/>
      <c r="AY73" s="276"/>
    </row>
    <row r="74" spans="1:51" ht="15.75" customHeight="1" x14ac:dyDescent="0.25">
      <c r="A74" s="276"/>
      <c r="B74" s="533"/>
      <c r="C74" s="353"/>
      <c r="D74" s="276"/>
      <c r="E74" s="276"/>
      <c r="F74" s="276"/>
      <c r="G74" s="276"/>
      <c r="H74" s="276"/>
      <c r="I74" s="276"/>
      <c r="J74" s="353"/>
      <c r="K74" s="276"/>
      <c r="L74" s="276"/>
      <c r="M74" s="276"/>
      <c r="N74" s="276"/>
      <c r="O74" s="276"/>
      <c r="P74" s="276"/>
      <c r="Q74" s="276"/>
      <c r="R74" s="276"/>
      <c r="S74" s="276"/>
      <c r="T74" s="276"/>
      <c r="U74" s="276"/>
      <c r="V74" s="276"/>
      <c r="W74" s="276"/>
      <c r="X74" s="276"/>
      <c r="Y74" s="276"/>
      <c r="Z74" s="276"/>
      <c r="AA74" s="276"/>
      <c r="AB74" s="276"/>
      <c r="AC74" s="276"/>
      <c r="AD74" s="276"/>
      <c r="AE74" s="276"/>
      <c r="AF74" s="276"/>
      <c r="AG74" s="276"/>
      <c r="AH74" s="276"/>
      <c r="AI74" s="276"/>
      <c r="AJ74" s="276"/>
      <c r="AK74" s="276"/>
      <c r="AL74" s="276"/>
      <c r="AM74" s="276"/>
      <c r="AN74" s="276"/>
      <c r="AO74" s="276"/>
      <c r="AP74" s="276"/>
      <c r="AQ74" s="276"/>
      <c r="AR74" s="276"/>
      <c r="AS74" s="276"/>
      <c r="AT74" s="276"/>
      <c r="AU74" s="276"/>
      <c r="AV74" s="276"/>
      <c r="AW74" s="276"/>
      <c r="AX74" s="276"/>
      <c r="AY74" s="276"/>
    </row>
    <row r="75" spans="1:51" ht="15.75" customHeight="1" x14ac:dyDescent="0.25">
      <c r="A75" s="276"/>
      <c r="B75" s="533"/>
      <c r="C75" s="353"/>
      <c r="D75" s="276"/>
      <c r="E75" s="276"/>
      <c r="F75" s="276"/>
      <c r="G75" s="276"/>
      <c r="H75" s="276"/>
      <c r="I75" s="276"/>
      <c r="J75" s="353"/>
      <c r="K75" s="276"/>
      <c r="L75" s="276"/>
      <c r="M75" s="276"/>
      <c r="N75" s="276"/>
      <c r="O75" s="276"/>
      <c r="P75" s="276"/>
      <c r="Q75" s="276"/>
      <c r="R75" s="276"/>
      <c r="S75" s="276"/>
      <c r="T75" s="276"/>
      <c r="U75" s="276"/>
      <c r="V75" s="276"/>
      <c r="W75" s="276"/>
      <c r="X75" s="276"/>
      <c r="Y75" s="276"/>
      <c r="Z75" s="276"/>
      <c r="AA75" s="276"/>
      <c r="AB75" s="276"/>
      <c r="AC75" s="276"/>
      <c r="AD75" s="276"/>
      <c r="AE75" s="276"/>
      <c r="AF75" s="276"/>
      <c r="AG75" s="276"/>
      <c r="AH75" s="276"/>
      <c r="AI75" s="276"/>
      <c r="AJ75" s="276"/>
      <c r="AK75" s="276"/>
      <c r="AL75" s="276"/>
      <c r="AM75" s="276"/>
      <c r="AN75" s="276"/>
      <c r="AO75" s="276"/>
      <c r="AP75" s="276"/>
      <c r="AQ75" s="276"/>
      <c r="AR75" s="276"/>
      <c r="AS75" s="276"/>
      <c r="AT75" s="276"/>
      <c r="AU75" s="276"/>
      <c r="AV75" s="276"/>
      <c r="AW75" s="276"/>
      <c r="AX75" s="276"/>
      <c r="AY75" s="276"/>
    </row>
    <row r="76" spans="1:51" ht="15.75" customHeight="1" x14ac:dyDescent="0.25">
      <c r="A76" s="276"/>
      <c r="B76" s="533"/>
      <c r="C76" s="353"/>
      <c r="D76" s="276"/>
      <c r="E76" s="276"/>
      <c r="F76" s="276"/>
      <c r="G76" s="276"/>
      <c r="H76" s="276"/>
      <c r="I76" s="276"/>
      <c r="J76" s="353"/>
      <c r="K76" s="276"/>
      <c r="L76" s="276"/>
      <c r="M76" s="276"/>
      <c r="N76" s="276"/>
      <c r="O76" s="276"/>
      <c r="P76" s="276"/>
      <c r="Q76" s="276"/>
      <c r="R76" s="276"/>
      <c r="S76" s="276"/>
      <c r="T76" s="276"/>
      <c r="U76" s="276"/>
      <c r="V76" s="276"/>
      <c r="W76" s="276"/>
      <c r="X76" s="276"/>
      <c r="Y76" s="276"/>
      <c r="Z76" s="276"/>
      <c r="AA76" s="276"/>
      <c r="AB76" s="276"/>
      <c r="AC76" s="276"/>
      <c r="AD76" s="276"/>
      <c r="AE76" s="276"/>
      <c r="AF76" s="276"/>
      <c r="AG76" s="276"/>
      <c r="AH76" s="276"/>
      <c r="AI76" s="276"/>
      <c r="AJ76" s="276"/>
      <c r="AK76" s="276"/>
      <c r="AL76" s="276"/>
      <c r="AM76" s="276"/>
      <c r="AN76" s="276"/>
      <c r="AO76" s="276"/>
      <c r="AP76" s="276"/>
      <c r="AQ76" s="276"/>
      <c r="AR76" s="276"/>
      <c r="AS76" s="276"/>
      <c r="AT76" s="276"/>
      <c r="AU76" s="276"/>
      <c r="AV76" s="276"/>
      <c r="AW76" s="276"/>
      <c r="AX76" s="276"/>
      <c r="AY76" s="276"/>
    </row>
    <row r="77" spans="1:51" ht="15.75" customHeight="1" x14ac:dyDescent="0.25">
      <c r="A77" s="276"/>
      <c r="B77" s="533"/>
      <c r="C77" s="353"/>
      <c r="D77" s="276"/>
      <c r="E77" s="276"/>
      <c r="F77" s="276"/>
      <c r="G77" s="276"/>
      <c r="H77" s="276"/>
      <c r="I77" s="276"/>
      <c r="J77" s="353"/>
      <c r="K77" s="276"/>
      <c r="L77" s="276"/>
      <c r="M77" s="276"/>
      <c r="N77" s="276"/>
      <c r="O77" s="276"/>
      <c r="P77" s="276"/>
      <c r="Q77" s="276"/>
      <c r="R77" s="276"/>
      <c r="S77" s="276"/>
      <c r="T77" s="276"/>
      <c r="U77" s="276"/>
      <c r="V77" s="276"/>
      <c r="W77" s="276"/>
      <c r="X77" s="276"/>
      <c r="Y77" s="276"/>
      <c r="Z77" s="276"/>
      <c r="AA77" s="276"/>
      <c r="AB77" s="276"/>
      <c r="AC77" s="276"/>
      <c r="AD77" s="276"/>
      <c r="AE77" s="276"/>
      <c r="AF77" s="276"/>
      <c r="AG77" s="276"/>
      <c r="AH77" s="276"/>
      <c r="AI77" s="276"/>
      <c r="AJ77" s="276"/>
      <c r="AK77" s="276"/>
      <c r="AL77" s="276"/>
      <c r="AM77" s="276"/>
      <c r="AN77" s="276"/>
      <c r="AO77" s="276"/>
      <c r="AP77" s="276"/>
      <c r="AQ77" s="276"/>
      <c r="AR77" s="276"/>
      <c r="AS77" s="276"/>
      <c r="AT77" s="276"/>
      <c r="AU77" s="276"/>
      <c r="AV77" s="276"/>
      <c r="AW77" s="276"/>
      <c r="AX77" s="276"/>
      <c r="AY77" s="276"/>
    </row>
    <row r="78" spans="1:51" ht="15.75" customHeight="1" x14ac:dyDescent="0.25">
      <c r="A78" s="276"/>
      <c r="B78" s="533"/>
      <c r="C78" s="353"/>
      <c r="D78" s="276"/>
      <c r="E78" s="276"/>
      <c r="F78" s="276"/>
      <c r="G78" s="276"/>
      <c r="H78" s="276"/>
      <c r="I78" s="276"/>
      <c r="J78" s="353"/>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c r="AQ78" s="276"/>
      <c r="AR78" s="276"/>
      <c r="AS78" s="276"/>
      <c r="AT78" s="276"/>
      <c r="AU78" s="276"/>
      <c r="AV78" s="276"/>
      <c r="AW78" s="276"/>
      <c r="AX78" s="276"/>
      <c r="AY78" s="276"/>
    </row>
    <row r="79" spans="1:51" ht="15.75" customHeight="1" x14ac:dyDescent="0.25">
      <c r="A79" s="276"/>
      <c r="B79" s="533"/>
      <c r="C79" s="353"/>
      <c r="D79" s="276"/>
      <c r="E79" s="276"/>
      <c r="F79" s="276"/>
      <c r="G79" s="276"/>
      <c r="H79" s="276"/>
      <c r="I79" s="276"/>
      <c r="J79" s="353"/>
      <c r="K79" s="276"/>
      <c r="L79" s="276"/>
      <c r="M79" s="276"/>
      <c r="N79" s="276"/>
      <c r="O79" s="276"/>
      <c r="P79" s="276"/>
      <c r="Q79" s="276"/>
      <c r="R79" s="276"/>
      <c r="S79" s="276"/>
      <c r="T79" s="276"/>
      <c r="U79" s="276"/>
      <c r="V79" s="276"/>
      <c r="W79" s="276"/>
      <c r="X79" s="276"/>
      <c r="Y79" s="276"/>
      <c r="Z79" s="276"/>
      <c r="AA79" s="276"/>
      <c r="AB79" s="276"/>
      <c r="AC79" s="276"/>
      <c r="AD79" s="276"/>
      <c r="AE79" s="276"/>
      <c r="AF79" s="276"/>
      <c r="AG79" s="276"/>
      <c r="AH79" s="276"/>
      <c r="AI79" s="276"/>
      <c r="AJ79" s="276"/>
      <c r="AK79" s="276"/>
      <c r="AL79" s="276"/>
      <c r="AM79" s="276"/>
      <c r="AN79" s="276"/>
      <c r="AO79" s="276"/>
      <c r="AP79" s="276"/>
      <c r="AQ79" s="276"/>
      <c r="AR79" s="276"/>
      <c r="AS79" s="276"/>
      <c r="AT79" s="276"/>
      <c r="AU79" s="276"/>
      <c r="AV79" s="276"/>
      <c r="AW79" s="276"/>
      <c r="AX79" s="276"/>
      <c r="AY79" s="276"/>
    </row>
    <row r="80" spans="1:51" ht="15.75" customHeight="1" x14ac:dyDescent="0.25">
      <c r="A80" s="276"/>
      <c r="B80" s="533"/>
      <c r="C80" s="353"/>
      <c r="D80" s="276"/>
      <c r="E80" s="276"/>
      <c r="F80" s="276"/>
      <c r="G80" s="276"/>
      <c r="H80" s="276"/>
      <c r="I80" s="276"/>
      <c r="J80" s="353"/>
      <c r="K80" s="276"/>
      <c r="L80" s="276"/>
      <c r="M80" s="276"/>
      <c r="N80" s="276"/>
      <c r="O80" s="276"/>
      <c r="P80" s="276"/>
      <c r="Q80" s="276"/>
      <c r="R80" s="276"/>
      <c r="S80" s="276"/>
      <c r="T80" s="276"/>
      <c r="U80" s="276"/>
      <c r="V80" s="276"/>
      <c r="W80" s="276"/>
      <c r="X80" s="276"/>
      <c r="Y80" s="276"/>
      <c r="Z80" s="276"/>
      <c r="AA80" s="276"/>
      <c r="AB80" s="276"/>
      <c r="AC80" s="276"/>
      <c r="AD80" s="276"/>
      <c r="AE80" s="276"/>
      <c r="AF80" s="276"/>
      <c r="AG80" s="276"/>
      <c r="AH80" s="276"/>
      <c r="AI80" s="276"/>
      <c r="AJ80" s="276"/>
      <c r="AK80" s="276"/>
      <c r="AL80" s="276"/>
      <c r="AM80" s="276"/>
      <c r="AN80" s="276"/>
      <c r="AO80" s="276"/>
      <c r="AP80" s="276"/>
      <c r="AQ80" s="276"/>
      <c r="AR80" s="276"/>
      <c r="AS80" s="276"/>
      <c r="AT80" s="276"/>
      <c r="AU80" s="276"/>
      <c r="AV80" s="276"/>
      <c r="AW80" s="276"/>
      <c r="AX80" s="276"/>
      <c r="AY80" s="276"/>
    </row>
    <row r="81" spans="1:51" ht="15.75" customHeight="1" x14ac:dyDescent="0.25">
      <c r="A81" s="276"/>
      <c r="B81" s="533"/>
      <c r="C81" s="353"/>
      <c r="D81" s="276"/>
      <c r="E81" s="276"/>
      <c r="F81" s="276"/>
      <c r="G81" s="276"/>
      <c r="H81" s="276"/>
      <c r="I81" s="276"/>
      <c r="J81" s="353"/>
      <c r="K81" s="276"/>
      <c r="L81" s="276"/>
      <c r="M81" s="276"/>
      <c r="N81" s="276"/>
      <c r="O81" s="276"/>
      <c r="P81" s="276"/>
      <c r="Q81" s="276"/>
      <c r="R81" s="276"/>
      <c r="S81" s="276"/>
      <c r="T81" s="276"/>
      <c r="U81" s="276"/>
      <c r="V81" s="276"/>
      <c r="W81" s="276"/>
      <c r="X81" s="276"/>
      <c r="Y81" s="276"/>
      <c r="Z81" s="276"/>
      <c r="AA81" s="276"/>
      <c r="AB81" s="276"/>
      <c r="AC81" s="276"/>
      <c r="AD81" s="276"/>
      <c r="AE81" s="276"/>
      <c r="AF81" s="276"/>
      <c r="AG81" s="276"/>
      <c r="AH81" s="276"/>
      <c r="AI81" s="276"/>
      <c r="AJ81" s="276"/>
      <c r="AK81" s="276"/>
      <c r="AL81" s="276"/>
      <c r="AM81" s="276"/>
      <c r="AN81" s="276"/>
      <c r="AO81" s="276"/>
      <c r="AP81" s="276"/>
      <c r="AQ81" s="276"/>
      <c r="AR81" s="276"/>
      <c r="AS81" s="276"/>
      <c r="AT81" s="276"/>
      <c r="AU81" s="276"/>
      <c r="AV81" s="276"/>
      <c r="AW81" s="276"/>
      <c r="AX81" s="276"/>
      <c r="AY81" s="276"/>
    </row>
    <row r="82" spans="1:51" ht="15.75" customHeight="1" x14ac:dyDescent="0.25">
      <c r="A82" s="276"/>
      <c r="B82" s="533"/>
      <c r="C82" s="353"/>
      <c r="D82" s="276"/>
      <c r="E82" s="276"/>
      <c r="F82" s="276"/>
      <c r="G82" s="276"/>
      <c r="H82" s="276"/>
      <c r="I82" s="276"/>
      <c r="J82" s="353"/>
      <c r="K82" s="276"/>
      <c r="L82" s="276"/>
      <c r="M82" s="276"/>
      <c r="N82" s="276"/>
      <c r="O82" s="276"/>
      <c r="P82" s="276"/>
      <c r="Q82" s="276"/>
      <c r="R82" s="276"/>
      <c r="S82" s="276"/>
      <c r="T82" s="276"/>
      <c r="U82" s="276"/>
      <c r="V82" s="276"/>
      <c r="W82" s="276"/>
      <c r="X82" s="276"/>
      <c r="Y82" s="276"/>
      <c r="Z82" s="276"/>
      <c r="AA82" s="276"/>
      <c r="AB82" s="276"/>
      <c r="AC82" s="276"/>
      <c r="AD82" s="276"/>
      <c r="AE82" s="276"/>
      <c r="AF82" s="276"/>
      <c r="AG82" s="276"/>
      <c r="AH82" s="276"/>
      <c r="AI82" s="276"/>
      <c r="AJ82" s="276"/>
      <c r="AK82" s="276"/>
      <c r="AL82" s="276"/>
      <c r="AM82" s="276"/>
      <c r="AN82" s="276"/>
      <c r="AO82" s="276"/>
      <c r="AP82" s="276"/>
      <c r="AQ82" s="276"/>
      <c r="AR82" s="276"/>
      <c r="AS82" s="276"/>
      <c r="AT82" s="276"/>
      <c r="AU82" s="276"/>
      <c r="AV82" s="276"/>
      <c r="AW82" s="276"/>
      <c r="AX82" s="276"/>
      <c r="AY82" s="276"/>
    </row>
    <row r="83" spans="1:51" ht="15.75" customHeight="1" x14ac:dyDescent="0.25">
      <c r="A83" s="276"/>
      <c r="B83" s="533"/>
      <c r="C83" s="353"/>
      <c r="D83" s="276"/>
      <c r="E83" s="276"/>
      <c r="F83" s="276"/>
      <c r="G83" s="276"/>
      <c r="H83" s="276"/>
      <c r="I83" s="276"/>
      <c r="J83" s="353"/>
      <c r="K83" s="276"/>
      <c r="L83" s="276"/>
      <c r="M83" s="276"/>
      <c r="N83" s="276"/>
      <c r="O83" s="276"/>
      <c r="P83" s="276"/>
      <c r="Q83" s="276"/>
      <c r="R83" s="276"/>
      <c r="S83" s="276"/>
      <c r="T83" s="276"/>
      <c r="U83" s="276"/>
      <c r="V83" s="276"/>
      <c r="W83" s="276"/>
      <c r="X83" s="276"/>
      <c r="Y83" s="276"/>
      <c r="Z83" s="276"/>
      <c r="AA83" s="276"/>
      <c r="AB83" s="276"/>
      <c r="AC83" s="276"/>
      <c r="AD83" s="276"/>
      <c r="AE83" s="276"/>
      <c r="AF83" s="276"/>
      <c r="AG83" s="276"/>
      <c r="AH83" s="276"/>
      <c r="AI83" s="276"/>
      <c r="AJ83" s="276"/>
      <c r="AK83" s="276"/>
      <c r="AL83" s="276"/>
      <c r="AM83" s="276"/>
      <c r="AN83" s="276"/>
      <c r="AO83" s="276"/>
      <c r="AP83" s="276"/>
      <c r="AQ83" s="276"/>
      <c r="AR83" s="276"/>
      <c r="AS83" s="276"/>
      <c r="AT83" s="276"/>
      <c r="AU83" s="276"/>
      <c r="AV83" s="276"/>
      <c r="AW83" s="276"/>
      <c r="AX83" s="276"/>
      <c r="AY83" s="276"/>
    </row>
    <row r="84" spans="1:51" ht="15.75" customHeight="1" x14ac:dyDescent="0.25">
      <c r="A84" s="276"/>
      <c r="B84" s="533"/>
      <c r="C84" s="353"/>
      <c r="D84" s="276"/>
      <c r="E84" s="276"/>
      <c r="F84" s="276"/>
      <c r="G84" s="276"/>
      <c r="H84" s="276"/>
      <c r="I84" s="276"/>
      <c r="J84" s="353"/>
      <c r="K84" s="276"/>
      <c r="L84" s="276"/>
      <c r="M84" s="276"/>
      <c r="N84" s="276"/>
      <c r="O84" s="276"/>
      <c r="P84" s="276"/>
      <c r="Q84" s="276"/>
      <c r="R84" s="276"/>
      <c r="S84" s="276"/>
      <c r="T84" s="276"/>
      <c r="U84" s="276"/>
      <c r="V84" s="276"/>
      <c r="W84" s="276"/>
      <c r="X84" s="276"/>
      <c r="Y84" s="276"/>
      <c r="Z84" s="276"/>
      <c r="AA84" s="276"/>
      <c r="AB84" s="276"/>
      <c r="AC84" s="276"/>
      <c r="AD84" s="276"/>
      <c r="AE84" s="276"/>
      <c r="AF84" s="276"/>
      <c r="AG84" s="276"/>
      <c r="AH84" s="276"/>
      <c r="AI84" s="276"/>
      <c r="AJ84" s="276"/>
      <c r="AK84" s="276"/>
      <c r="AL84" s="276"/>
      <c r="AM84" s="276"/>
      <c r="AN84" s="276"/>
      <c r="AO84" s="276"/>
      <c r="AP84" s="276"/>
      <c r="AQ84" s="276"/>
      <c r="AR84" s="276"/>
      <c r="AS84" s="276"/>
      <c r="AT84" s="276"/>
      <c r="AU84" s="276"/>
      <c r="AV84" s="276"/>
      <c r="AW84" s="276"/>
      <c r="AX84" s="276"/>
      <c r="AY84" s="276"/>
    </row>
    <row r="85" spans="1:51" ht="15.75" customHeight="1" x14ac:dyDescent="0.25">
      <c r="A85" s="276"/>
      <c r="B85" s="533"/>
      <c r="C85" s="353"/>
      <c r="D85" s="276"/>
      <c r="E85" s="276"/>
      <c r="F85" s="276"/>
      <c r="G85" s="276"/>
      <c r="H85" s="276"/>
      <c r="I85" s="276"/>
      <c r="J85" s="353"/>
      <c r="K85" s="276"/>
      <c r="L85" s="276"/>
      <c r="M85" s="276"/>
      <c r="N85" s="276"/>
      <c r="O85" s="276"/>
      <c r="P85" s="276"/>
      <c r="Q85" s="276"/>
      <c r="R85" s="276"/>
      <c r="S85" s="276"/>
      <c r="T85" s="276"/>
      <c r="U85" s="276"/>
      <c r="V85" s="276"/>
      <c r="W85" s="276"/>
      <c r="X85" s="276"/>
      <c r="Y85" s="276"/>
      <c r="Z85" s="276"/>
      <c r="AA85" s="276"/>
      <c r="AB85" s="276"/>
      <c r="AC85" s="276"/>
      <c r="AD85" s="276"/>
      <c r="AE85" s="276"/>
      <c r="AF85" s="276"/>
      <c r="AG85" s="276"/>
      <c r="AH85" s="276"/>
      <c r="AI85" s="276"/>
      <c r="AJ85" s="276"/>
      <c r="AK85" s="276"/>
      <c r="AL85" s="276"/>
      <c r="AM85" s="276"/>
      <c r="AN85" s="276"/>
      <c r="AO85" s="276"/>
      <c r="AP85" s="276"/>
      <c r="AQ85" s="276"/>
      <c r="AR85" s="276"/>
      <c r="AS85" s="276"/>
      <c r="AT85" s="276"/>
      <c r="AU85" s="276"/>
      <c r="AV85" s="276"/>
      <c r="AW85" s="276"/>
      <c r="AX85" s="276"/>
      <c r="AY85" s="276"/>
    </row>
    <row r="86" spans="1:51" ht="15.75" customHeight="1" x14ac:dyDescent="0.25">
      <c r="A86" s="276"/>
      <c r="B86" s="533"/>
      <c r="C86" s="353"/>
      <c r="D86" s="276"/>
      <c r="E86" s="276"/>
      <c r="F86" s="276"/>
      <c r="G86" s="276"/>
      <c r="H86" s="276"/>
      <c r="I86" s="276"/>
      <c r="J86" s="353"/>
      <c r="K86" s="276"/>
      <c r="L86" s="276"/>
      <c r="M86" s="276"/>
      <c r="N86" s="276"/>
      <c r="O86" s="276"/>
      <c r="P86" s="276"/>
      <c r="Q86" s="276"/>
      <c r="R86" s="276"/>
      <c r="S86" s="276"/>
      <c r="T86" s="276"/>
      <c r="U86" s="276"/>
      <c r="V86" s="276"/>
      <c r="W86" s="276"/>
      <c r="X86" s="276"/>
      <c r="Y86" s="276"/>
      <c r="Z86" s="276"/>
      <c r="AA86" s="276"/>
      <c r="AB86" s="276"/>
      <c r="AC86" s="276"/>
      <c r="AD86" s="276"/>
      <c r="AE86" s="276"/>
      <c r="AF86" s="276"/>
      <c r="AG86" s="276"/>
      <c r="AH86" s="276"/>
      <c r="AI86" s="276"/>
      <c r="AJ86" s="276"/>
      <c r="AK86" s="276"/>
      <c r="AL86" s="276"/>
      <c r="AM86" s="276"/>
      <c r="AN86" s="276"/>
      <c r="AO86" s="276"/>
      <c r="AP86" s="276"/>
      <c r="AQ86" s="276"/>
      <c r="AR86" s="276"/>
      <c r="AS86" s="276"/>
      <c r="AT86" s="276"/>
      <c r="AU86" s="276"/>
      <c r="AV86" s="276"/>
      <c r="AW86" s="276"/>
      <c r="AX86" s="276"/>
      <c r="AY86" s="276"/>
    </row>
    <row r="87" spans="1:51" ht="15.75" customHeight="1" x14ac:dyDescent="0.25">
      <c r="A87" s="276"/>
      <c r="B87" s="533"/>
      <c r="C87" s="353"/>
      <c r="D87" s="276"/>
      <c r="E87" s="276"/>
      <c r="F87" s="276"/>
      <c r="G87" s="276"/>
      <c r="H87" s="276"/>
      <c r="I87" s="276"/>
      <c r="J87" s="353"/>
      <c r="K87" s="276"/>
      <c r="L87" s="276"/>
      <c r="M87" s="276"/>
      <c r="N87" s="276"/>
      <c r="O87" s="276"/>
      <c r="P87" s="276"/>
      <c r="Q87" s="276"/>
      <c r="R87" s="276"/>
      <c r="S87" s="276"/>
      <c r="T87" s="276"/>
      <c r="U87" s="276"/>
      <c r="V87" s="276"/>
      <c r="W87" s="276"/>
      <c r="X87" s="276"/>
      <c r="Y87" s="276"/>
      <c r="Z87" s="276"/>
      <c r="AA87" s="276"/>
      <c r="AB87" s="276"/>
      <c r="AC87" s="276"/>
      <c r="AD87" s="276"/>
      <c r="AE87" s="276"/>
      <c r="AF87" s="276"/>
      <c r="AG87" s="276"/>
      <c r="AH87" s="276"/>
      <c r="AI87" s="276"/>
      <c r="AJ87" s="276"/>
      <c r="AK87" s="276"/>
      <c r="AL87" s="276"/>
      <c r="AM87" s="276"/>
      <c r="AN87" s="276"/>
      <c r="AO87" s="276"/>
      <c r="AP87" s="276"/>
      <c r="AQ87" s="276"/>
      <c r="AR87" s="276"/>
      <c r="AS87" s="276"/>
      <c r="AT87" s="276"/>
      <c r="AU87" s="276"/>
      <c r="AV87" s="276"/>
      <c r="AW87" s="276"/>
      <c r="AX87" s="276"/>
      <c r="AY87" s="276"/>
    </row>
    <row r="88" spans="1:51" ht="15.75" customHeight="1" x14ac:dyDescent="0.25">
      <c r="A88" s="276"/>
      <c r="B88" s="533"/>
      <c r="C88" s="353"/>
      <c r="D88" s="276"/>
      <c r="E88" s="276"/>
      <c r="F88" s="276"/>
      <c r="G88" s="276"/>
      <c r="H88" s="276"/>
      <c r="I88" s="276"/>
      <c r="J88" s="353"/>
      <c r="K88" s="276"/>
      <c r="L88" s="276"/>
      <c r="M88" s="276"/>
      <c r="N88" s="276"/>
      <c r="O88" s="276"/>
      <c r="P88" s="276"/>
      <c r="Q88" s="276"/>
      <c r="R88" s="276"/>
      <c r="S88" s="276"/>
      <c r="T88" s="276"/>
      <c r="U88" s="276"/>
      <c r="V88" s="276"/>
      <c r="W88" s="276"/>
      <c r="X88" s="276"/>
      <c r="Y88" s="276"/>
      <c r="Z88" s="276"/>
      <c r="AA88" s="276"/>
      <c r="AB88" s="276"/>
      <c r="AC88" s="276"/>
      <c r="AD88" s="276"/>
      <c r="AE88" s="276"/>
      <c r="AF88" s="276"/>
      <c r="AG88" s="276"/>
      <c r="AH88" s="276"/>
      <c r="AI88" s="276"/>
      <c r="AJ88" s="276"/>
      <c r="AK88" s="276"/>
      <c r="AL88" s="276"/>
      <c r="AM88" s="276"/>
      <c r="AN88" s="276"/>
      <c r="AO88" s="276"/>
      <c r="AP88" s="276"/>
      <c r="AQ88" s="276"/>
      <c r="AR88" s="276"/>
      <c r="AS88" s="276"/>
      <c r="AT88" s="276"/>
      <c r="AU88" s="276"/>
      <c r="AV88" s="276"/>
      <c r="AW88" s="276"/>
      <c r="AX88" s="276"/>
      <c r="AY88" s="276"/>
    </row>
    <row r="89" spans="1:51" ht="15.75" customHeight="1" x14ac:dyDescent="0.25">
      <c r="A89" s="276"/>
      <c r="B89" s="533"/>
      <c r="C89" s="353"/>
      <c r="D89" s="276"/>
      <c r="E89" s="276"/>
      <c r="F89" s="276"/>
      <c r="G89" s="276"/>
      <c r="H89" s="276"/>
      <c r="I89" s="276"/>
      <c r="J89" s="353"/>
      <c r="K89" s="276"/>
      <c r="L89" s="276"/>
      <c r="M89" s="276"/>
      <c r="N89" s="276"/>
      <c r="O89" s="276"/>
      <c r="P89" s="276"/>
      <c r="Q89" s="276"/>
      <c r="R89" s="276"/>
      <c r="S89" s="276"/>
      <c r="T89" s="276"/>
      <c r="U89" s="276"/>
      <c r="V89" s="276"/>
      <c r="W89" s="276"/>
      <c r="X89" s="276"/>
      <c r="Y89" s="276"/>
      <c r="Z89" s="276"/>
      <c r="AA89" s="276"/>
      <c r="AB89" s="276"/>
      <c r="AC89" s="276"/>
      <c r="AD89" s="276"/>
      <c r="AE89" s="276"/>
      <c r="AF89" s="276"/>
      <c r="AG89" s="276"/>
      <c r="AH89" s="276"/>
      <c r="AI89" s="276"/>
      <c r="AJ89" s="276"/>
      <c r="AK89" s="276"/>
      <c r="AL89" s="276"/>
      <c r="AM89" s="276"/>
      <c r="AN89" s="276"/>
      <c r="AO89" s="276"/>
      <c r="AP89" s="276"/>
      <c r="AQ89" s="276"/>
      <c r="AR89" s="276"/>
      <c r="AS89" s="276"/>
      <c r="AT89" s="276"/>
      <c r="AU89" s="276"/>
      <c r="AV89" s="276"/>
      <c r="AW89" s="276"/>
      <c r="AX89" s="276"/>
      <c r="AY89" s="276"/>
    </row>
    <row r="90" spans="1:51" ht="15.75" customHeight="1" x14ac:dyDescent="0.25">
      <c r="A90" s="276"/>
      <c r="B90" s="533"/>
      <c r="C90" s="353"/>
      <c r="D90" s="276"/>
      <c r="E90" s="276"/>
      <c r="F90" s="276"/>
      <c r="G90" s="276"/>
      <c r="H90" s="276"/>
      <c r="I90" s="276"/>
      <c r="J90" s="353"/>
      <c r="K90" s="276"/>
      <c r="L90" s="276"/>
      <c r="M90" s="276"/>
      <c r="N90" s="276"/>
      <c r="O90" s="276"/>
      <c r="P90" s="276"/>
      <c r="Q90" s="276"/>
      <c r="R90" s="276"/>
      <c r="S90" s="276"/>
      <c r="T90" s="276"/>
      <c r="U90" s="276"/>
      <c r="V90" s="276"/>
      <c r="W90" s="276"/>
      <c r="X90" s="276"/>
      <c r="Y90" s="276"/>
      <c r="Z90" s="276"/>
      <c r="AA90" s="276"/>
      <c r="AB90" s="276"/>
      <c r="AC90" s="276"/>
      <c r="AD90" s="276"/>
      <c r="AE90" s="276"/>
      <c r="AF90" s="276"/>
      <c r="AG90" s="276"/>
      <c r="AH90" s="276"/>
      <c r="AI90" s="276"/>
      <c r="AJ90" s="276"/>
      <c r="AK90" s="276"/>
      <c r="AL90" s="276"/>
      <c r="AM90" s="276"/>
      <c r="AN90" s="276"/>
      <c r="AO90" s="276"/>
      <c r="AP90" s="276"/>
      <c r="AQ90" s="276"/>
      <c r="AR90" s="276"/>
      <c r="AS90" s="276"/>
      <c r="AT90" s="276"/>
      <c r="AU90" s="276"/>
      <c r="AV90" s="276"/>
      <c r="AW90" s="276"/>
      <c r="AX90" s="276"/>
      <c r="AY90" s="276"/>
    </row>
    <row r="91" spans="1:51" ht="15.75" customHeight="1" x14ac:dyDescent="0.25">
      <c r="A91" s="276"/>
      <c r="B91" s="533"/>
      <c r="C91" s="353"/>
      <c r="D91" s="276"/>
      <c r="E91" s="276"/>
      <c r="F91" s="276"/>
      <c r="G91" s="276"/>
      <c r="H91" s="276"/>
      <c r="I91" s="276"/>
      <c r="J91" s="353"/>
      <c r="K91" s="276"/>
      <c r="L91" s="276"/>
      <c r="M91" s="276"/>
      <c r="N91" s="276"/>
      <c r="O91" s="276"/>
      <c r="P91" s="276"/>
      <c r="Q91" s="276"/>
      <c r="R91" s="276"/>
      <c r="S91" s="276"/>
      <c r="T91" s="276"/>
      <c r="U91" s="276"/>
      <c r="V91" s="276"/>
      <c r="W91" s="276"/>
      <c r="X91" s="276"/>
      <c r="Y91" s="276"/>
      <c r="Z91" s="276"/>
      <c r="AA91" s="276"/>
      <c r="AB91" s="276"/>
      <c r="AC91" s="276"/>
      <c r="AD91" s="276"/>
      <c r="AE91" s="276"/>
      <c r="AF91" s="276"/>
      <c r="AG91" s="276"/>
      <c r="AH91" s="276"/>
      <c r="AI91" s="276"/>
      <c r="AJ91" s="276"/>
      <c r="AK91" s="276"/>
      <c r="AL91" s="276"/>
      <c r="AM91" s="276"/>
      <c r="AN91" s="276"/>
      <c r="AO91" s="276"/>
      <c r="AP91" s="276"/>
      <c r="AQ91" s="276"/>
      <c r="AR91" s="276"/>
      <c r="AS91" s="276"/>
      <c r="AT91" s="276"/>
      <c r="AU91" s="276"/>
      <c r="AV91" s="276"/>
      <c r="AW91" s="276"/>
      <c r="AX91" s="276"/>
      <c r="AY91" s="276"/>
    </row>
    <row r="92" spans="1:51" ht="15.75" customHeight="1" x14ac:dyDescent="0.25">
      <c r="A92" s="276"/>
      <c r="B92" s="533"/>
      <c r="C92" s="353"/>
      <c r="D92" s="276"/>
      <c r="E92" s="276"/>
      <c r="F92" s="276"/>
      <c r="G92" s="276"/>
      <c r="H92" s="276"/>
      <c r="I92" s="276"/>
      <c r="J92" s="353"/>
      <c r="K92" s="276"/>
      <c r="L92" s="276"/>
      <c r="M92" s="276"/>
      <c r="N92" s="276"/>
      <c r="O92" s="276"/>
      <c r="P92" s="276"/>
      <c r="Q92" s="276"/>
      <c r="R92" s="276"/>
      <c r="S92" s="276"/>
      <c r="T92" s="276"/>
      <c r="U92" s="276"/>
      <c r="V92" s="276"/>
      <c r="W92" s="276"/>
      <c r="X92" s="276"/>
      <c r="Y92" s="276"/>
      <c r="Z92" s="276"/>
      <c r="AA92" s="276"/>
      <c r="AB92" s="276"/>
      <c r="AC92" s="276"/>
      <c r="AD92" s="276"/>
      <c r="AE92" s="276"/>
      <c r="AF92" s="276"/>
      <c r="AG92" s="276"/>
      <c r="AH92" s="276"/>
      <c r="AI92" s="276"/>
      <c r="AJ92" s="276"/>
      <c r="AK92" s="276"/>
      <c r="AL92" s="276"/>
      <c r="AM92" s="276"/>
      <c r="AN92" s="276"/>
      <c r="AO92" s="276"/>
      <c r="AP92" s="276"/>
      <c r="AQ92" s="276"/>
      <c r="AR92" s="276"/>
      <c r="AS92" s="276"/>
      <c r="AT92" s="276"/>
      <c r="AU92" s="276"/>
      <c r="AV92" s="276"/>
      <c r="AW92" s="276"/>
      <c r="AX92" s="276"/>
      <c r="AY92" s="276"/>
    </row>
    <row r="93" spans="1:51" ht="15.75" customHeight="1" x14ac:dyDescent="0.25">
      <c r="A93" s="276"/>
      <c r="B93" s="533"/>
      <c r="C93" s="353"/>
      <c r="D93" s="276"/>
      <c r="E93" s="276"/>
      <c r="F93" s="276"/>
      <c r="G93" s="276"/>
      <c r="H93" s="276"/>
      <c r="I93" s="276"/>
      <c r="J93" s="353"/>
      <c r="K93" s="276"/>
      <c r="L93" s="276"/>
      <c r="M93" s="276"/>
      <c r="N93" s="276"/>
      <c r="O93" s="276"/>
      <c r="P93" s="276"/>
      <c r="Q93" s="276"/>
      <c r="R93" s="276"/>
      <c r="S93" s="276"/>
      <c r="T93" s="276"/>
      <c r="U93" s="276"/>
      <c r="V93" s="276"/>
      <c r="W93" s="276"/>
      <c r="X93" s="276"/>
      <c r="Y93" s="276"/>
      <c r="Z93" s="276"/>
      <c r="AA93" s="276"/>
      <c r="AB93" s="276"/>
      <c r="AC93" s="276"/>
      <c r="AD93" s="276"/>
      <c r="AE93" s="276"/>
      <c r="AF93" s="276"/>
      <c r="AG93" s="276"/>
      <c r="AH93" s="276"/>
      <c r="AI93" s="276"/>
      <c r="AJ93" s="276"/>
      <c r="AK93" s="276"/>
      <c r="AL93" s="276"/>
      <c r="AM93" s="276"/>
      <c r="AN93" s="276"/>
      <c r="AO93" s="276"/>
      <c r="AP93" s="276"/>
      <c r="AQ93" s="276"/>
      <c r="AR93" s="276"/>
      <c r="AS93" s="276"/>
      <c r="AT93" s="276"/>
      <c r="AU93" s="276"/>
      <c r="AV93" s="276"/>
      <c r="AW93" s="276"/>
      <c r="AX93" s="276"/>
      <c r="AY93" s="276"/>
    </row>
    <row r="94" spans="1:51" ht="15.75" customHeight="1" x14ac:dyDescent="0.25">
      <c r="A94" s="276"/>
      <c r="B94" s="533"/>
      <c r="C94" s="353"/>
      <c r="D94" s="276"/>
      <c r="E94" s="276"/>
      <c r="F94" s="276"/>
      <c r="G94" s="276"/>
      <c r="H94" s="276"/>
      <c r="I94" s="276"/>
      <c r="J94" s="353"/>
      <c r="K94" s="276"/>
      <c r="L94" s="276"/>
      <c r="M94" s="276"/>
      <c r="N94" s="276"/>
      <c r="O94" s="276"/>
      <c r="P94" s="276"/>
      <c r="Q94" s="276"/>
      <c r="R94" s="276"/>
      <c r="S94" s="276"/>
      <c r="T94" s="276"/>
      <c r="U94" s="276"/>
      <c r="V94" s="276"/>
      <c r="W94" s="276"/>
      <c r="X94" s="276"/>
      <c r="Y94" s="276"/>
      <c r="Z94" s="276"/>
      <c r="AA94" s="276"/>
      <c r="AB94" s="276"/>
      <c r="AC94" s="276"/>
      <c r="AD94" s="276"/>
      <c r="AE94" s="276"/>
      <c r="AF94" s="276"/>
      <c r="AG94" s="276"/>
      <c r="AH94" s="276"/>
      <c r="AI94" s="276"/>
      <c r="AJ94" s="276"/>
      <c r="AK94" s="276"/>
      <c r="AL94" s="276"/>
      <c r="AM94" s="276"/>
      <c r="AN94" s="276"/>
      <c r="AO94" s="276"/>
      <c r="AP94" s="276"/>
      <c r="AQ94" s="276"/>
      <c r="AR94" s="276"/>
      <c r="AS94" s="276"/>
      <c r="AT94" s="276"/>
      <c r="AU94" s="276"/>
      <c r="AV94" s="276"/>
      <c r="AW94" s="276"/>
      <c r="AX94" s="276"/>
      <c r="AY94" s="276"/>
    </row>
    <row r="95" spans="1:51" ht="15.75" customHeight="1" x14ac:dyDescent="0.25">
      <c r="A95" s="276"/>
      <c r="B95" s="533"/>
      <c r="C95" s="353"/>
      <c r="D95" s="276"/>
      <c r="E95" s="276"/>
      <c r="F95" s="276"/>
      <c r="G95" s="276"/>
      <c r="H95" s="276"/>
      <c r="I95" s="276"/>
      <c r="J95" s="353"/>
      <c r="K95" s="276"/>
      <c r="L95" s="276"/>
      <c r="M95" s="276"/>
      <c r="N95" s="276"/>
      <c r="O95" s="276"/>
      <c r="P95" s="276"/>
      <c r="Q95" s="276"/>
      <c r="R95" s="276"/>
      <c r="S95" s="276"/>
      <c r="T95" s="276"/>
      <c r="U95" s="276"/>
      <c r="V95" s="276"/>
      <c r="W95" s="276"/>
      <c r="X95" s="276"/>
      <c r="Y95" s="276"/>
      <c r="Z95" s="276"/>
      <c r="AA95" s="276"/>
      <c r="AB95" s="276"/>
      <c r="AC95" s="276"/>
      <c r="AD95" s="276"/>
      <c r="AE95" s="276"/>
      <c r="AF95" s="276"/>
      <c r="AG95" s="276"/>
      <c r="AH95" s="276"/>
      <c r="AI95" s="276"/>
      <c r="AJ95" s="276"/>
      <c r="AK95" s="276"/>
      <c r="AL95" s="276"/>
      <c r="AM95" s="276"/>
      <c r="AN95" s="276"/>
      <c r="AO95" s="276"/>
      <c r="AP95" s="276"/>
      <c r="AQ95" s="276"/>
      <c r="AR95" s="276"/>
      <c r="AS95" s="276"/>
      <c r="AT95" s="276"/>
      <c r="AU95" s="276"/>
      <c r="AV95" s="276"/>
      <c r="AW95" s="276"/>
      <c r="AX95" s="276"/>
      <c r="AY95" s="276"/>
    </row>
    <row r="96" spans="1:51" ht="15.75" customHeight="1" x14ac:dyDescent="0.25">
      <c r="A96" s="276"/>
      <c r="B96" s="533"/>
      <c r="C96" s="353"/>
      <c r="D96" s="276"/>
      <c r="E96" s="276"/>
      <c r="F96" s="276"/>
      <c r="G96" s="276"/>
      <c r="H96" s="276"/>
      <c r="I96" s="276"/>
      <c r="J96" s="353"/>
      <c r="K96" s="276"/>
      <c r="L96" s="276"/>
      <c r="M96" s="276"/>
      <c r="N96" s="276"/>
      <c r="O96" s="276"/>
      <c r="P96" s="276"/>
      <c r="Q96" s="276"/>
      <c r="R96" s="276"/>
      <c r="S96" s="276"/>
      <c r="T96" s="276"/>
      <c r="U96" s="276"/>
      <c r="V96" s="276"/>
      <c r="W96" s="276"/>
      <c r="X96" s="276"/>
      <c r="Y96" s="276"/>
      <c r="Z96" s="276"/>
      <c r="AA96" s="276"/>
      <c r="AB96" s="276"/>
      <c r="AC96" s="276"/>
      <c r="AD96" s="276"/>
      <c r="AE96" s="276"/>
      <c r="AF96" s="276"/>
      <c r="AG96" s="276"/>
      <c r="AH96" s="276"/>
      <c r="AI96" s="276"/>
      <c r="AJ96" s="276"/>
      <c r="AK96" s="276"/>
      <c r="AL96" s="276"/>
      <c r="AM96" s="276"/>
      <c r="AN96" s="276"/>
      <c r="AO96" s="276"/>
      <c r="AP96" s="276"/>
      <c r="AQ96" s="276"/>
      <c r="AR96" s="276"/>
      <c r="AS96" s="276"/>
      <c r="AT96" s="276"/>
      <c r="AU96" s="276"/>
      <c r="AV96" s="276"/>
      <c r="AW96" s="276"/>
      <c r="AX96" s="276"/>
      <c r="AY96" s="276"/>
    </row>
    <row r="97" spans="1:51" ht="15.75" customHeight="1" x14ac:dyDescent="0.25">
      <c r="A97" s="276"/>
      <c r="B97" s="533"/>
      <c r="C97" s="353"/>
      <c r="D97" s="276"/>
      <c r="E97" s="276"/>
      <c r="F97" s="276"/>
      <c r="G97" s="276"/>
      <c r="H97" s="276"/>
      <c r="I97" s="276"/>
      <c r="J97" s="353"/>
      <c r="K97" s="276"/>
      <c r="L97" s="276"/>
      <c r="M97" s="276"/>
      <c r="N97" s="276"/>
      <c r="O97" s="276"/>
      <c r="P97" s="276"/>
      <c r="Q97" s="276"/>
      <c r="R97" s="276"/>
      <c r="S97" s="276"/>
      <c r="T97" s="276"/>
      <c r="U97" s="276"/>
      <c r="V97" s="276"/>
      <c r="W97" s="276"/>
      <c r="X97" s="276"/>
      <c r="Y97" s="276"/>
      <c r="Z97" s="276"/>
      <c r="AA97" s="276"/>
      <c r="AB97" s="276"/>
      <c r="AC97" s="276"/>
      <c r="AD97" s="276"/>
      <c r="AE97" s="276"/>
      <c r="AF97" s="276"/>
      <c r="AG97" s="276"/>
      <c r="AH97" s="276"/>
      <c r="AI97" s="276"/>
      <c r="AJ97" s="276"/>
      <c r="AK97" s="276"/>
      <c r="AL97" s="276"/>
      <c r="AM97" s="276"/>
      <c r="AN97" s="276"/>
      <c r="AO97" s="276"/>
      <c r="AP97" s="276"/>
      <c r="AQ97" s="276"/>
      <c r="AR97" s="276"/>
      <c r="AS97" s="276"/>
      <c r="AT97" s="276"/>
      <c r="AU97" s="276"/>
      <c r="AV97" s="276"/>
      <c r="AW97" s="276"/>
      <c r="AX97" s="276"/>
      <c r="AY97" s="276"/>
    </row>
    <row r="98" spans="1:51" ht="15.75" customHeight="1" x14ac:dyDescent="0.25">
      <c r="A98" s="276"/>
      <c r="B98" s="533"/>
      <c r="C98" s="353"/>
      <c r="D98" s="276"/>
      <c r="E98" s="276"/>
      <c r="F98" s="276"/>
      <c r="G98" s="276"/>
      <c r="H98" s="276"/>
      <c r="I98" s="276"/>
      <c r="J98" s="353"/>
      <c r="K98" s="276"/>
      <c r="L98" s="276"/>
      <c r="M98" s="276"/>
      <c r="N98" s="276"/>
      <c r="O98" s="276"/>
      <c r="P98" s="276"/>
      <c r="Q98" s="276"/>
      <c r="R98" s="276"/>
      <c r="S98" s="276"/>
      <c r="T98" s="276"/>
      <c r="U98" s="276"/>
      <c r="V98" s="276"/>
      <c r="W98" s="276"/>
      <c r="X98" s="276"/>
      <c r="Y98" s="276"/>
      <c r="Z98" s="276"/>
      <c r="AA98" s="276"/>
      <c r="AB98" s="276"/>
      <c r="AC98" s="276"/>
      <c r="AD98" s="276"/>
      <c r="AE98" s="276"/>
      <c r="AF98" s="276"/>
      <c r="AG98" s="276"/>
      <c r="AH98" s="276"/>
      <c r="AI98" s="276"/>
      <c r="AJ98" s="276"/>
      <c r="AK98" s="276"/>
      <c r="AL98" s="276"/>
      <c r="AM98" s="276"/>
      <c r="AN98" s="276"/>
      <c r="AO98" s="276"/>
      <c r="AP98" s="276"/>
      <c r="AQ98" s="276"/>
      <c r="AR98" s="276"/>
      <c r="AS98" s="276"/>
      <c r="AT98" s="276"/>
      <c r="AU98" s="276"/>
      <c r="AV98" s="276"/>
      <c r="AW98" s="276"/>
      <c r="AX98" s="276"/>
      <c r="AY98" s="276"/>
    </row>
    <row r="99" spans="1:51" ht="15.75" customHeight="1" x14ac:dyDescent="0.25">
      <c r="A99" s="276"/>
      <c r="B99" s="533"/>
      <c r="C99" s="353"/>
      <c r="D99" s="276"/>
      <c r="E99" s="276"/>
      <c r="F99" s="276"/>
      <c r="G99" s="276"/>
      <c r="H99" s="276"/>
      <c r="I99" s="276"/>
      <c r="J99" s="353"/>
      <c r="K99" s="276"/>
      <c r="L99" s="276"/>
      <c r="M99" s="276"/>
      <c r="N99" s="276"/>
      <c r="O99" s="276"/>
      <c r="P99" s="276"/>
      <c r="Q99" s="276"/>
      <c r="R99" s="276"/>
      <c r="S99" s="276"/>
      <c r="T99" s="276"/>
      <c r="U99" s="276"/>
      <c r="V99" s="276"/>
      <c r="W99" s="276"/>
      <c r="X99" s="276"/>
      <c r="Y99" s="276"/>
      <c r="Z99" s="276"/>
      <c r="AA99" s="276"/>
      <c r="AB99" s="276"/>
      <c r="AC99" s="276"/>
      <c r="AD99" s="276"/>
      <c r="AE99" s="276"/>
      <c r="AF99" s="276"/>
      <c r="AG99" s="276"/>
      <c r="AH99" s="276"/>
      <c r="AI99" s="276"/>
      <c r="AJ99" s="276"/>
      <c r="AK99" s="276"/>
      <c r="AL99" s="276"/>
      <c r="AM99" s="276"/>
      <c r="AN99" s="276"/>
      <c r="AO99" s="276"/>
      <c r="AP99" s="276"/>
      <c r="AQ99" s="276"/>
      <c r="AR99" s="276"/>
      <c r="AS99" s="276"/>
      <c r="AT99" s="276"/>
      <c r="AU99" s="276"/>
      <c r="AV99" s="276"/>
      <c r="AW99" s="276"/>
      <c r="AX99" s="276"/>
      <c r="AY99" s="276"/>
    </row>
    <row r="100" spans="1:51" ht="15.75" customHeight="1" x14ac:dyDescent="0.25">
      <c r="A100" s="276"/>
      <c r="B100" s="533"/>
      <c r="C100" s="353"/>
      <c r="D100" s="276"/>
      <c r="E100" s="276"/>
      <c r="F100" s="276"/>
      <c r="G100" s="276"/>
      <c r="H100" s="276"/>
      <c r="I100" s="276"/>
      <c r="J100" s="353"/>
      <c r="K100" s="276"/>
      <c r="L100" s="276"/>
      <c r="M100" s="276"/>
      <c r="N100" s="276"/>
      <c r="O100" s="276"/>
      <c r="P100" s="276"/>
      <c r="Q100" s="276"/>
      <c r="R100" s="276"/>
      <c r="S100" s="276"/>
      <c r="T100" s="276"/>
      <c r="U100" s="276"/>
      <c r="V100" s="276"/>
      <c r="W100" s="276"/>
      <c r="X100" s="276"/>
      <c r="Y100" s="276"/>
      <c r="Z100" s="276"/>
      <c r="AA100" s="276"/>
      <c r="AB100" s="276"/>
      <c r="AC100" s="276"/>
      <c r="AD100" s="276"/>
      <c r="AE100" s="276"/>
      <c r="AF100" s="276"/>
      <c r="AG100" s="276"/>
      <c r="AH100" s="276"/>
      <c r="AI100" s="276"/>
      <c r="AJ100" s="276"/>
      <c r="AK100" s="276"/>
      <c r="AL100" s="276"/>
      <c r="AM100" s="276"/>
      <c r="AN100" s="276"/>
      <c r="AO100" s="276"/>
      <c r="AP100" s="276"/>
      <c r="AQ100" s="276"/>
      <c r="AR100" s="276"/>
      <c r="AS100" s="276"/>
      <c r="AT100" s="276"/>
      <c r="AU100" s="276"/>
      <c r="AV100" s="276"/>
      <c r="AW100" s="276"/>
      <c r="AX100" s="276"/>
      <c r="AY100" s="276"/>
    </row>
    <row r="101" spans="1:51" ht="15.75" customHeight="1" x14ac:dyDescent="0.25">
      <c r="A101" s="276"/>
      <c r="B101" s="533"/>
      <c r="C101" s="353"/>
      <c r="D101" s="276"/>
      <c r="E101" s="276"/>
      <c r="F101" s="276"/>
      <c r="G101" s="276"/>
      <c r="H101" s="276"/>
      <c r="I101" s="276"/>
      <c r="J101" s="353"/>
      <c r="K101" s="276"/>
      <c r="L101" s="276"/>
      <c r="M101" s="276"/>
      <c r="N101" s="276"/>
      <c r="O101" s="276"/>
      <c r="P101" s="276"/>
      <c r="Q101" s="276"/>
      <c r="R101" s="276"/>
      <c r="S101" s="276"/>
      <c r="T101" s="276"/>
      <c r="U101" s="276"/>
      <c r="V101" s="276"/>
      <c r="W101" s="276"/>
      <c r="X101" s="276"/>
      <c r="Y101" s="276"/>
      <c r="Z101" s="276"/>
      <c r="AA101" s="276"/>
      <c r="AB101" s="276"/>
      <c r="AC101" s="276"/>
      <c r="AD101" s="276"/>
      <c r="AE101" s="276"/>
      <c r="AF101" s="276"/>
      <c r="AG101" s="276"/>
      <c r="AH101" s="276"/>
      <c r="AI101" s="276"/>
      <c r="AJ101" s="276"/>
      <c r="AK101" s="276"/>
      <c r="AL101" s="276"/>
      <c r="AM101" s="276"/>
      <c r="AN101" s="276"/>
      <c r="AO101" s="276"/>
      <c r="AP101" s="276"/>
      <c r="AQ101" s="276"/>
      <c r="AR101" s="276"/>
      <c r="AS101" s="276"/>
      <c r="AT101" s="276"/>
      <c r="AU101" s="276"/>
      <c r="AV101" s="276"/>
      <c r="AW101" s="276"/>
      <c r="AX101" s="276"/>
      <c r="AY101" s="276"/>
    </row>
    <row r="102" spans="1:51" ht="15.75" customHeight="1" x14ac:dyDescent="0.25">
      <c r="A102" s="276"/>
      <c r="B102" s="533"/>
      <c r="C102" s="353"/>
      <c r="D102" s="276"/>
      <c r="E102" s="276"/>
      <c r="F102" s="276"/>
      <c r="G102" s="276"/>
      <c r="H102" s="276"/>
      <c r="I102" s="276"/>
      <c r="J102" s="353"/>
      <c r="K102" s="276"/>
      <c r="L102" s="276"/>
      <c r="M102" s="276"/>
      <c r="N102" s="276"/>
      <c r="O102" s="276"/>
      <c r="P102" s="276"/>
      <c r="Q102" s="276"/>
      <c r="R102" s="276"/>
      <c r="S102" s="276"/>
      <c r="T102" s="276"/>
      <c r="U102" s="276"/>
      <c r="V102" s="276"/>
      <c r="W102" s="276"/>
      <c r="X102" s="276"/>
      <c r="Y102" s="276"/>
      <c r="Z102" s="276"/>
      <c r="AA102" s="276"/>
      <c r="AB102" s="276"/>
      <c r="AC102" s="276"/>
      <c r="AD102" s="276"/>
      <c r="AE102" s="276"/>
      <c r="AF102" s="276"/>
      <c r="AG102" s="276"/>
      <c r="AH102" s="276"/>
      <c r="AI102" s="276"/>
      <c r="AJ102" s="276"/>
      <c r="AK102" s="276"/>
      <c r="AL102" s="276"/>
      <c r="AM102" s="276"/>
      <c r="AN102" s="276"/>
      <c r="AO102" s="276"/>
      <c r="AP102" s="276"/>
      <c r="AQ102" s="276"/>
      <c r="AR102" s="276"/>
      <c r="AS102" s="276"/>
      <c r="AT102" s="276"/>
      <c r="AU102" s="276"/>
      <c r="AV102" s="276"/>
      <c r="AW102" s="276"/>
      <c r="AX102" s="276"/>
      <c r="AY102" s="276"/>
    </row>
    <row r="103" spans="1:51" ht="15.75" customHeight="1" x14ac:dyDescent="0.25">
      <c r="A103" s="276"/>
      <c r="B103" s="533"/>
      <c r="C103" s="353"/>
      <c r="D103" s="276"/>
      <c r="E103" s="276"/>
      <c r="F103" s="276"/>
      <c r="G103" s="276"/>
      <c r="H103" s="276"/>
      <c r="I103" s="276"/>
      <c r="J103" s="353"/>
      <c r="K103" s="276"/>
      <c r="L103" s="276"/>
      <c r="M103" s="276"/>
      <c r="N103" s="276"/>
      <c r="O103" s="276"/>
      <c r="P103" s="276"/>
      <c r="Q103" s="276"/>
      <c r="R103" s="276"/>
      <c r="S103" s="276"/>
      <c r="T103" s="276"/>
      <c r="U103" s="276"/>
      <c r="V103" s="276"/>
      <c r="W103" s="276"/>
      <c r="X103" s="276"/>
      <c r="Y103" s="276"/>
      <c r="Z103" s="276"/>
      <c r="AA103" s="276"/>
      <c r="AB103" s="276"/>
      <c r="AC103" s="276"/>
      <c r="AD103" s="276"/>
      <c r="AE103" s="276"/>
      <c r="AF103" s="276"/>
      <c r="AG103" s="276"/>
      <c r="AH103" s="276"/>
      <c r="AI103" s="276"/>
      <c r="AJ103" s="276"/>
      <c r="AK103" s="276"/>
      <c r="AL103" s="276"/>
      <c r="AM103" s="276"/>
      <c r="AN103" s="276"/>
      <c r="AO103" s="276"/>
      <c r="AP103" s="276"/>
      <c r="AQ103" s="276"/>
      <c r="AR103" s="276"/>
      <c r="AS103" s="276"/>
      <c r="AT103" s="276"/>
      <c r="AU103" s="276"/>
      <c r="AV103" s="276"/>
      <c r="AW103" s="276"/>
      <c r="AX103" s="276"/>
      <c r="AY103" s="276"/>
    </row>
    <row r="104" spans="1:51" ht="15.75" customHeight="1" x14ac:dyDescent="0.25">
      <c r="A104" s="276"/>
      <c r="B104" s="533"/>
      <c r="C104" s="353"/>
      <c r="D104" s="276"/>
      <c r="E104" s="276"/>
      <c r="F104" s="276"/>
      <c r="G104" s="276"/>
      <c r="H104" s="276"/>
      <c r="I104" s="276"/>
      <c r="J104" s="353"/>
      <c r="K104" s="276"/>
      <c r="L104" s="276"/>
      <c r="M104" s="276"/>
      <c r="N104" s="276"/>
      <c r="O104" s="276"/>
      <c r="P104" s="276"/>
      <c r="Q104" s="276"/>
      <c r="R104" s="276"/>
      <c r="S104" s="276"/>
      <c r="T104" s="276"/>
      <c r="U104" s="276"/>
      <c r="V104" s="276"/>
      <c r="W104" s="276"/>
      <c r="X104" s="276"/>
      <c r="Y104" s="276"/>
      <c r="Z104" s="276"/>
      <c r="AA104" s="276"/>
      <c r="AB104" s="276"/>
      <c r="AC104" s="276"/>
      <c r="AD104" s="276"/>
      <c r="AE104" s="276"/>
      <c r="AF104" s="276"/>
      <c r="AG104" s="276"/>
      <c r="AH104" s="276"/>
      <c r="AI104" s="276"/>
      <c r="AJ104" s="276"/>
      <c r="AK104" s="276"/>
      <c r="AL104" s="276"/>
      <c r="AM104" s="276"/>
      <c r="AN104" s="276"/>
      <c r="AO104" s="276"/>
      <c r="AP104" s="276"/>
      <c r="AQ104" s="276"/>
      <c r="AR104" s="276"/>
      <c r="AS104" s="276"/>
      <c r="AT104" s="276"/>
      <c r="AU104" s="276"/>
      <c r="AV104" s="276"/>
      <c r="AW104" s="276"/>
      <c r="AX104" s="276"/>
      <c r="AY104" s="276"/>
    </row>
    <row r="105" spans="1:51" ht="15.75" customHeight="1" x14ac:dyDescent="0.25">
      <c r="A105" s="276"/>
      <c r="B105" s="533"/>
      <c r="C105" s="353"/>
      <c r="D105" s="276"/>
      <c r="E105" s="276"/>
      <c r="F105" s="276"/>
      <c r="G105" s="276"/>
      <c r="H105" s="276"/>
      <c r="I105" s="276"/>
      <c r="J105" s="353"/>
      <c r="K105" s="276"/>
      <c r="L105" s="276"/>
      <c r="M105" s="276"/>
      <c r="N105" s="276"/>
      <c r="O105" s="276"/>
      <c r="P105" s="276"/>
      <c r="Q105" s="276"/>
      <c r="R105" s="276"/>
      <c r="S105" s="276"/>
      <c r="T105" s="276"/>
      <c r="U105" s="276"/>
      <c r="V105" s="276"/>
      <c r="W105" s="276"/>
      <c r="X105" s="276"/>
      <c r="Y105" s="276"/>
      <c r="Z105" s="276"/>
      <c r="AA105" s="276"/>
      <c r="AB105" s="276"/>
      <c r="AC105" s="276"/>
      <c r="AD105" s="276"/>
      <c r="AE105" s="276"/>
      <c r="AF105" s="276"/>
      <c r="AG105" s="276"/>
      <c r="AH105" s="276"/>
      <c r="AI105" s="276"/>
      <c r="AJ105" s="276"/>
      <c r="AK105" s="276"/>
      <c r="AL105" s="276"/>
      <c r="AM105" s="276"/>
      <c r="AN105" s="276"/>
      <c r="AO105" s="276"/>
      <c r="AP105" s="276"/>
      <c r="AQ105" s="276"/>
      <c r="AR105" s="276"/>
      <c r="AS105" s="276"/>
      <c r="AT105" s="276"/>
      <c r="AU105" s="276"/>
      <c r="AV105" s="276"/>
      <c r="AW105" s="276"/>
      <c r="AX105" s="276"/>
      <c r="AY105" s="276"/>
    </row>
    <row r="106" spans="1:51" ht="15.75" customHeight="1" x14ac:dyDescent="0.25">
      <c r="A106" s="276"/>
      <c r="B106" s="533"/>
      <c r="C106" s="353"/>
      <c r="D106" s="276"/>
      <c r="E106" s="276"/>
      <c r="F106" s="276"/>
      <c r="G106" s="276"/>
      <c r="H106" s="276"/>
      <c r="I106" s="276"/>
      <c r="J106" s="353"/>
      <c r="K106" s="276"/>
      <c r="L106" s="276"/>
      <c r="M106" s="276"/>
      <c r="N106" s="276"/>
      <c r="O106" s="276"/>
      <c r="P106" s="276"/>
      <c r="Q106" s="276"/>
      <c r="R106" s="276"/>
      <c r="S106" s="276"/>
      <c r="T106" s="276"/>
      <c r="U106" s="276"/>
      <c r="V106" s="276"/>
      <c r="W106" s="276"/>
      <c r="X106" s="276"/>
      <c r="Y106" s="276"/>
      <c r="Z106" s="276"/>
      <c r="AA106" s="276"/>
      <c r="AB106" s="276"/>
      <c r="AC106" s="276"/>
      <c r="AD106" s="276"/>
      <c r="AE106" s="276"/>
      <c r="AF106" s="276"/>
      <c r="AG106" s="276"/>
      <c r="AH106" s="276"/>
      <c r="AI106" s="276"/>
      <c r="AJ106" s="276"/>
      <c r="AK106" s="276"/>
      <c r="AL106" s="276"/>
      <c r="AM106" s="276"/>
      <c r="AN106" s="276"/>
      <c r="AO106" s="276"/>
      <c r="AP106" s="276"/>
      <c r="AQ106" s="276"/>
      <c r="AR106" s="276"/>
      <c r="AS106" s="276"/>
      <c r="AT106" s="276"/>
      <c r="AU106" s="276"/>
      <c r="AV106" s="276"/>
      <c r="AW106" s="276"/>
      <c r="AX106" s="276"/>
      <c r="AY106" s="276"/>
    </row>
    <row r="107" spans="1:51" ht="15.75" customHeight="1" x14ac:dyDescent="0.25">
      <c r="A107" s="276"/>
      <c r="B107" s="533"/>
      <c r="C107" s="353"/>
      <c r="D107" s="276"/>
      <c r="E107" s="276"/>
      <c r="F107" s="276"/>
      <c r="G107" s="276"/>
      <c r="H107" s="276"/>
      <c r="I107" s="276"/>
      <c r="J107" s="353"/>
      <c r="K107" s="276"/>
      <c r="L107" s="276"/>
      <c r="M107" s="276"/>
      <c r="N107" s="276"/>
      <c r="O107" s="276"/>
      <c r="P107" s="276"/>
      <c r="Q107" s="276"/>
      <c r="R107" s="276"/>
      <c r="S107" s="276"/>
      <c r="T107" s="276"/>
      <c r="U107" s="276"/>
      <c r="V107" s="276"/>
      <c r="W107" s="276"/>
      <c r="X107" s="276"/>
      <c r="Y107" s="276"/>
      <c r="Z107" s="276"/>
      <c r="AA107" s="276"/>
      <c r="AB107" s="276"/>
      <c r="AC107" s="276"/>
      <c r="AD107" s="276"/>
      <c r="AE107" s="276"/>
      <c r="AF107" s="276"/>
      <c r="AG107" s="276"/>
      <c r="AH107" s="276"/>
      <c r="AI107" s="276"/>
      <c r="AJ107" s="276"/>
      <c r="AK107" s="276"/>
      <c r="AL107" s="276"/>
      <c r="AM107" s="276"/>
      <c r="AN107" s="276"/>
      <c r="AO107" s="276"/>
      <c r="AP107" s="276"/>
      <c r="AQ107" s="276"/>
      <c r="AR107" s="276"/>
      <c r="AS107" s="276"/>
      <c r="AT107" s="276"/>
      <c r="AU107" s="276"/>
      <c r="AV107" s="276"/>
      <c r="AW107" s="276"/>
      <c r="AX107" s="276"/>
      <c r="AY107" s="276"/>
    </row>
    <row r="108" spans="1:51" ht="15.75" customHeight="1" x14ac:dyDescent="0.25">
      <c r="A108" s="276"/>
      <c r="B108" s="533"/>
      <c r="C108" s="353"/>
      <c r="D108" s="276"/>
      <c r="E108" s="276"/>
      <c r="F108" s="276"/>
      <c r="G108" s="276"/>
      <c r="H108" s="276"/>
      <c r="I108" s="276"/>
      <c r="J108" s="353"/>
      <c r="K108" s="276"/>
      <c r="L108" s="276"/>
      <c r="M108" s="276"/>
      <c r="N108" s="276"/>
      <c r="O108" s="276"/>
      <c r="P108" s="276"/>
      <c r="Q108" s="276"/>
      <c r="R108" s="276"/>
      <c r="S108" s="276"/>
      <c r="T108" s="276"/>
      <c r="U108" s="276"/>
      <c r="V108" s="276"/>
      <c r="W108" s="276"/>
      <c r="X108" s="276"/>
      <c r="Y108" s="276"/>
      <c r="Z108" s="276"/>
      <c r="AA108" s="276"/>
      <c r="AB108" s="276"/>
      <c r="AC108" s="276"/>
      <c r="AD108" s="276"/>
      <c r="AE108" s="276"/>
      <c r="AF108" s="276"/>
      <c r="AG108" s="276"/>
      <c r="AH108" s="276"/>
      <c r="AI108" s="276"/>
      <c r="AJ108" s="276"/>
      <c r="AK108" s="276"/>
      <c r="AL108" s="276"/>
      <c r="AM108" s="276"/>
      <c r="AN108" s="276"/>
      <c r="AO108" s="276"/>
      <c r="AP108" s="276"/>
      <c r="AQ108" s="276"/>
      <c r="AR108" s="276"/>
      <c r="AS108" s="276"/>
      <c r="AT108" s="276"/>
      <c r="AU108" s="276"/>
      <c r="AV108" s="276"/>
      <c r="AW108" s="276"/>
      <c r="AX108" s="276"/>
      <c r="AY108" s="276"/>
    </row>
    <row r="109" spans="1:51" ht="15.75" customHeight="1" x14ac:dyDescent="0.25">
      <c r="A109" s="276"/>
      <c r="B109" s="533"/>
      <c r="C109" s="353"/>
      <c r="D109" s="276"/>
      <c r="E109" s="276"/>
      <c r="F109" s="276"/>
      <c r="G109" s="276"/>
      <c r="H109" s="276"/>
      <c r="I109" s="276"/>
      <c r="J109" s="353"/>
      <c r="K109" s="276"/>
      <c r="L109" s="276"/>
      <c r="M109" s="276"/>
      <c r="N109" s="276"/>
      <c r="O109" s="276"/>
      <c r="P109" s="276"/>
      <c r="Q109" s="276"/>
      <c r="R109" s="276"/>
      <c r="S109" s="276"/>
      <c r="T109" s="276"/>
      <c r="U109" s="276"/>
      <c r="V109" s="276"/>
      <c r="W109" s="276"/>
      <c r="X109" s="276"/>
      <c r="Y109" s="276"/>
      <c r="Z109" s="276"/>
      <c r="AA109" s="276"/>
      <c r="AB109" s="276"/>
      <c r="AC109" s="276"/>
      <c r="AD109" s="276"/>
      <c r="AE109" s="276"/>
      <c r="AF109" s="276"/>
      <c r="AG109" s="276"/>
      <c r="AH109" s="276"/>
      <c r="AI109" s="276"/>
      <c r="AJ109" s="276"/>
      <c r="AK109" s="276"/>
      <c r="AL109" s="276"/>
      <c r="AM109" s="276"/>
      <c r="AN109" s="276"/>
      <c r="AO109" s="276"/>
      <c r="AP109" s="276"/>
      <c r="AQ109" s="276"/>
      <c r="AR109" s="276"/>
      <c r="AS109" s="276"/>
      <c r="AT109" s="276"/>
      <c r="AU109" s="276"/>
      <c r="AV109" s="276"/>
      <c r="AW109" s="276"/>
      <c r="AX109" s="276"/>
      <c r="AY109" s="276"/>
    </row>
    <row r="110" spans="1:51" ht="15.75" customHeight="1" x14ac:dyDescent="0.25">
      <c r="A110" s="276"/>
      <c r="B110" s="533"/>
      <c r="C110" s="353"/>
      <c r="D110" s="276"/>
      <c r="E110" s="276"/>
      <c r="F110" s="276"/>
      <c r="G110" s="276"/>
      <c r="H110" s="276"/>
      <c r="I110" s="276"/>
      <c r="J110" s="353"/>
      <c r="K110" s="276"/>
      <c r="L110" s="276"/>
      <c r="M110" s="276"/>
      <c r="N110" s="276"/>
      <c r="O110" s="276"/>
      <c r="P110" s="276"/>
      <c r="Q110" s="276"/>
      <c r="R110" s="276"/>
      <c r="S110" s="276"/>
      <c r="T110" s="276"/>
      <c r="U110" s="276"/>
      <c r="V110" s="276"/>
      <c r="W110" s="276"/>
      <c r="X110" s="276"/>
      <c r="Y110" s="276"/>
      <c r="Z110" s="276"/>
      <c r="AA110" s="276"/>
      <c r="AB110" s="276"/>
      <c r="AC110" s="276"/>
      <c r="AD110" s="276"/>
      <c r="AE110" s="276"/>
      <c r="AF110" s="276"/>
      <c r="AG110" s="276"/>
      <c r="AH110" s="276"/>
      <c r="AI110" s="276"/>
      <c r="AJ110" s="276"/>
      <c r="AK110" s="276"/>
      <c r="AL110" s="276"/>
      <c r="AM110" s="276"/>
      <c r="AN110" s="276"/>
      <c r="AO110" s="276"/>
      <c r="AP110" s="276"/>
      <c r="AQ110" s="276"/>
      <c r="AR110" s="276"/>
      <c r="AS110" s="276"/>
      <c r="AT110" s="276"/>
      <c r="AU110" s="276"/>
      <c r="AV110" s="276"/>
      <c r="AW110" s="276"/>
      <c r="AX110" s="276"/>
      <c r="AY110" s="276"/>
    </row>
    <row r="111" spans="1:51" ht="15.75" customHeight="1" x14ac:dyDescent="0.25">
      <c r="A111" s="276"/>
      <c r="B111" s="533"/>
      <c r="C111" s="353"/>
      <c r="D111" s="276"/>
      <c r="E111" s="276"/>
      <c r="F111" s="276"/>
      <c r="G111" s="276"/>
      <c r="H111" s="276"/>
      <c r="I111" s="276"/>
      <c r="J111" s="353"/>
      <c r="K111" s="276"/>
      <c r="L111" s="276"/>
      <c r="M111" s="276"/>
      <c r="N111" s="276"/>
      <c r="O111" s="276"/>
      <c r="P111" s="276"/>
      <c r="Q111" s="276"/>
      <c r="R111" s="276"/>
      <c r="S111" s="276"/>
      <c r="T111" s="276"/>
      <c r="U111" s="276"/>
      <c r="V111" s="276"/>
      <c r="W111" s="276"/>
      <c r="X111" s="276"/>
      <c r="Y111" s="276"/>
      <c r="Z111" s="276"/>
      <c r="AA111" s="276"/>
      <c r="AB111" s="276"/>
      <c r="AC111" s="276"/>
      <c r="AD111" s="276"/>
      <c r="AE111" s="276"/>
      <c r="AF111" s="276"/>
      <c r="AG111" s="276"/>
      <c r="AH111" s="276"/>
      <c r="AI111" s="276"/>
      <c r="AJ111" s="276"/>
      <c r="AK111" s="276"/>
      <c r="AL111" s="276"/>
      <c r="AM111" s="276"/>
      <c r="AN111" s="276"/>
      <c r="AO111" s="276"/>
      <c r="AP111" s="276"/>
      <c r="AQ111" s="276"/>
      <c r="AR111" s="276"/>
      <c r="AS111" s="276"/>
      <c r="AT111" s="276"/>
      <c r="AU111" s="276"/>
      <c r="AV111" s="276"/>
      <c r="AW111" s="276"/>
      <c r="AX111" s="276"/>
      <c r="AY111" s="276"/>
    </row>
    <row r="112" spans="1:51" ht="15.75" customHeight="1" x14ac:dyDescent="0.25">
      <c r="A112" s="276"/>
      <c r="B112" s="533"/>
      <c r="C112" s="353"/>
      <c r="D112" s="276"/>
      <c r="E112" s="276"/>
      <c r="F112" s="276"/>
      <c r="G112" s="276"/>
      <c r="H112" s="276"/>
      <c r="I112" s="276"/>
      <c r="J112" s="353"/>
      <c r="K112" s="276"/>
      <c r="L112" s="276"/>
      <c r="M112" s="276"/>
      <c r="N112" s="276"/>
      <c r="O112" s="276"/>
      <c r="P112" s="276"/>
      <c r="Q112" s="276"/>
      <c r="R112" s="276"/>
      <c r="S112" s="276"/>
      <c r="T112" s="276"/>
      <c r="U112" s="276"/>
      <c r="V112" s="276"/>
      <c r="W112" s="276"/>
      <c r="X112" s="276"/>
      <c r="Y112" s="276"/>
      <c r="Z112" s="276"/>
      <c r="AA112" s="276"/>
      <c r="AB112" s="276"/>
      <c r="AC112" s="276"/>
      <c r="AD112" s="276"/>
      <c r="AE112" s="276"/>
      <c r="AF112" s="276"/>
      <c r="AG112" s="276"/>
      <c r="AH112" s="276"/>
      <c r="AI112" s="276"/>
      <c r="AJ112" s="276"/>
      <c r="AK112" s="276"/>
      <c r="AL112" s="276"/>
      <c r="AM112" s="276"/>
      <c r="AN112" s="276"/>
      <c r="AO112" s="276"/>
      <c r="AP112" s="276"/>
      <c r="AQ112" s="276"/>
      <c r="AR112" s="276"/>
      <c r="AS112" s="276"/>
      <c r="AT112" s="276"/>
      <c r="AU112" s="276"/>
      <c r="AV112" s="276"/>
      <c r="AW112" s="276"/>
      <c r="AX112" s="276"/>
      <c r="AY112" s="276"/>
    </row>
    <row r="113" spans="1:51" ht="15.75" customHeight="1" x14ac:dyDescent="0.25">
      <c r="A113" s="276"/>
      <c r="B113" s="533"/>
      <c r="C113" s="353"/>
      <c r="D113" s="276"/>
      <c r="E113" s="276"/>
      <c r="F113" s="276"/>
      <c r="G113" s="276"/>
      <c r="H113" s="276"/>
      <c r="I113" s="276"/>
      <c r="J113" s="353"/>
      <c r="K113" s="276"/>
      <c r="L113" s="276"/>
      <c r="M113" s="276"/>
      <c r="N113" s="276"/>
      <c r="O113" s="276"/>
      <c r="P113" s="276"/>
      <c r="Q113" s="276"/>
      <c r="R113" s="276"/>
      <c r="S113" s="276"/>
      <c r="T113" s="276"/>
      <c r="U113" s="276"/>
      <c r="V113" s="276"/>
      <c r="W113" s="276"/>
      <c r="X113" s="276"/>
      <c r="Y113" s="276"/>
      <c r="Z113" s="276"/>
      <c r="AA113" s="276"/>
      <c r="AB113" s="276"/>
      <c r="AC113" s="276"/>
      <c r="AD113" s="276"/>
      <c r="AE113" s="276"/>
      <c r="AF113" s="276"/>
      <c r="AG113" s="276"/>
      <c r="AH113" s="276"/>
      <c r="AI113" s="276"/>
      <c r="AJ113" s="276"/>
      <c r="AK113" s="276"/>
      <c r="AL113" s="276"/>
      <c r="AM113" s="276"/>
      <c r="AN113" s="276"/>
      <c r="AO113" s="276"/>
      <c r="AP113" s="276"/>
      <c r="AQ113" s="276"/>
      <c r="AR113" s="276"/>
      <c r="AS113" s="276"/>
      <c r="AT113" s="276"/>
      <c r="AU113" s="276"/>
      <c r="AV113" s="276"/>
      <c r="AW113" s="276"/>
      <c r="AX113" s="276"/>
      <c r="AY113" s="276"/>
    </row>
    <row r="114" spans="1:51" ht="15.75" customHeight="1" x14ac:dyDescent="0.25">
      <c r="A114" s="276"/>
      <c r="B114" s="533"/>
      <c r="C114" s="353"/>
      <c r="D114" s="276"/>
      <c r="E114" s="276"/>
      <c r="F114" s="276"/>
      <c r="G114" s="276"/>
      <c r="H114" s="276"/>
      <c r="I114" s="276"/>
      <c r="J114" s="353"/>
      <c r="K114" s="276"/>
      <c r="L114" s="276"/>
      <c r="M114" s="276"/>
      <c r="N114" s="276"/>
      <c r="O114" s="276"/>
      <c r="P114" s="276"/>
      <c r="Q114" s="276"/>
      <c r="R114" s="276"/>
      <c r="S114" s="276"/>
      <c r="T114" s="276"/>
      <c r="U114" s="276"/>
      <c r="V114" s="276"/>
      <c r="W114" s="276"/>
      <c r="X114" s="276"/>
      <c r="Y114" s="276"/>
      <c r="Z114" s="276"/>
      <c r="AA114" s="276"/>
      <c r="AB114" s="276"/>
      <c r="AC114" s="276"/>
      <c r="AD114" s="276"/>
      <c r="AE114" s="276"/>
      <c r="AF114" s="276"/>
      <c r="AG114" s="276"/>
      <c r="AH114" s="276"/>
      <c r="AI114" s="276"/>
      <c r="AJ114" s="276"/>
      <c r="AK114" s="276"/>
      <c r="AL114" s="276"/>
      <c r="AM114" s="276"/>
      <c r="AN114" s="276"/>
      <c r="AO114" s="276"/>
      <c r="AP114" s="276"/>
      <c r="AQ114" s="276"/>
      <c r="AR114" s="276"/>
      <c r="AS114" s="276"/>
      <c r="AT114" s="276"/>
      <c r="AU114" s="276"/>
      <c r="AV114" s="276"/>
      <c r="AW114" s="276"/>
      <c r="AX114" s="276"/>
      <c r="AY114" s="276"/>
    </row>
    <row r="115" spans="1:51" ht="15.75" customHeight="1" x14ac:dyDescent="0.25">
      <c r="A115" s="276"/>
      <c r="B115" s="533"/>
      <c r="C115" s="353"/>
      <c r="D115" s="276"/>
      <c r="E115" s="276"/>
      <c r="F115" s="276"/>
      <c r="G115" s="276"/>
      <c r="H115" s="276"/>
      <c r="I115" s="276"/>
      <c r="J115" s="353"/>
      <c r="K115" s="276"/>
      <c r="L115" s="276"/>
      <c r="M115" s="276"/>
      <c r="N115" s="276"/>
      <c r="O115" s="276"/>
      <c r="P115" s="276"/>
      <c r="Q115" s="276"/>
      <c r="R115" s="276"/>
      <c r="S115" s="276"/>
      <c r="T115" s="276"/>
      <c r="U115" s="276"/>
      <c r="V115" s="276"/>
      <c r="W115" s="276"/>
      <c r="X115" s="276"/>
      <c r="Y115" s="276"/>
      <c r="Z115" s="276"/>
      <c r="AA115" s="276"/>
      <c r="AB115" s="276"/>
      <c r="AC115" s="276"/>
      <c r="AD115" s="276"/>
      <c r="AE115" s="276"/>
      <c r="AF115" s="276"/>
      <c r="AG115" s="276"/>
      <c r="AH115" s="276"/>
      <c r="AI115" s="276"/>
      <c r="AJ115" s="276"/>
      <c r="AK115" s="276"/>
      <c r="AL115" s="276"/>
      <c r="AM115" s="276"/>
      <c r="AN115" s="276"/>
      <c r="AO115" s="276"/>
      <c r="AP115" s="276"/>
      <c r="AQ115" s="276"/>
      <c r="AR115" s="276"/>
      <c r="AS115" s="276"/>
      <c r="AT115" s="276"/>
      <c r="AU115" s="276"/>
      <c r="AV115" s="276"/>
      <c r="AW115" s="276"/>
      <c r="AX115" s="276"/>
      <c r="AY115" s="276"/>
    </row>
    <row r="116" spans="1:51" ht="15.75" customHeight="1" x14ac:dyDescent="0.25">
      <c r="A116" s="276"/>
      <c r="B116" s="533"/>
      <c r="C116" s="353"/>
      <c r="D116" s="276"/>
      <c r="E116" s="276"/>
      <c r="F116" s="276"/>
      <c r="G116" s="276"/>
      <c r="H116" s="276"/>
      <c r="I116" s="276"/>
      <c r="J116" s="353"/>
      <c r="K116" s="276"/>
      <c r="L116" s="276"/>
      <c r="M116" s="276"/>
      <c r="N116" s="276"/>
      <c r="O116" s="276"/>
      <c r="P116" s="276"/>
      <c r="Q116" s="276"/>
      <c r="R116" s="276"/>
      <c r="S116" s="276"/>
      <c r="T116" s="276"/>
      <c r="U116" s="276"/>
      <c r="V116" s="276"/>
      <c r="W116" s="276"/>
      <c r="X116" s="276"/>
      <c r="Y116" s="276"/>
      <c r="Z116" s="276"/>
      <c r="AA116" s="276"/>
      <c r="AB116" s="276"/>
      <c r="AC116" s="276"/>
      <c r="AD116" s="276"/>
      <c r="AE116" s="276"/>
      <c r="AF116" s="276"/>
      <c r="AG116" s="276"/>
      <c r="AH116" s="276"/>
      <c r="AI116" s="276"/>
      <c r="AJ116" s="276"/>
      <c r="AK116" s="276"/>
      <c r="AL116" s="276"/>
      <c r="AM116" s="276"/>
      <c r="AN116" s="276"/>
      <c r="AO116" s="276"/>
      <c r="AP116" s="276"/>
      <c r="AQ116" s="276"/>
      <c r="AR116" s="276"/>
      <c r="AS116" s="276"/>
      <c r="AT116" s="276"/>
      <c r="AU116" s="276"/>
      <c r="AV116" s="276"/>
      <c r="AW116" s="276"/>
      <c r="AX116" s="276"/>
      <c r="AY116" s="276"/>
    </row>
    <row r="117" spans="1:51" ht="15.75" customHeight="1" x14ac:dyDescent="0.25">
      <c r="A117" s="276"/>
      <c r="B117" s="533"/>
      <c r="C117" s="353"/>
      <c r="D117" s="276"/>
      <c r="E117" s="276"/>
      <c r="F117" s="276"/>
      <c r="G117" s="276"/>
      <c r="H117" s="276"/>
      <c r="I117" s="276"/>
      <c r="J117" s="353"/>
      <c r="K117" s="276"/>
      <c r="L117" s="276"/>
      <c r="M117" s="276"/>
      <c r="N117" s="276"/>
      <c r="O117" s="276"/>
      <c r="P117" s="276"/>
      <c r="Q117" s="276"/>
      <c r="R117" s="276"/>
      <c r="S117" s="276"/>
      <c r="T117" s="276"/>
      <c r="U117" s="276"/>
      <c r="V117" s="276"/>
      <c r="W117" s="276"/>
      <c r="X117" s="276"/>
      <c r="Y117" s="276"/>
      <c r="Z117" s="276"/>
      <c r="AA117" s="276"/>
      <c r="AB117" s="276"/>
      <c r="AC117" s="276"/>
      <c r="AD117" s="276"/>
      <c r="AE117" s="276"/>
      <c r="AF117" s="276"/>
      <c r="AG117" s="276"/>
      <c r="AH117" s="276"/>
      <c r="AI117" s="276"/>
      <c r="AJ117" s="276"/>
      <c r="AK117" s="276"/>
      <c r="AL117" s="276"/>
      <c r="AM117" s="276"/>
      <c r="AN117" s="276"/>
      <c r="AO117" s="276"/>
      <c r="AP117" s="276"/>
      <c r="AQ117" s="276"/>
      <c r="AR117" s="276"/>
      <c r="AS117" s="276"/>
      <c r="AT117" s="276"/>
      <c r="AU117" s="276"/>
      <c r="AV117" s="276"/>
      <c r="AW117" s="276"/>
      <c r="AX117" s="276"/>
      <c r="AY117" s="276"/>
    </row>
    <row r="118" spans="1:51" ht="15.75" customHeight="1" x14ac:dyDescent="0.25">
      <c r="A118" s="276"/>
      <c r="B118" s="533"/>
      <c r="C118" s="353"/>
      <c r="D118" s="276"/>
      <c r="E118" s="276"/>
      <c r="F118" s="276"/>
      <c r="G118" s="276"/>
      <c r="H118" s="276"/>
      <c r="I118" s="276"/>
      <c r="J118" s="353"/>
      <c r="K118" s="276"/>
      <c r="L118" s="276"/>
      <c r="M118" s="276"/>
      <c r="N118" s="276"/>
      <c r="O118" s="276"/>
      <c r="P118" s="276"/>
      <c r="Q118" s="276"/>
      <c r="R118" s="276"/>
      <c r="S118" s="276"/>
      <c r="T118" s="276"/>
      <c r="U118" s="276"/>
      <c r="V118" s="276"/>
      <c r="W118" s="276"/>
      <c r="X118" s="276"/>
      <c r="Y118" s="276"/>
      <c r="Z118" s="276"/>
      <c r="AA118" s="276"/>
      <c r="AB118" s="276"/>
      <c r="AC118" s="276"/>
      <c r="AD118" s="276"/>
      <c r="AE118" s="276"/>
      <c r="AF118" s="276"/>
      <c r="AG118" s="276"/>
      <c r="AH118" s="276"/>
      <c r="AI118" s="276"/>
      <c r="AJ118" s="276"/>
      <c r="AK118" s="276"/>
      <c r="AL118" s="276"/>
      <c r="AM118" s="276"/>
      <c r="AN118" s="276"/>
      <c r="AO118" s="276"/>
      <c r="AP118" s="276"/>
      <c r="AQ118" s="276"/>
      <c r="AR118" s="276"/>
      <c r="AS118" s="276"/>
      <c r="AT118" s="276"/>
      <c r="AU118" s="276"/>
      <c r="AV118" s="276"/>
      <c r="AW118" s="276"/>
      <c r="AX118" s="276"/>
      <c r="AY118" s="276"/>
    </row>
    <row r="119" spans="1:51" ht="15.75" customHeight="1" x14ac:dyDescent="0.25">
      <c r="A119" s="276"/>
      <c r="B119" s="533"/>
      <c r="C119" s="353"/>
      <c r="D119" s="276"/>
      <c r="E119" s="276"/>
      <c r="F119" s="276"/>
      <c r="G119" s="276"/>
      <c r="H119" s="276"/>
      <c r="I119" s="276"/>
      <c r="J119" s="353"/>
      <c r="K119" s="276"/>
      <c r="L119" s="276"/>
      <c r="M119" s="276"/>
      <c r="N119" s="276"/>
      <c r="O119" s="276"/>
      <c r="P119" s="276"/>
      <c r="Q119" s="276"/>
      <c r="R119" s="276"/>
      <c r="S119" s="276"/>
      <c r="T119" s="276"/>
      <c r="U119" s="276"/>
      <c r="V119" s="276"/>
      <c r="W119" s="276"/>
      <c r="X119" s="276"/>
      <c r="Y119" s="276"/>
      <c r="Z119" s="276"/>
      <c r="AA119" s="276"/>
      <c r="AB119" s="276"/>
      <c r="AC119" s="276"/>
      <c r="AD119" s="276"/>
      <c r="AE119" s="276"/>
      <c r="AF119" s="276"/>
      <c r="AG119" s="276"/>
      <c r="AH119" s="276"/>
      <c r="AI119" s="276"/>
      <c r="AJ119" s="276"/>
      <c r="AK119" s="276"/>
      <c r="AL119" s="276"/>
      <c r="AM119" s="276"/>
      <c r="AN119" s="276"/>
      <c r="AO119" s="276"/>
      <c r="AP119" s="276"/>
      <c r="AQ119" s="276"/>
      <c r="AR119" s="276"/>
      <c r="AS119" s="276"/>
      <c r="AT119" s="276"/>
      <c r="AU119" s="276"/>
      <c r="AV119" s="276"/>
      <c r="AW119" s="276"/>
      <c r="AX119" s="276"/>
      <c r="AY119" s="276"/>
    </row>
    <row r="120" spans="1:51" ht="15.75" customHeight="1" x14ac:dyDescent="0.25">
      <c r="A120" s="276"/>
      <c r="B120" s="533"/>
      <c r="C120" s="353"/>
      <c r="D120" s="276"/>
      <c r="E120" s="276"/>
      <c r="F120" s="276"/>
      <c r="G120" s="276"/>
      <c r="H120" s="276"/>
      <c r="I120" s="276"/>
      <c r="J120" s="353"/>
      <c r="K120" s="276"/>
      <c r="L120" s="276"/>
      <c r="M120" s="276"/>
      <c r="N120" s="276"/>
      <c r="O120" s="276"/>
      <c r="P120" s="276"/>
      <c r="Q120" s="276"/>
      <c r="R120" s="276"/>
      <c r="S120" s="276"/>
      <c r="T120" s="276"/>
      <c r="U120" s="276"/>
      <c r="V120" s="276"/>
      <c r="W120" s="276"/>
      <c r="X120" s="276"/>
      <c r="Y120" s="276"/>
      <c r="Z120" s="276"/>
      <c r="AA120" s="276"/>
      <c r="AB120" s="276"/>
      <c r="AC120" s="276"/>
      <c r="AD120" s="276"/>
      <c r="AE120" s="276"/>
      <c r="AF120" s="276"/>
      <c r="AG120" s="276"/>
      <c r="AH120" s="276"/>
      <c r="AI120" s="276"/>
      <c r="AJ120" s="276"/>
      <c r="AK120" s="276"/>
      <c r="AL120" s="276"/>
      <c r="AM120" s="276"/>
      <c r="AN120" s="276"/>
      <c r="AO120" s="276"/>
      <c r="AP120" s="276"/>
      <c r="AQ120" s="276"/>
      <c r="AR120" s="276"/>
      <c r="AS120" s="276"/>
      <c r="AT120" s="276"/>
      <c r="AU120" s="276"/>
      <c r="AV120" s="276"/>
      <c r="AW120" s="276"/>
      <c r="AX120" s="276"/>
      <c r="AY120" s="276"/>
    </row>
    <row r="121" spans="1:51" ht="15.75" customHeight="1" x14ac:dyDescent="0.25">
      <c r="A121" s="276"/>
      <c r="B121" s="533"/>
      <c r="C121" s="353"/>
      <c r="D121" s="276"/>
      <c r="E121" s="276"/>
      <c r="F121" s="276"/>
      <c r="G121" s="276"/>
      <c r="H121" s="276"/>
      <c r="I121" s="276"/>
      <c r="J121" s="353"/>
      <c r="K121" s="276"/>
      <c r="L121" s="276"/>
      <c r="M121" s="276"/>
      <c r="N121" s="276"/>
      <c r="O121" s="276"/>
      <c r="P121" s="276"/>
      <c r="Q121" s="276"/>
      <c r="R121" s="276"/>
      <c r="S121" s="276"/>
      <c r="T121" s="276"/>
      <c r="U121" s="276"/>
      <c r="V121" s="276"/>
      <c r="W121" s="276"/>
      <c r="X121" s="276"/>
      <c r="Y121" s="276"/>
      <c r="Z121" s="276"/>
      <c r="AA121" s="276"/>
      <c r="AB121" s="276"/>
      <c r="AC121" s="276"/>
      <c r="AD121" s="276"/>
      <c r="AE121" s="276"/>
      <c r="AF121" s="276"/>
      <c r="AG121" s="276"/>
      <c r="AH121" s="276"/>
      <c r="AI121" s="276"/>
      <c r="AJ121" s="276"/>
      <c r="AK121" s="276"/>
      <c r="AL121" s="276"/>
      <c r="AM121" s="276"/>
      <c r="AN121" s="276"/>
      <c r="AO121" s="276"/>
      <c r="AP121" s="276"/>
      <c r="AQ121" s="276"/>
      <c r="AR121" s="276"/>
      <c r="AS121" s="276"/>
      <c r="AT121" s="276"/>
      <c r="AU121" s="276"/>
      <c r="AV121" s="276"/>
      <c r="AW121" s="276"/>
      <c r="AX121" s="276"/>
      <c r="AY121" s="276"/>
    </row>
    <row r="122" spans="1:51" ht="15.75" customHeight="1" x14ac:dyDescent="0.25">
      <c r="A122" s="276"/>
      <c r="B122" s="533"/>
      <c r="C122" s="353"/>
      <c r="D122" s="276"/>
      <c r="E122" s="276"/>
      <c r="F122" s="276"/>
      <c r="G122" s="276"/>
      <c r="H122" s="276"/>
      <c r="I122" s="276"/>
      <c r="J122" s="353"/>
      <c r="K122" s="276"/>
      <c r="L122" s="276"/>
      <c r="M122" s="276"/>
      <c r="N122" s="276"/>
      <c r="O122" s="276"/>
      <c r="P122" s="276"/>
      <c r="Q122" s="276"/>
      <c r="R122" s="276"/>
      <c r="S122" s="276"/>
      <c r="T122" s="276"/>
      <c r="U122" s="276"/>
      <c r="V122" s="276"/>
      <c r="W122" s="276"/>
      <c r="X122" s="276"/>
      <c r="Y122" s="276"/>
      <c r="Z122" s="276"/>
      <c r="AA122" s="276"/>
      <c r="AB122" s="276"/>
      <c r="AC122" s="276"/>
      <c r="AD122" s="276"/>
      <c r="AE122" s="276"/>
      <c r="AF122" s="276"/>
      <c r="AG122" s="276"/>
      <c r="AH122" s="276"/>
      <c r="AI122" s="276"/>
      <c r="AJ122" s="276"/>
      <c r="AK122" s="276"/>
      <c r="AL122" s="276"/>
      <c r="AM122" s="276"/>
      <c r="AN122" s="276"/>
      <c r="AO122" s="276"/>
      <c r="AP122" s="276"/>
      <c r="AQ122" s="276"/>
      <c r="AR122" s="276"/>
      <c r="AS122" s="276"/>
      <c r="AT122" s="276"/>
      <c r="AU122" s="276"/>
      <c r="AV122" s="276"/>
      <c r="AW122" s="276"/>
      <c r="AX122" s="276"/>
      <c r="AY122" s="276"/>
    </row>
    <row r="123" spans="1:51" ht="15.75" customHeight="1" x14ac:dyDescent="0.25">
      <c r="A123" s="276"/>
      <c r="B123" s="533"/>
      <c r="C123" s="353"/>
      <c r="D123" s="276"/>
      <c r="E123" s="276"/>
      <c r="F123" s="276"/>
      <c r="G123" s="276"/>
      <c r="H123" s="276"/>
      <c r="I123" s="276"/>
      <c r="J123" s="353"/>
      <c r="K123" s="276"/>
      <c r="L123" s="276"/>
      <c r="M123" s="276"/>
      <c r="N123" s="276"/>
      <c r="O123" s="276"/>
      <c r="P123" s="276"/>
      <c r="Q123" s="276"/>
      <c r="R123" s="276"/>
      <c r="S123" s="276"/>
      <c r="T123" s="276"/>
      <c r="U123" s="276"/>
      <c r="V123" s="276"/>
      <c r="W123" s="276"/>
      <c r="X123" s="276"/>
      <c r="Y123" s="276"/>
      <c r="Z123" s="276"/>
      <c r="AA123" s="276"/>
      <c r="AB123" s="276"/>
      <c r="AC123" s="276"/>
      <c r="AD123" s="276"/>
      <c r="AE123" s="276"/>
      <c r="AF123" s="276"/>
      <c r="AG123" s="276"/>
      <c r="AH123" s="276"/>
      <c r="AI123" s="276"/>
      <c r="AJ123" s="276"/>
      <c r="AK123" s="276"/>
      <c r="AL123" s="276"/>
      <c r="AM123" s="276"/>
      <c r="AN123" s="276"/>
      <c r="AO123" s="276"/>
      <c r="AP123" s="276"/>
      <c r="AQ123" s="276"/>
      <c r="AR123" s="276"/>
      <c r="AS123" s="276"/>
      <c r="AT123" s="276"/>
      <c r="AU123" s="276"/>
      <c r="AV123" s="276"/>
      <c r="AW123" s="276"/>
      <c r="AX123" s="276"/>
      <c r="AY123" s="276"/>
    </row>
    <row r="124" spans="1:51" ht="15.75" customHeight="1" x14ac:dyDescent="0.25">
      <c r="A124" s="276"/>
      <c r="B124" s="533"/>
      <c r="C124" s="353"/>
      <c r="D124" s="276"/>
      <c r="E124" s="276"/>
      <c r="F124" s="276"/>
      <c r="G124" s="276"/>
      <c r="H124" s="276"/>
      <c r="I124" s="276"/>
      <c r="J124" s="353"/>
      <c r="K124" s="276"/>
      <c r="L124" s="276"/>
      <c r="M124" s="276"/>
      <c r="N124" s="276"/>
      <c r="O124" s="276"/>
      <c r="P124" s="276"/>
      <c r="Q124" s="276"/>
      <c r="R124" s="276"/>
      <c r="S124" s="276"/>
      <c r="T124" s="276"/>
      <c r="U124" s="276"/>
      <c r="V124" s="276"/>
      <c r="W124" s="276"/>
      <c r="X124" s="276"/>
      <c r="Y124" s="276"/>
      <c r="Z124" s="276"/>
      <c r="AA124" s="276"/>
      <c r="AB124" s="276"/>
      <c r="AC124" s="276"/>
      <c r="AD124" s="276"/>
      <c r="AE124" s="276"/>
      <c r="AF124" s="276"/>
      <c r="AG124" s="276"/>
      <c r="AH124" s="276"/>
      <c r="AI124" s="276"/>
      <c r="AJ124" s="276"/>
      <c r="AK124" s="276"/>
      <c r="AL124" s="276"/>
      <c r="AM124" s="276"/>
      <c r="AN124" s="276"/>
      <c r="AO124" s="276"/>
      <c r="AP124" s="276"/>
      <c r="AQ124" s="276"/>
      <c r="AR124" s="276"/>
      <c r="AS124" s="276"/>
      <c r="AT124" s="276"/>
      <c r="AU124" s="276"/>
      <c r="AV124" s="276"/>
      <c r="AW124" s="276"/>
      <c r="AX124" s="276"/>
      <c r="AY124" s="276"/>
    </row>
    <row r="125" spans="1:51" ht="15.75" customHeight="1" x14ac:dyDescent="0.25">
      <c r="A125" s="276"/>
      <c r="B125" s="533"/>
      <c r="C125" s="353"/>
      <c r="D125" s="276"/>
      <c r="E125" s="276"/>
      <c r="F125" s="276"/>
      <c r="G125" s="276"/>
      <c r="H125" s="276"/>
      <c r="I125" s="276"/>
      <c r="J125" s="353"/>
      <c r="K125" s="276"/>
      <c r="L125" s="276"/>
      <c r="M125" s="276"/>
      <c r="N125" s="276"/>
      <c r="O125" s="276"/>
      <c r="P125" s="276"/>
      <c r="Q125" s="276"/>
      <c r="R125" s="276"/>
      <c r="S125" s="276"/>
      <c r="T125" s="276"/>
      <c r="U125" s="276"/>
      <c r="V125" s="276"/>
      <c r="W125" s="276"/>
      <c r="X125" s="276"/>
      <c r="Y125" s="276"/>
      <c r="Z125" s="276"/>
      <c r="AA125" s="276"/>
      <c r="AB125" s="276"/>
      <c r="AC125" s="276"/>
      <c r="AD125" s="276"/>
      <c r="AE125" s="276"/>
      <c r="AF125" s="276"/>
      <c r="AG125" s="276"/>
      <c r="AH125" s="276"/>
      <c r="AI125" s="276"/>
      <c r="AJ125" s="276"/>
      <c r="AK125" s="276"/>
      <c r="AL125" s="276"/>
      <c r="AM125" s="276"/>
      <c r="AN125" s="276"/>
      <c r="AO125" s="276"/>
      <c r="AP125" s="276"/>
      <c r="AQ125" s="276"/>
      <c r="AR125" s="276"/>
      <c r="AS125" s="276"/>
      <c r="AT125" s="276"/>
      <c r="AU125" s="276"/>
      <c r="AV125" s="276"/>
      <c r="AW125" s="276"/>
      <c r="AX125" s="276"/>
      <c r="AY125" s="276"/>
    </row>
    <row r="126" spans="1:51" ht="15.75" customHeight="1" x14ac:dyDescent="0.25">
      <c r="A126" s="276"/>
      <c r="B126" s="533"/>
      <c r="C126" s="353"/>
      <c r="D126" s="276"/>
      <c r="E126" s="276"/>
      <c r="F126" s="276"/>
      <c r="G126" s="276"/>
      <c r="H126" s="276"/>
      <c r="I126" s="276"/>
      <c r="J126" s="353"/>
      <c r="K126" s="276"/>
      <c r="L126" s="276"/>
      <c r="M126" s="276"/>
      <c r="N126" s="276"/>
      <c r="O126" s="276"/>
      <c r="P126" s="276"/>
      <c r="Q126" s="276"/>
      <c r="R126" s="276"/>
      <c r="S126" s="276"/>
      <c r="T126" s="276"/>
      <c r="U126" s="276"/>
      <c r="V126" s="276"/>
      <c r="W126" s="276"/>
      <c r="X126" s="276"/>
      <c r="Y126" s="276"/>
      <c r="Z126" s="276"/>
      <c r="AA126" s="276"/>
      <c r="AB126" s="276"/>
      <c r="AC126" s="276"/>
      <c r="AD126" s="276"/>
      <c r="AE126" s="276"/>
      <c r="AF126" s="276"/>
      <c r="AG126" s="276"/>
      <c r="AH126" s="276"/>
      <c r="AI126" s="276"/>
      <c r="AJ126" s="276"/>
      <c r="AK126" s="276"/>
      <c r="AL126" s="276"/>
      <c r="AM126" s="276"/>
      <c r="AN126" s="276"/>
      <c r="AO126" s="276"/>
      <c r="AP126" s="276"/>
      <c r="AQ126" s="276"/>
      <c r="AR126" s="276"/>
      <c r="AS126" s="276"/>
      <c r="AT126" s="276"/>
      <c r="AU126" s="276"/>
      <c r="AV126" s="276"/>
      <c r="AW126" s="276"/>
      <c r="AX126" s="276"/>
      <c r="AY126" s="276"/>
    </row>
    <row r="127" spans="1:51" ht="15.75" customHeight="1" x14ac:dyDescent="0.25">
      <c r="A127" s="276"/>
      <c r="B127" s="533"/>
      <c r="C127" s="353"/>
      <c r="D127" s="276"/>
      <c r="E127" s="276"/>
      <c r="F127" s="276"/>
      <c r="G127" s="276"/>
      <c r="H127" s="276"/>
      <c r="I127" s="276"/>
      <c r="J127" s="353"/>
      <c r="K127" s="276"/>
      <c r="L127" s="276"/>
      <c r="M127" s="276"/>
      <c r="N127" s="276"/>
      <c r="O127" s="276"/>
      <c r="P127" s="276"/>
      <c r="Q127" s="276"/>
      <c r="R127" s="276"/>
      <c r="S127" s="276"/>
      <c r="T127" s="276"/>
      <c r="U127" s="276"/>
      <c r="V127" s="276"/>
      <c r="W127" s="276"/>
      <c r="X127" s="276"/>
      <c r="Y127" s="276"/>
      <c r="Z127" s="276"/>
      <c r="AA127" s="276"/>
      <c r="AB127" s="276"/>
      <c r="AC127" s="276"/>
      <c r="AD127" s="276"/>
      <c r="AE127" s="276"/>
      <c r="AF127" s="276"/>
      <c r="AG127" s="276"/>
      <c r="AH127" s="276"/>
      <c r="AI127" s="276"/>
      <c r="AJ127" s="276"/>
      <c r="AK127" s="276"/>
      <c r="AL127" s="276"/>
      <c r="AM127" s="276"/>
      <c r="AN127" s="276"/>
      <c r="AO127" s="276"/>
      <c r="AP127" s="276"/>
      <c r="AQ127" s="276"/>
      <c r="AR127" s="276"/>
      <c r="AS127" s="276"/>
      <c r="AT127" s="276"/>
      <c r="AU127" s="276"/>
      <c r="AV127" s="276"/>
      <c r="AW127" s="276"/>
      <c r="AX127" s="276"/>
      <c r="AY127" s="276"/>
    </row>
    <row r="128" spans="1:51" ht="15.75" customHeight="1" x14ac:dyDescent="0.25">
      <c r="A128" s="276"/>
      <c r="B128" s="533"/>
      <c r="C128" s="353"/>
      <c r="D128" s="276"/>
      <c r="E128" s="276"/>
      <c r="F128" s="276"/>
      <c r="G128" s="276"/>
      <c r="H128" s="276"/>
      <c r="I128" s="276"/>
      <c r="J128" s="353"/>
      <c r="K128" s="276"/>
      <c r="L128" s="276"/>
      <c r="M128" s="276"/>
      <c r="N128" s="276"/>
      <c r="O128" s="276"/>
      <c r="P128" s="276"/>
      <c r="Q128" s="276"/>
      <c r="R128" s="276"/>
      <c r="S128" s="276"/>
      <c r="T128" s="276"/>
      <c r="U128" s="276"/>
      <c r="V128" s="276"/>
      <c r="W128" s="276"/>
      <c r="X128" s="276"/>
      <c r="Y128" s="276"/>
      <c r="Z128" s="276"/>
      <c r="AA128" s="276"/>
      <c r="AB128" s="276"/>
      <c r="AC128" s="276"/>
      <c r="AD128" s="276"/>
      <c r="AE128" s="276"/>
      <c r="AF128" s="276"/>
      <c r="AG128" s="276"/>
      <c r="AH128" s="276"/>
      <c r="AI128" s="276"/>
      <c r="AJ128" s="276"/>
      <c r="AK128" s="276"/>
      <c r="AL128" s="276"/>
      <c r="AM128" s="276"/>
      <c r="AN128" s="276"/>
      <c r="AO128" s="276"/>
      <c r="AP128" s="276"/>
      <c r="AQ128" s="276"/>
      <c r="AR128" s="276"/>
      <c r="AS128" s="276"/>
      <c r="AT128" s="276"/>
      <c r="AU128" s="276"/>
      <c r="AV128" s="276"/>
      <c r="AW128" s="276"/>
      <c r="AX128" s="276"/>
      <c r="AY128" s="276"/>
    </row>
    <row r="129" spans="1:51" ht="15.75" customHeight="1" x14ac:dyDescent="0.25">
      <c r="A129" s="276"/>
      <c r="B129" s="533"/>
      <c r="C129" s="353"/>
      <c r="D129" s="276"/>
      <c r="E129" s="276"/>
      <c r="F129" s="276"/>
      <c r="G129" s="276"/>
      <c r="H129" s="276"/>
      <c r="I129" s="276"/>
      <c r="J129" s="353"/>
      <c r="K129" s="276"/>
      <c r="L129" s="276"/>
      <c r="M129" s="276"/>
      <c r="N129" s="276"/>
      <c r="O129" s="276"/>
      <c r="P129" s="276"/>
      <c r="Q129" s="276"/>
      <c r="R129" s="276"/>
      <c r="S129" s="276"/>
      <c r="T129" s="276"/>
      <c r="U129" s="276"/>
      <c r="V129" s="276"/>
      <c r="W129" s="276"/>
      <c r="X129" s="276"/>
      <c r="Y129" s="276"/>
      <c r="Z129" s="276"/>
      <c r="AA129" s="276"/>
      <c r="AB129" s="276"/>
      <c r="AC129" s="276"/>
      <c r="AD129" s="276"/>
      <c r="AE129" s="276"/>
      <c r="AF129" s="276"/>
      <c r="AG129" s="276"/>
      <c r="AH129" s="276"/>
      <c r="AI129" s="276"/>
      <c r="AJ129" s="276"/>
      <c r="AK129" s="276"/>
      <c r="AL129" s="276"/>
      <c r="AM129" s="276"/>
      <c r="AN129" s="276"/>
      <c r="AO129" s="276"/>
      <c r="AP129" s="276"/>
      <c r="AQ129" s="276"/>
      <c r="AR129" s="276"/>
      <c r="AS129" s="276"/>
      <c r="AT129" s="276"/>
      <c r="AU129" s="276"/>
      <c r="AV129" s="276"/>
      <c r="AW129" s="276"/>
      <c r="AX129" s="276"/>
      <c r="AY129" s="276"/>
    </row>
    <row r="130" spans="1:51" ht="15.75" customHeight="1" x14ac:dyDescent="0.25">
      <c r="A130" s="276"/>
      <c r="B130" s="533"/>
      <c r="C130" s="353"/>
      <c r="D130" s="276"/>
      <c r="E130" s="276"/>
      <c r="F130" s="276"/>
      <c r="G130" s="276"/>
      <c r="H130" s="276"/>
      <c r="I130" s="276"/>
      <c r="J130" s="353"/>
      <c r="K130" s="276"/>
      <c r="L130" s="276"/>
      <c r="M130" s="276"/>
      <c r="N130" s="276"/>
      <c r="O130" s="276"/>
      <c r="P130" s="276"/>
      <c r="Q130" s="276"/>
      <c r="R130" s="276"/>
      <c r="S130" s="276"/>
      <c r="T130" s="276"/>
      <c r="U130" s="276"/>
      <c r="V130" s="276"/>
      <c r="W130" s="276"/>
      <c r="X130" s="276"/>
      <c r="Y130" s="276"/>
      <c r="Z130" s="276"/>
      <c r="AA130" s="276"/>
      <c r="AB130" s="276"/>
      <c r="AC130" s="276"/>
      <c r="AD130" s="276"/>
      <c r="AE130" s="276"/>
      <c r="AF130" s="276"/>
      <c r="AG130" s="276"/>
      <c r="AH130" s="276"/>
      <c r="AI130" s="276"/>
      <c r="AJ130" s="276"/>
      <c r="AK130" s="276"/>
      <c r="AL130" s="276"/>
      <c r="AM130" s="276"/>
      <c r="AN130" s="276"/>
      <c r="AO130" s="276"/>
      <c r="AP130" s="276"/>
      <c r="AQ130" s="276"/>
      <c r="AR130" s="276"/>
      <c r="AS130" s="276"/>
      <c r="AT130" s="276"/>
      <c r="AU130" s="276"/>
      <c r="AV130" s="276"/>
      <c r="AW130" s="276"/>
      <c r="AX130" s="276"/>
      <c r="AY130" s="276"/>
    </row>
    <row r="131" spans="1:51" ht="15.75" customHeight="1" x14ac:dyDescent="0.25">
      <c r="A131" s="276"/>
      <c r="B131" s="533"/>
      <c r="C131" s="353"/>
      <c r="D131" s="276"/>
      <c r="E131" s="276"/>
      <c r="F131" s="276"/>
      <c r="G131" s="276"/>
      <c r="H131" s="276"/>
      <c r="I131" s="276"/>
      <c r="J131" s="353"/>
      <c r="K131" s="276"/>
      <c r="L131" s="276"/>
      <c r="M131" s="276"/>
      <c r="N131" s="276"/>
      <c r="O131" s="276"/>
      <c r="P131" s="276"/>
      <c r="Q131" s="276"/>
      <c r="R131" s="276"/>
      <c r="S131" s="276"/>
      <c r="T131" s="276"/>
      <c r="U131" s="276"/>
      <c r="V131" s="276"/>
      <c r="W131" s="276"/>
      <c r="X131" s="276"/>
      <c r="Y131" s="276"/>
      <c r="Z131" s="276"/>
      <c r="AA131" s="276"/>
      <c r="AB131" s="276"/>
      <c r="AC131" s="276"/>
      <c r="AD131" s="276"/>
      <c r="AE131" s="276"/>
      <c r="AF131" s="276"/>
      <c r="AG131" s="276"/>
      <c r="AH131" s="276"/>
      <c r="AI131" s="276"/>
      <c r="AJ131" s="276"/>
      <c r="AK131" s="276"/>
      <c r="AL131" s="276"/>
      <c r="AM131" s="276"/>
      <c r="AN131" s="276"/>
      <c r="AO131" s="276"/>
      <c r="AP131" s="276"/>
      <c r="AQ131" s="276"/>
      <c r="AR131" s="276"/>
      <c r="AS131" s="276"/>
      <c r="AT131" s="276"/>
      <c r="AU131" s="276"/>
      <c r="AV131" s="276"/>
      <c r="AW131" s="276"/>
      <c r="AX131" s="276"/>
      <c r="AY131" s="276"/>
    </row>
    <row r="132" spans="1:51" ht="15.75" customHeight="1" x14ac:dyDescent="0.25">
      <c r="A132" s="276"/>
      <c r="B132" s="533"/>
      <c r="C132" s="353"/>
      <c r="D132" s="276"/>
      <c r="E132" s="276"/>
      <c r="F132" s="276"/>
      <c r="G132" s="276"/>
      <c r="H132" s="276"/>
      <c r="I132" s="276"/>
      <c r="J132" s="353"/>
      <c r="K132" s="276"/>
      <c r="L132" s="276"/>
      <c r="M132" s="276"/>
      <c r="N132" s="276"/>
      <c r="O132" s="276"/>
      <c r="P132" s="276"/>
      <c r="Q132" s="276"/>
      <c r="R132" s="276"/>
      <c r="S132" s="276"/>
      <c r="T132" s="276"/>
      <c r="U132" s="276"/>
      <c r="V132" s="276"/>
      <c r="W132" s="276"/>
      <c r="X132" s="276"/>
      <c r="Y132" s="276"/>
      <c r="Z132" s="276"/>
      <c r="AA132" s="276"/>
      <c r="AB132" s="276"/>
      <c r="AC132" s="276"/>
      <c r="AD132" s="276"/>
      <c r="AE132" s="276"/>
      <c r="AF132" s="276"/>
      <c r="AG132" s="276"/>
      <c r="AH132" s="276"/>
      <c r="AI132" s="276"/>
      <c r="AJ132" s="276"/>
      <c r="AK132" s="276"/>
      <c r="AL132" s="276"/>
      <c r="AM132" s="276"/>
      <c r="AN132" s="276"/>
      <c r="AO132" s="276"/>
      <c r="AP132" s="276"/>
      <c r="AQ132" s="276"/>
      <c r="AR132" s="276"/>
      <c r="AS132" s="276"/>
      <c r="AT132" s="276"/>
      <c r="AU132" s="276"/>
      <c r="AV132" s="276"/>
      <c r="AW132" s="276"/>
      <c r="AX132" s="276"/>
      <c r="AY132" s="276"/>
    </row>
    <row r="133" spans="1:51" ht="15.75" customHeight="1" x14ac:dyDescent="0.25">
      <c r="A133" s="276"/>
      <c r="B133" s="533"/>
      <c r="C133" s="353"/>
      <c r="D133" s="276"/>
      <c r="E133" s="276"/>
      <c r="F133" s="276"/>
      <c r="G133" s="276"/>
      <c r="H133" s="276"/>
      <c r="I133" s="276"/>
      <c r="J133" s="353"/>
      <c r="K133" s="276"/>
      <c r="L133" s="276"/>
      <c r="M133" s="276"/>
      <c r="N133" s="276"/>
      <c r="O133" s="276"/>
      <c r="P133" s="276"/>
      <c r="Q133" s="276"/>
      <c r="R133" s="276"/>
      <c r="S133" s="276"/>
      <c r="T133" s="276"/>
      <c r="U133" s="276"/>
      <c r="V133" s="276"/>
      <c r="W133" s="276"/>
      <c r="X133" s="276"/>
      <c r="Y133" s="276"/>
      <c r="Z133" s="276"/>
      <c r="AA133" s="276"/>
      <c r="AB133" s="276"/>
      <c r="AC133" s="276"/>
      <c r="AD133" s="276"/>
      <c r="AE133" s="276"/>
      <c r="AF133" s="276"/>
      <c r="AG133" s="276"/>
      <c r="AH133" s="276"/>
      <c r="AI133" s="276"/>
      <c r="AJ133" s="276"/>
      <c r="AK133" s="276"/>
      <c r="AL133" s="276"/>
      <c r="AM133" s="276"/>
      <c r="AN133" s="276"/>
      <c r="AO133" s="276"/>
      <c r="AP133" s="276"/>
      <c r="AQ133" s="276"/>
      <c r="AR133" s="276"/>
      <c r="AS133" s="276"/>
      <c r="AT133" s="276"/>
      <c r="AU133" s="276"/>
      <c r="AV133" s="276"/>
      <c r="AW133" s="276"/>
      <c r="AX133" s="276"/>
      <c r="AY133" s="276"/>
    </row>
    <row r="134" spans="1:51" ht="15.75" customHeight="1" x14ac:dyDescent="0.25">
      <c r="A134" s="276"/>
      <c r="B134" s="533"/>
      <c r="C134" s="353"/>
      <c r="D134" s="276"/>
      <c r="E134" s="276"/>
      <c r="F134" s="276"/>
      <c r="G134" s="276"/>
      <c r="H134" s="276"/>
      <c r="I134" s="276"/>
      <c r="J134" s="353"/>
      <c r="K134" s="276"/>
      <c r="L134" s="276"/>
      <c r="M134" s="276"/>
      <c r="N134" s="276"/>
      <c r="O134" s="276"/>
      <c r="P134" s="276"/>
      <c r="Q134" s="276"/>
      <c r="R134" s="276"/>
      <c r="S134" s="276"/>
      <c r="T134" s="276"/>
      <c r="U134" s="276"/>
      <c r="V134" s="276"/>
      <c r="W134" s="276"/>
      <c r="X134" s="276"/>
      <c r="Y134" s="276"/>
      <c r="Z134" s="276"/>
      <c r="AA134" s="276"/>
      <c r="AB134" s="276"/>
      <c r="AC134" s="276"/>
      <c r="AD134" s="276"/>
      <c r="AE134" s="276"/>
      <c r="AF134" s="276"/>
      <c r="AG134" s="276"/>
      <c r="AH134" s="276"/>
      <c r="AI134" s="276"/>
      <c r="AJ134" s="276"/>
      <c r="AK134" s="276"/>
      <c r="AL134" s="276"/>
      <c r="AM134" s="276"/>
      <c r="AN134" s="276"/>
      <c r="AO134" s="276"/>
      <c r="AP134" s="276"/>
      <c r="AQ134" s="276"/>
      <c r="AR134" s="276"/>
      <c r="AS134" s="276"/>
      <c r="AT134" s="276"/>
      <c r="AU134" s="276"/>
      <c r="AV134" s="276"/>
      <c r="AW134" s="276"/>
      <c r="AX134" s="276"/>
      <c r="AY134" s="276"/>
    </row>
    <row r="135" spans="1:51" ht="15.75" customHeight="1" x14ac:dyDescent="0.25">
      <c r="A135" s="276"/>
      <c r="B135" s="533"/>
      <c r="C135" s="353"/>
      <c r="D135" s="276"/>
      <c r="E135" s="276"/>
      <c r="F135" s="276"/>
      <c r="G135" s="276"/>
      <c r="H135" s="276"/>
      <c r="I135" s="276"/>
      <c r="J135" s="353"/>
      <c r="K135" s="276"/>
      <c r="L135" s="276"/>
      <c r="M135" s="276"/>
      <c r="N135" s="276"/>
      <c r="O135" s="276"/>
      <c r="P135" s="276"/>
      <c r="Q135" s="276"/>
      <c r="R135" s="276"/>
      <c r="S135" s="276"/>
      <c r="T135" s="276"/>
      <c r="U135" s="276"/>
      <c r="V135" s="276"/>
      <c r="W135" s="276"/>
      <c r="X135" s="276"/>
      <c r="Y135" s="276"/>
      <c r="Z135" s="276"/>
      <c r="AA135" s="276"/>
      <c r="AB135" s="276"/>
      <c r="AC135" s="276"/>
      <c r="AD135" s="276"/>
      <c r="AE135" s="276"/>
      <c r="AF135" s="276"/>
      <c r="AG135" s="276"/>
      <c r="AH135" s="276"/>
      <c r="AI135" s="276"/>
      <c r="AJ135" s="276"/>
      <c r="AK135" s="276"/>
      <c r="AL135" s="276"/>
      <c r="AM135" s="276"/>
      <c r="AN135" s="276"/>
      <c r="AO135" s="276"/>
      <c r="AP135" s="276"/>
      <c r="AQ135" s="276"/>
      <c r="AR135" s="276"/>
      <c r="AS135" s="276"/>
      <c r="AT135" s="276"/>
      <c r="AU135" s="276"/>
      <c r="AV135" s="276"/>
      <c r="AW135" s="276"/>
      <c r="AX135" s="276"/>
      <c r="AY135" s="276"/>
    </row>
    <row r="136" spans="1:51" ht="15.75" customHeight="1" x14ac:dyDescent="0.25">
      <c r="A136" s="276"/>
      <c r="B136" s="533"/>
      <c r="C136" s="353"/>
      <c r="D136" s="276"/>
      <c r="E136" s="276"/>
      <c r="F136" s="276"/>
      <c r="G136" s="276"/>
      <c r="H136" s="276"/>
      <c r="I136" s="276"/>
      <c r="J136" s="353"/>
      <c r="K136" s="276"/>
      <c r="L136" s="276"/>
      <c r="M136" s="276"/>
      <c r="N136" s="276"/>
      <c r="O136" s="276"/>
      <c r="P136" s="276"/>
      <c r="Q136" s="276"/>
      <c r="R136" s="276"/>
      <c r="S136" s="276"/>
      <c r="T136" s="276"/>
      <c r="U136" s="276"/>
      <c r="V136" s="276"/>
      <c r="W136" s="276"/>
      <c r="X136" s="276"/>
      <c r="Y136" s="276"/>
      <c r="Z136" s="276"/>
      <c r="AA136" s="276"/>
      <c r="AB136" s="276"/>
      <c r="AC136" s="276"/>
      <c r="AD136" s="276"/>
      <c r="AE136" s="276"/>
      <c r="AF136" s="276"/>
      <c r="AG136" s="276"/>
      <c r="AH136" s="276"/>
      <c r="AI136" s="276"/>
      <c r="AJ136" s="276"/>
      <c r="AK136" s="276"/>
      <c r="AL136" s="276"/>
      <c r="AM136" s="276"/>
      <c r="AN136" s="276"/>
      <c r="AO136" s="276"/>
      <c r="AP136" s="276"/>
      <c r="AQ136" s="276"/>
      <c r="AR136" s="276"/>
      <c r="AS136" s="276"/>
      <c r="AT136" s="276"/>
      <c r="AU136" s="276"/>
      <c r="AV136" s="276"/>
      <c r="AW136" s="276"/>
      <c r="AX136" s="276"/>
      <c r="AY136" s="276"/>
    </row>
    <row r="137" spans="1:51" ht="15.75" customHeight="1" x14ac:dyDescent="0.25">
      <c r="A137" s="276"/>
      <c r="B137" s="533"/>
      <c r="C137" s="353"/>
      <c r="D137" s="276"/>
      <c r="E137" s="276"/>
      <c r="F137" s="276"/>
      <c r="G137" s="276"/>
      <c r="H137" s="276"/>
      <c r="I137" s="276"/>
      <c r="J137" s="353"/>
      <c r="K137" s="276"/>
      <c r="L137" s="276"/>
      <c r="M137" s="276"/>
      <c r="N137" s="276"/>
      <c r="O137" s="276"/>
      <c r="P137" s="276"/>
      <c r="Q137" s="276"/>
      <c r="R137" s="276"/>
      <c r="S137" s="276"/>
      <c r="T137" s="276"/>
      <c r="U137" s="276"/>
      <c r="V137" s="276"/>
      <c r="W137" s="276"/>
      <c r="X137" s="276"/>
      <c r="Y137" s="276"/>
      <c r="Z137" s="276"/>
      <c r="AA137" s="276"/>
      <c r="AB137" s="276"/>
      <c r="AC137" s="276"/>
      <c r="AD137" s="276"/>
      <c r="AE137" s="276"/>
      <c r="AF137" s="276"/>
      <c r="AG137" s="276"/>
      <c r="AH137" s="276"/>
      <c r="AI137" s="276"/>
      <c r="AJ137" s="276"/>
      <c r="AK137" s="276"/>
      <c r="AL137" s="276"/>
      <c r="AM137" s="276"/>
      <c r="AN137" s="276"/>
      <c r="AO137" s="276"/>
      <c r="AP137" s="276"/>
      <c r="AQ137" s="276"/>
      <c r="AR137" s="276"/>
      <c r="AS137" s="276"/>
      <c r="AT137" s="276"/>
      <c r="AU137" s="276"/>
      <c r="AV137" s="276"/>
      <c r="AW137" s="276"/>
      <c r="AX137" s="276"/>
      <c r="AY137" s="276"/>
    </row>
    <row r="138" spans="1:51" ht="15.75" customHeight="1" x14ac:dyDescent="0.25">
      <c r="A138" s="276"/>
      <c r="B138" s="533"/>
      <c r="C138" s="353"/>
      <c r="D138" s="276"/>
      <c r="E138" s="276"/>
      <c r="F138" s="276"/>
      <c r="G138" s="276"/>
      <c r="H138" s="276"/>
      <c r="I138" s="276"/>
      <c r="J138" s="353"/>
      <c r="K138" s="276"/>
      <c r="L138" s="276"/>
      <c r="M138" s="276"/>
      <c r="N138" s="276"/>
      <c r="O138" s="276"/>
      <c r="P138" s="276"/>
      <c r="Q138" s="276"/>
      <c r="R138" s="276"/>
      <c r="S138" s="276"/>
      <c r="T138" s="276"/>
      <c r="U138" s="276"/>
      <c r="V138" s="276"/>
      <c r="W138" s="276"/>
      <c r="X138" s="276"/>
      <c r="Y138" s="276"/>
      <c r="Z138" s="276"/>
      <c r="AA138" s="276"/>
      <c r="AB138" s="276"/>
      <c r="AC138" s="276"/>
      <c r="AD138" s="276"/>
      <c r="AE138" s="276"/>
      <c r="AF138" s="276"/>
      <c r="AG138" s="276"/>
      <c r="AH138" s="276"/>
      <c r="AI138" s="276"/>
      <c r="AJ138" s="276"/>
      <c r="AK138" s="276"/>
      <c r="AL138" s="276"/>
      <c r="AM138" s="276"/>
      <c r="AN138" s="276"/>
      <c r="AO138" s="276"/>
      <c r="AP138" s="276"/>
      <c r="AQ138" s="276"/>
      <c r="AR138" s="276"/>
      <c r="AS138" s="276"/>
      <c r="AT138" s="276"/>
      <c r="AU138" s="276"/>
      <c r="AV138" s="276"/>
      <c r="AW138" s="276"/>
      <c r="AX138" s="276"/>
      <c r="AY138" s="276"/>
    </row>
    <row r="139" spans="1:51" ht="15.75" customHeight="1" x14ac:dyDescent="0.25">
      <c r="A139" s="276"/>
      <c r="B139" s="533"/>
      <c r="C139" s="353"/>
      <c r="D139" s="276"/>
      <c r="E139" s="276"/>
      <c r="F139" s="276"/>
      <c r="G139" s="276"/>
      <c r="H139" s="276"/>
      <c r="I139" s="276"/>
      <c r="J139" s="353"/>
      <c r="K139" s="276"/>
      <c r="L139" s="276"/>
      <c r="M139" s="276"/>
      <c r="N139" s="276"/>
      <c r="O139" s="276"/>
      <c r="P139" s="276"/>
      <c r="Q139" s="276"/>
      <c r="R139" s="276"/>
      <c r="S139" s="276"/>
      <c r="T139" s="276"/>
      <c r="U139" s="276"/>
      <c r="V139" s="276"/>
      <c r="W139" s="276"/>
      <c r="X139" s="276"/>
      <c r="Y139" s="276"/>
      <c r="Z139" s="276"/>
      <c r="AA139" s="276"/>
      <c r="AB139" s="276"/>
      <c r="AC139" s="276"/>
      <c r="AD139" s="276"/>
      <c r="AE139" s="276"/>
      <c r="AF139" s="276"/>
      <c r="AG139" s="276"/>
      <c r="AH139" s="276"/>
      <c r="AI139" s="276"/>
      <c r="AJ139" s="276"/>
      <c r="AK139" s="276"/>
      <c r="AL139" s="276"/>
      <c r="AM139" s="276"/>
      <c r="AN139" s="276"/>
      <c r="AO139" s="276"/>
      <c r="AP139" s="276"/>
      <c r="AQ139" s="276"/>
      <c r="AR139" s="276"/>
      <c r="AS139" s="276"/>
      <c r="AT139" s="276"/>
      <c r="AU139" s="276"/>
      <c r="AV139" s="276"/>
      <c r="AW139" s="276"/>
      <c r="AX139" s="276"/>
      <c r="AY139" s="276"/>
    </row>
    <row r="140" spans="1:51" ht="15.75" customHeight="1" x14ac:dyDescent="0.25">
      <c r="A140" s="276"/>
      <c r="B140" s="533"/>
      <c r="C140" s="353"/>
      <c r="D140" s="276"/>
      <c r="E140" s="276"/>
      <c r="F140" s="276"/>
      <c r="G140" s="276"/>
      <c r="H140" s="276"/>
      <c r="I140" s="276"/>
      <c r="J140" s="353"/>
      <c r="K140" s="276"/>
      <c r="L140" s="276"/>
      <c r="M140" s="276"/>
      <c r="N140" s="276"/>
      <c r="O140" s="276"/>
      <c r="P140" s="276"/>
      <c r="Q140" s="276"/>
      <c r="R140" s="276"/>
      <c r="S140" s="276"/>
      <c r="T140" s="276"/>
      <c r="U140" s="276"/>
      <c r="V140" s="276"/>
      <c r="W140" s="276"/>
      <c r="X140" s="276"/>
      <c r="Y140" s="276"/>
      <c r="Z140" s="276"/>
      <c r="AA140" s="276"/>
      <c r="AB140" s="276"/>
      <c r="AC140" s="276"/>
      <c r="AD140" s="276"/>
      <c r="AE140" s="276"/>
      <c r="AF140" s="276"/>
      <c r="AG140" s="276"/>
      <c r="AH140" s="276"/>
      <c r="AI140" s="276"/>
      <c r="AJ140" s="276"/>
      <c r="AK140" s="276"/>
      <c r="AL140" s="276"/>
      <c r="AM140" s="276"/>
      <c r="AN140" s="276"/>
      <c r="AO140" s="276"/>
      <c r="AP140" s="276"/>
      <c r="AQ140" s="276"/>
      <c r="AR140" s="276"/>
      <c r="AS140" s="276"/>
      <c r="AT140" s="276"/>
      <c r="AU140" s="276"/>
      <c r="AV140" s="276"/>
      <c r="AW140" s="276"/>
      <c r="AX140" s="276"/>
      <c r="AY140" s="276"/>
    </row>
    <row r="141" spans="1:51" ht="15.75" customHeight="1" x14ac:dyDescent="0.25">
      <c r="A141" s="276"/>
      <c r="B141" s="533"/>
      <c r="C141" s="353"/>
      <c r="D141" s="276"/>
      <c r="E141" s="276"/>
      <c r="F141" s="276"/>
      <c r="G141" s="276"/>
      <c r="H141" s="276"/>
      <c r="I141" s="276"/>
      <c r="J141" s="353"/>
      <c r="K141" s="276"/>
      <c r="L141" s="276"/>
      <c r="M141" s="276"/>
      <c r="N141" s="276"/>
      <c r="O141" s="276"/>
      <c r="P141" s="276"/>
      <c r="Q141" s="276"/>
      <c r="R141" s="276"/>
      <c r="S141" s="276"/>
      <c r="T141" s="276"/>
      <c r="U141" s="276"/>
      <c r="V141" s="276"/>
      <c r="W141" s="276"/>
      <c r="X141" s="276"/>
      <c r="Y141" s="276"/>
      <c r="Z141" s="276"/>
      <c r="AA141" s="276"/>
      <c r="AB141" s="276"/>
      <c r="AC141" s="276"/>
      <c r="AD141" s="276"/>
      <c r="AE141" s="276"/>
      <c r="AF141" s="276"/>
      <c r="AG141" s="276"/>
      <c r="AH141" s="276"/>
      <c r="AI141" s="276"/>
      <c r="AJ141" s="276"/>
      <c r="AK141" s="276"/>
      <c r="AL141" s="276"/>
      <c r="AM141" s="276"/>
      <c r="AN141" s="276"/>
      <c r="AO141" s="276"/>
      <c r="AP141" s="276"/>
      <c r="AQ141" s="276"/>
      <c r="AR141" s="276"/>
      <c r="AS141" s="276"/>
      <c r="AT141" s="276"/>
      <c r="AU141" s="276"/>
      <c r="AV141" s="276"/>
      <c r="AW141" s="276"/>
      <c r="AX141" s="276"/>
      <c r="AY141" s="276"/>
    </row>
    <row r="142" spans="1:51" ht="15.75" customHeight="1" x14ac:dyDescent="0.25">
      <c r="A142" s="276"/>
      <c r="B142" s="533"/>
      <c r="C142" s="353"/>
      <c r="D142" s="276"/>
      <c r="E142" s="276"/>
      <c r="F142" s="276"/>
      <c r="G142" s="276"/>
      <c r="H142" s="276"/>
      <c r="I142" s="276"/>
      <c r="J142" s="353"/>
      <c r="K142" s="276"/>
      <c r="L142" s="276"/>
      <c r="M142" s="276"/>
      <c r="N142" s="276"/>
      <c r="O142" s="276"/>
      <c r="P142" s="276"/>
      <c r="Q142" s="276"/>
      <c r="R142" s="276"/>
      <c r="S142" s="276"/>
      <c r="T142" s="276"/>
      <c r="U142" s="276"/>
      <c r="V142" s="276"/>
      <c r="W142" s="276"/>
      <c r="X142" s="276"/>
      <c r="Y142" s="276"/>
      <c r="Z142" s="276"/>
      <c r="AA142" s="276"/>
      <c r="AB142" s="276"/>
      <c r="AC142" s="276"/>
      <c r="AD142" s="276"/>
      <c r="AE142" s="276"/>
      <c r="AF142" s="276"/>
      <c r="AG142" s="276"/>
      <c r="AH142" s="276"/>
      <c r="AI142" s="276"/>
      <c r="AJ142" s="276"/>
      <c r="AK142" s="276"/>
      <c r="AL142" s="276"/>
      <c r="AM142" s="276"/>
      <c r="AN142" s="276"/>
      <c r="AO142" s="276"/>
      <c r="AP142" s="276"/>
      <c r="AQ142" s="276"/>
      <c r="AR142" s="276"/>
      <c r="AS142" s="276"/>
      <c r="AT142" s="276"/>
      <c r="AU142" s="276"/>
      <c r="AV142" s="276"/>
      <c r="AW142" s="276"/>
      <c r="AX142" s="276"/>
      <c r="AY142" s="276"/>
    </row>
    <row r="143" spans="1:51" ht="15.75" customHeight="1" x14ac:dyDescent="0.25">
      <c r="A143" s="276"/>
      <c r="B143" s="533"/>
      <c r="C143" s="353"/>
      <c r="D143" s="276"/>
      <c r="E143" s="276"/>
      <c r="F143" s="276"/>
      <c r="G143" s="276"/>
      <c r="H143" s="276"/>
      <c r="I143" s="276"/>
      <c r="J143" s="353"/>
      <c r="K143" s="276"/>
      <c r="L143" s="276"/>
      <c r="M143" s="276"/>
      <c r="N143" s="276"/>
      <c r="O143" s="276"/>
      <c r="P143" s="276"/>
      <c r="Q143" s="276"/>
      <c r="R143" s="276"/>
      <c r="S143" s="276"/>
      <c r="T143" s="276"/>
      <c r="U143" s="276"/>
      <c r="V143" s="276"/>
      <c r="W143" s="276"/>
      <c r="X143" s="276"/>
      <c r="Y143" s="276"/>
      <c r="Z143" s="276"/>
      <c r="AA143" s="276"/>
      <c r="AB143" s="276"/>
      <c r="AC143" s="276"/>
      <c r="AD143" s="276"/>
      <c r="AE143" s="276"/>
      <c r="AF143" s="276"/>
      <c r="AG143" s="276"/>
      <c r="AH143" s="276"/>
      <c r="AI143" s="276"/>
      <c r="AJ143" s="276"/>
      <c r="AK143" s="276"/>
      <c r="AL143" s="276"/>
      <c r="AM143" s="276"/>
      <c r="AN143" s="276"/>
      <c r="AO143" s="276"/>
      <c r="AP143" s="276"/>
      <c r="AQ143" s="276"/>
      <c r="AR143" s="276"/>
      <c r="AS143" s="276"/>
      <c r="AT143" s="276"/>
      <c r="AU143" s="276"/>
      <c r="AV143" s="276"/>
      <c r="AW143" s="276"/>
      <c r="AX143" s="276"/>
      <c r="AY143" s="276"/>
    </row>
    <row r="144" spans="1:51" ht="15.75" customHeight="1" x14ac:dyDescent="0.25">
      <c r="A144" s="276"/>
      <c r="B144" s="533"/>
      <c r="C144" s="353"/>
      <c r="D144" s="276"/>
      <c r="E144" s="276"/>
      <c r="F144" s="276"/>
      <c r="G144" s="276"/>
      <c r="H144" s="276"/>
      <c r="I144" s="276"/>
      <c r="J144" s="353"/>
      <c r="K144" s="276"/>
      <c r="L144" s="276"/>
      <c r="M144" s="276"/>
      <c r="N144" s="276"/>
      <c r="O144" s="276"/>
      <c r="P144" s="276"/>
      <c r="Q144" s="276"/>
      <c r="R144" s="276"/>
      <c r="S144" s="276"/>
      <c r="T144" s="276"/>
      <c r="U144" s="276"/>
      <c r="V144" s="276"/>
      <c r="W144" s="276"/>
      <c r="X144" s="276"/>
      <c r="Y144" s="276"/>
      <c r="Z144" s="276"/>
      <c r="AA144" s="276"/>
      <c r="AB144" s="276"/>
      <c r="AC144" s="276"/>
      <c r="AD144" s="276"/>
      <c r="AE144" s="276"/>
      <c r="AF144" s="276"/>
      <c r="AG144" s="276"/>
      <c r="AH144" s="276"/>
      <c r="AI144" s="276"/>
      <c r="AJ144" s="276"/>
      <c r="AK144" s="276"/>
      <c r="AL144" s="276"/>
      <c r="AM144" s="276"/>
      <c r="AN144" s="276"/>
      <c r="AO144" s="276"/>
      <c r="AP144" s="276"/>
      <c r="AQ144" s="276"/>
      <c r="AR144" s="276"/>
      <c r="AS144" s="276"/>
      <c r="AT144" s="276"/>
      <c r="AU144" s="276"/>
      <c r="AV144" s="276"/>
      <c r="AW144" s="276"/>
      <c r="AX144" s="276"/>
      <c r="AY144" s="276"/>
    </row>
    <row r="145" spans="1:51" ht="15.75" customHeight="1" x14ac:dyDescent="0.25">
      <c r="A145" s="276"/>
      <c r="B145" s="533"/>
      <c r="C145" s="353"/>
      <c r="D145" s="276"/>
      <c r="E145" s="276"/>
      <c r="F145" s="276"/>
      <c r="G145" s="276"/>
      <c r="H145" s="276"/>
      <c r="I145" s="276"/>
      <c r="J145" s="353"/>
      <c r="K145" s="276"/>
      <c r="L145" s="276"/>
      <c r="M145" s="276"/>
      <c r="N145" s="276"/>
      <c r="O145" s="276"/>
      <c r="P145" s="276"/>
      <c r="Q145" s="276"/>
      <c r="R145" s="276"/>
      <c r="S145" s="276"/>
      <c r="T145" s="276"/>
      <c r="U145" s="276"/>
      <c r="V145" s="276"/>
      <c r="W145" s="276"/>
      <c r="X145" s="276"/>
      <c r="Y145" s="276"/>
      <c r="Z145" s="276"/>
      <c r="AA145" s="276"/>
      <c r="AB145" s="276"/>
      <c r="AC145" s="276"/>
      <c r="AD145" s="276"/>
      <c r="AE145" s="276"/>
      <c r="AF145" s="276"/>
      <c r="AG145" s="276"/>
      <c r="AH145" s="276"/>
      <c r="AI145" s="276"/>
      <c r="AJ145" s="276"/>
      <c r="AK145" s="276"/>
      <c r="AL145" s="276"/>
      <c r="AM145" s="276"/>
      <c r="AN145" s="276"/>
      <c r="AO145" s="276"/>
      <c r="AP145" s="276"/>
      <c r="AQ145" s="276"/>
      <c r="AR145" s="276"/>
      <c r="AS145" s="276"/>
      <c r="AT145" s="276"/>
      <c r="AU145" s="276"/>
      <c r="AV145" s="276"/>
      <c r="AW145" s="276"/>
      <c r="AX145" s="276"/>
      <c r="AY145" s="276"/>
    </row>
    <row r="146" spans="1:51" ht="15.75" customHeight="1" x14ac:dyDescent="0.25">
      <c r="A146" s="276"/>
      <c r="B146" s="533"/>
      <c r="C146" s="353"/>
      <c r="D146" s="276"/>
      <c r="E146" s="276"/>
      <c r="F146" s="276"/>
      <c r="G146" s="276"/>
      <c r="H146" s="276"/>
      <c r="I146" s="276"/>
      <c r="J146" s="353"/>
      <c r="K146" s="276"/>
      <c r="L146" s="276"/>
      <c r="M146" s="276"/>
      <c r="N146" s="276"/>
      <c r="O146" s="276"/>
      <c r="P146" s="276"/>
      <c r="Q146" s="276"/>
      <c r="R146" s="276"/>
      <c r="S146" s="276"/>
      <c r="T146" s="276"/>
      <c r="U146" s="276"/>
      <c r="V146" s="276"/>
      <c r="W146" s="276"/>
      <c r="X146" s="276"/>
      <c r="Y146" s="276"/>
      <c r="Z146" s="276"/>
      <c r="AA146" s="276"/>
      <c r="AB146" s="276"/>
      <c r="AC146" s="276"/>
      <c r="AD146" s="276"/>
      <c r="AE146" s="276"/>
      <c r="AF146" s="276"/>
      <c r="AG146" s="276"/>
      <c r="AH146" s="276"/>
      <c r="AI146" s="276"/>
      <c r="AJ146" s="276"/>
      <c r="AK146" s="276"/>
      <c r="AL146" s="276"/>
      <c r="AM146" s="276"/>
      <c r="AN146" s="276"/>
      <c r="AO146" s="276"/>
      <c r="AP146" s="276"/>
      <c r="AQ146" s="276"/>
      <c r="AR146" s="276"/>
      <c r="AS146" s="276"/>
      <c r="AT146" s="276"/>
      <c r="AU146" s="276"/>
      <c r="AV146" s="276"/>
      <c r="AW146" s="276"/>
      <c r="AX146" s="276"/>
      <c r="AY146" s="276"/>
    </row>
    <row r="147" spans="1:51" ht="15.75" customHeight="1" x14ac:dyDescent="0.25">
      <c r="A147" s="276"/>
      <c r="B147" s="533"/>
      <c r="C147" s="353"/>
      <c r="D147" s="276"/>
      <c r="E147" s="276"/>
      <c r="F147" s="276"/>
      <c r="G147" s="276"/>
      <c r="H147" s="276"/>
      <c r="I147" s="276"/>
      <c r="J147" s="353"/>
      <c r="K147" s="276"/>
      <c r="L147" s="276"/>
      <c r="M147" s="276"/>
      <c r="N147" s="276"/>
      <c r="O147" s="276"/>
      <c r="P147" s="276"/>
      <c r="Q147" s="276"/>
      <c r="R147" s="276"/>
      <c r="S147" s="276"/>
      <c r="T147" s="276"/>
      <c r="U147" s="276"/>
      <c r="V147" s="276"/>
      <c r="W147" s="276"/>
      <c r="X147" s="276"/>
      <c r="Y147" s="276"/>
      <c r="Z147" s="276"/>
      <c r="AA147" s="276"/>
      <c r="AB147" s="276"/>
      <c r="AC147" s="276"/>
      <c r="AD147" s="276"/>
      <c r="AE147" s="276"/>
      <c r="AF147" s="276"/>
      <c r="AG147" s="276"/>
      <c r="AH147" s="276"/>
      <c r="AI147" s="276"/>
      <c r="AJ147" s="276"/>
      <c r="AK147" s="276"/>
      <c r="AL147" s="276"/>
      <c r="AM147" s="276"/>
      <c r="AN147" s="276"/>
      <c r="AO147" s="276"/>
      <c r="AP147" s="276"/>
      <c r="AQ147" s="276"/>
      <c r="AR147" s="276"/>
      <c r="AS147" s="276"/>
      <c r="AT147" s="276"/>
      <c r="AU147" s="276"/>
      <c r="AV147" s="276"/>
      <c r="AW147" s="276"/>
      <c r="AX147" s="276"/>
      <c r="AY147" s="276"/>
    </row>
    <row r="148" spans="1:51" ht="15.75" customHeight="1" x14ac:dyDescent="0.25">
      <c r="A148" s="276"/>
      <c r="B148" s="533"/>
      <c r="C148" s="353"/>
      <c r="D148" s="276"/>
      <c r="E148" s="276"/>
      <c r="F148" s="276"/>
      <c r="G148" s="276"/>
      <c r="H148" s="276"/>
      <c r="I148" s="276"/>
      <c r="J148" s="353"/>
      <c r="K148" s="276"/>
      <c r="L148" s="276"/>
      <c r="M148" s="276"/>
      <c r="N148" s="276"/>
      <c r="O148" s="276"/>
      <c r="P148" s="276"/>
      <c r="Q148" s="276"/>
      <c r="R148" s="276"/>
      <c r="S148" s="276"/>
      <c r="T148" s="276"/>
      <c r="U148" s="276"/>
      <c r="V148" s="276"/>
      <c r="W148" s="276"/>
      <c r="X148" s="276"/>
      <c r="Y148" s="276"/>
      <c r="Z148" s="276"/>
      <c r="AA148" s="276"/>
      <c r="AB148" s="276"/>
      <c r="AC148" s="276"/>
      <c r="AD148" s="276"/>
      <c r="AE148" s="276"/>
      <c r="AF148" s="276"/>
      <c r="AG148" s="276"/>
      <c r="AH148" s="276"/>
      <c r="AI148" s="276"/>
      <c r="AJ148" s="276"/>
      <c r="AK148" s="276"/>
      <c r="AL148" s="276"/>
      <c r="AM148" s="276"/>
      <c r="AN148" s="276"/>
      <c r="AO148" s="276"/>
      <c r="AP148" s="276"/>
      <c r="AQ148" s="276"/>
      <c r="AR148" s="276"/>
      <c r="AS148" s="276"/>
      <c r="AT148" s="276"/>
      <c r="AU148" s="276"/>
      <c r="AV148" s="276"/>
      <c r="AW148" s="276"/>
      <c r="AX148" s="276"/>
      <c r="AY148" s="276"/>
    </row>
    <row r="149" spans="1:51" ht="15.75" customHeight="1" x14ac:dyDescent="0.25">
      <c r="A149" s="276"/>
      <c r="B149" s="533"/>
      <c r="C149" s="353"/>
      <c r="D149" s="276"/>
      <c r="E149" s="276"/>
      <c r="F149" s="276"/>
      <c r="G149" s="276"/>
      <c r="H149" s="276"/>
      <c r="I149" s="276"/>
      <c r="J149" s="353"/>
      <c r="K149" s="276"/>
      <c r="L149" s="276"/>
      <c r="M149" s="276"/>
      <c r="N149" s="276"/>
      <c r="O149" s="276"/>
      <c r="P149" s="276"/>
      <c r="Q149" s="276"/>
      <c r="R149" s="276"/>
      <c r="S149" s="276"/>
      <c r="T149" s="276"/>
      <c r="U149" s="276"/>
      <c r="V149" s="276"/>
      <c r="W149" s="276"/>
      <c r="X149" s="276"/>
      <c r="Y149" s="276"/>
      <c r="Z149" s="276"/>
      <c r="AA149" s="276"/>
      <c r="AB149" s="276"/>
      <c r="AC149" s="276"/>
      <c r="AD149" s="276"/>
      <c r="AE149" s="276"/>
      <c r="AF149" s="276"/>
      <c r="AG149" s="276"/>
      <c r="AH149" s="276"/>
      <c r="AI149" s="276"/>
      <c r="AJ149" s="276"/>
      <c r="AK149" s="276"/>
      <c r="AL149" s="276"/>
      <c r="AM149" s="276"/>
      <c r="AN149" s="276"/>
      <c r="AO149" s="276"/>
      <c r="AP149" s="276"/>
      <c r="AQ149" s="276"/>
      <c r="AR149" s="276"/>
      <c r="AS149" s="276"/>
      <c r="AT149" s="276"/>
      <c r="AU149" s="276"/>
      <c r="AV149" s="276"/>
      <c r="AW149" s="276"/>
      <c r="AX149" s="276"/>
      <c r="AY149" s="276"/>
    </row>
    <row r="150" spans="1:51" ht="15.75" customHeight="1" x14ac:dyDescent="0.25">
      <c r="A150" s="276"/>
      <c r="B150" s="533"/>
      <c r="C150" s="353"/>
      <c r="D150" s="276"/>
      <c r="E150" s="276"/>
      <c r="F150" s="276"/>
      <c r="G150" s="276"/>
      <c r="H150" s="276"/>
      <c r="I150" s="276"/>
      <c r="J150" s="353"/>
      <c r="K150" s="276"/>
      <c r="L150" s="276"/>
      <c r="M150" s="276"/>
      <c r="N150" s="276"/>
      <c r="O150" s="276"/>
      <c r="P150" s="276"/>
      <c r="Q150" s="276"/>
      <c r="R150" s="276"/>
      <c r="S150" s="276"/>
      <c r="T150" s="276"/>
      <c r="U150" s="276"/>
      <c r="V150" s="276"/>
      <c r="W150" s="276"/>
      <c r="X150" s="276"/>
      <c r="Y150" s="276"/>
      <c r="Z150" s="276"/>
      <c r="AA150" s="276"/>
      <c r="AB150" s="276"/>
      <c r="AC150" s="276"/>
      <c r="AD150" s="276"/>
      <c r="AE150" s="276"/>
      <c r="AF150" s="276"/>
      <c r="AG150" s="276"/>
      <c r="AH150" s="276"/>
      <c r="AI150" s="276"/>
      <c r="AJ150" s="276"/>
      <c r="AK150" s="276"/>
      <c r="AL150" s="276"/>
      <c r="AM150" s="276"/>
      <c r="AN150" s="276"/>
      <c r="AO150" s="276"/>
      <c r="AP150" s="276"/>
      <c r="AQ150" s="276"/>
      <c r="AR150" s="276"/>
      <c r="AS150" s="276"/>
      <c r="AT150" s="276"/>
      <c r="AU150" s="276"/>
      <c r="AV150" s="276"/>
      <c r="AW150" s="276"/>
      <c r="AX150" s="276"/>
      <c r="AY150" s="276"/>
    </row>
    <row r="151" spans="1:51" ht="15.75" customHeight="1" x14ac:dyDescent="0.25">
      <c r="A151" s="276"/>
      <c r="B151" s="533"/>
      <c r="C151" s="353"/>
      <c r="D151" s="276"/>
      <c r="E151" s="276"/>
      <c r="F151" s="276"/>
      <c r="G151" s="276"/>
      <c r="H151" s="276"/>
      <c r="I151" s="276"/>
      <c r="J151" s="353"/>
      <c r="K151" s="276"/>
      <c r="L151" s="276"/>
      <c r="M151" s="276"/>
      <c r="N151" s="276"/>
      <c r="O151" s="276"/>
      <c r="P151" s="276"/>
      <c r="Q151" s="276"/>
      <c r="R151" s="276"/>
      <c r="S151" s="276"/>
      <c r="T151" s="276"/>
      <c r="U151" s="276"/>
      <c r="V151" s="276"/>
      <c r="W151" s="276"/>
      <c r="X151" s="276"/>
      <c r="Y151" s="276"/>
      <c r="Z151" s="276"/>
      <c r="AA151" s="276"/>
      <c r="AB151" s="276"/>
      <c r="AC151" s="276"/>
      <c r="AD151" s="276"/>
      <c r="AE151" s="276"/>
      <c r="AF151" s="276"/>
      <c r="AG151" s="276"/>
      <c r="AH151" s="276"/>
      <c r="AI151" s="276"/>
      <c r="AJ151" s="276"/>
      <c r="AK151" s="276"/>
      <c r="AL151" s="276"/>
      <c r="AM151" s="276"/>
      <c r="AN151" s="276"/>
      <c r="AO151" s="276"/>
      <c r="AP151" s="276"/>
      <c r="AQ151" s="276"/>
      <c r="AR151" s="276"/>
      <c r="AS151" s="276"/>
      <c r="AT151" s="276"/>
      <c r="AU151" s="276"/>
      <c r="AV151" s="276"/>
      <c r="AW151" s="276"/>
      <c r="AX151" s="276"/>
      <c r="AY151" s="276"/>
    </row>
    <row r="152" spans="1:51" ht="15.75" customHeight="1" x14ac:dyDescent="0.25">
      <c r="A152" s="276"/>
      <c r="B152" s="533"/>
      <c r="C152" s="353"/>
      <c r="D152" s="276"/>
      <c r="E152" s="276"/>
      <c r="F152" s="276"/>
      <c r="G152" s="276"/>
      <c r="H152" s="276"/>
      <c r="I152" s="276"/>
      <c r="J152" s="353"/>
      <c r="K152" s="276"/>
      <c r="L152" s="276"/>
      <c r="M152" s="276"/>
      <c r="N152" s="276"/>
      <c r="O152" s="276"/>
      <c r="P152" s="276"/>
      <c r="Q152" s="276"/>
      <c r="R152" s="276"/>
      <c r="S152" s="276"/>
      <c r="T152" s="276"/>
      <c r="U152" s="276"/>
      <c r="V152" s="276"/>
      <c r="W152" s="276"/>
      <c r="X152" s="276"/>
      <c r="Y152" s="276"/>
      <c r="Z152" s="276"/>
      <c r="AA152" s="276"/>
      <c r="AB152" s="276"/>
      <c r="AC152" s="276"/>
      <c r="AD152" s="276"/>
      <c r="AE152" s="276"/>
      <c r="AF152" s="276"/>
      <c r="AG152" s="276"/>
      <c r="AH152" s="276"/>
      <c r="AI152" s="276"/>
      <c r="AJ152" s="276"/>
      <c r="AK152" s="276"/>
      <c r="AL152" s="276"/>
      <c r="AM152" s="276"/>
      <c r="AN152" s="276"/>
      <c r="AO152" s="276"/>
      <c r="AP152" s="276"/>
      <c r="AQ152" s="276"/>
      <c r="AR152" s="276"/>
      <c r="AS152" s="276"/>
      <c r="AT152" s="276"/>
      <c r="AU152" s="276"/>
      <c r="AV152" s="276"/>
      <c r="AW152" s="276"/>
      <c r="AX152" s="276"/>
      <c r="AY152" s="276"/>
    </row>
    <row r="153" spans="1:51" ht="15.75" customHeight="1" x14ac:dyDescent="0.25">
      <c r="A153" s="276"/>
      <c r="B153" s="533"/>
      <c r="C153" s="353"/>
      <c r="D153" s="276"/>
      <c r="E153" s="276"/>
      <c r="F153" s="276"/>
      <c r="G153" s="276"/>
      <c r="H153" s="276"/>
      <c r="I153" s="276"/>
      <c r="J153" s="353"/>
      <c r="K153" s="276"/>
      <c r="L153" s="276"/>
      <c r="M153" s="276"/>
      <c r="N153" s="276"/>
      <c r="O153" s="276"/>
      <c r="P153" s="276"/>
      <c r="Q153" s="276"/>
      <c r="R153" s="276"/>
      <c r="S153" s="276"/>
      <c r="T153" s="276"/>
      <c r="U153" s="276"/>
      <c r="V153" s="276"/>
      <c r="W153" s="276"/>
      <c r="X153" s="276"/>
      <c r="Y153" s="276"/>
      <c r="Z153" s="276"/>
      <c r="AA153" s="276"/>
      <c r="AB153" s="276"/>
      <c r="AC153" s="276"/>
      <c r="AD153" s="276"/>
      <c r="AE153" s="276"/>
      <c r="AF153" s="276"/>
      <c r="AG153" s="276"/>
      <c r="AH153" s="276"/>
      <c r="AI153" s="276"/>
      <c r="AJ153" s="276"/>
      <c r="AK153" s="276"/>
      <c r="AL153" s="276"/>
      <c r="AM153" s="276"/>
      <c r="AN153" s="276"/>
      <c r="AO153" s="276"/>
      <c r="AP153" s="276"/>
      <c r="AQ153" s="276"/>
      <c r="AR153" s="276"/>
      <c r="AS153" s="276"/>
      <c r="AT153" s="276"/>
      <c r="AU153" s="276"/>
      <c r="AV153" s="276"/>
      <c r="AW153" s="276"/>
      <c r="AX153" s="276"/>
      <c r="AY153" s="276"/>
    </row>
    <row r="154" spans="1:51" ht="15.75" customHeight="1" x14ac:dyDescent="0.25">
      <c r="A154" s="276"/>
      <c r="B154" s="533"/>
      <c r="C154" s="353"/>
      <c r="D154" s="276"/>
      <c r="E154" s="276"/>
      <c r="F154" s="276"/>
      <c r="G154" s="276"/>
      <c r="H154" s="276"/>
      <c r="I154" s="276"/>
      <c r="J154" s="353"/>
      <c r="K154" s="276"/>
      <c r="L154" s="276"/>
      <c r="M154" s="276"/>
      <c r="N154" s="276"/>
      <c r="O154" s="276"/>
      <c r="P154" s="276"/>
      <c r="Q154" s="276"/>
      <c r="R154" s="276"/>
      <c r="S154" s="276"/>
      <c r="T154" s="276"/>
      <c r="U154" s="276"/>
      <c r="V154" s="276"/>
      <c r="W154" s="276"/>
      <c r="X154" s="276"/>
      <c r="Y154" s="276"/>
      <c r="Z154" s="276"/>
      <c r="AA154" s="276"/>
      <c r="AB154" s="276"/>
      <c r="AC154" s="276"/>
      <c r="AD154" s="276"/>
      <c r="AE154" s="276"/>
      <c r="AF154" s="276"/>
      <c r="AG154" s="276"/>
      <c r="AH154" s="276"/>
      <c r="AI154" s="276"/>
      <c r="AJ154" s="276"/>
      <c r="AK154" s="276"/>
      <c r="AL154" s="276"/>
      <c r="AM154" s="276"/>
      <c r="AN154" s="276"/>
      <c r="AO154" s="276"/>
      <c r="AP154" s="276"/>
      <c r="AQ154" s="276"/>
      <c r="AR154" s="276"/>
      <c r="AS154" s="276"/>
      <c r="AT154" s="276"/>
      <c r="AU154" s="276"/>
      <c r="AV154" s="276"/>
      <c r="AW154" s="276"/>
      <c r="AX154" s="276"/>
      <c r="AY154" s="276"/>
    </row>
    <row r="155" spans="1:51" ht="15.75" customHeight="1" x14ac:dyDescent="0.25">
      <c r="A155" s="276"/>
      <c r="B155" s="533"/>
      <c r="C155" s="353"/>
      <c r="D155" s="276"/>
      <c r="E155" s="276"/>
      <c r="F155" s="276"/>
      <c r="G155" s="276"/>
      <c r="H155" s="276"/>
      <c r="I155" s="276"/>
      <c r="J155" s="353"/>
      <c r="K155" s="276"/>
      <c r="L155" s="276"/>
      <c r="M155" s="276"/>
      <c r="N155" s="276"/>
      <c r="O155" s="276"/>
      <c r="P155" s="276"/>
      <c r="Q155" s="276"/>
      <c r="R155" s="276"/>
      <c r="S155" s="276"/>
      <c r="T155" s="276"/>
      <c r="U155" s="276"/>
      <c r="V155" s="276"/>
      <c r="W155" s="276"/>
      <c r="X155" s="276"/>
      <c r="Y155" s="276"/>
      <c r="Z155" s="276"/>
      <c r="AA155" s="276"/>
      <c r="AB155" s="276"/>
      <c r="AC155" s="276"/>
      <c r="AD155" s="276"/>
      <c r="AE155" s="276"/>
      <c r="AF155" s="276"/>
      <c r="AG155" s="276"/>
      <c r="AH155" s="276"/>
      <c r="AI155" s="276"/>
      <c r="AJ155" s="276"/>
      <c r="AK155" s="276"/>
      <c r="AL155" s="276"/>
      <c r="AM155" s="276"/>
      <c r="AN155" s="276"/>
      <c r="AO155" s="276"/>
      <c r="AP155" s="276"/>
      <c r="AQ155" s="276"/>
      <c r="AR155" s="276"/>
      <c r="AS155" s="276"/>
      <c r="AT155" s="276"/>
      <c r="AU155" s="276"/>
      <c r="AV155" s="276"/>
      <c r="AW155" s="276"/>
      <c r="AX155" s="276"/>
      <c r="AY155" s="276"/>
    </row>
    <row r="156" spans="1:51" ht="15.75" customHeight="1" x14ac:dyDescent="0.25">
      <c r="A156" s="276"/>
      <c r="B156" s="533"/>
      <c r="C156" s="353"/>
      <c r="D156" s="276"/>
      <c r="E156" s="276"/>
      <c r="F156" s="276"/>
      <c r="G156" s="276"/>
      <c r="H156" s="276"/>
      <c r="I156" s="276"/>
      <c r="J156" s="353"/>
      <c r="K156" s="276"/>
      <c r="L156" s="276"/>
      <c r="M156" s="276"/>
      <c r="N156" s="276"/>
      <c r="O156" s="276"/>
      <c r="P156" s="276"/>
      <c r="Q156" s="276"/>
      <c r="R156" s="276"/>
      <c r="S156" s="276"/>
      <c r="T156" s="276"/>
      <c r="U156" s="276"/>
      <c r="V156" s="276"/>
      <c r="W156" s="276"/>
      <c r="X156" s="276"/>
      <c r="Y156" s="276"/>
      <c r="Z156" s="276"/>
      <c r="AA156" s="276"/>
      <c r="AB156" s="276"/>
      <c r="AC156" s="276"/>
      <c r="AD156" s="276"/>
      <c r="AE156" s="276"/>
      <c r="AF156" s="276"/>
      <c r="AG156" s="276"/>
      <c r="AH156" s="276"/>
      <c r="AI156" s="276"/>
      <c r="AJ156" s="276"/>
      <c r="AK156" s="276"/>
      <c r="AL156" s="276"/>
      <c r="AM156" s="276"/>
      <c r="AN156" s="276"/>
      <c r="AO156" s="276"/>
      <c r="AP156" s="276"/>
      <c r="AQ156" s="276"/>
      <c r="AR156" s="276"/>
      <c r="AS156" s="276"/>
      <c r="AT156" s="276"/>
      <c r="AU156" s="276"/>
      <c r="AV156" s="276"/>
      <c r="AW156" s="276"/>
      <c r="AX156" s="276"/>
      <c r="AY156" s="276"/>
    </row>
    <row r="157" spans="1:51" ht="15.75" customHeight="1" x14ac:dyDescent="0.25">
      <c r="A157" s="276"/>
      <c r="B157" s="533"/>
      <c r="C157" s="353"/>
      <c r="D157" s="276"/>
      <c r="E157" s="276"/>
      <c r="F157" s="276"/>
      <c r="G157" s="276"/>
      <c r="H157" s="276"/>
      <c r="I157" s="276"/>
      <c r="J157" s="353"/>
      <c r="K157" s="276"/>
      <c r="L157" s="276"/>
      <c r="M157" s="276"/>
      <c r="N157" s="276"/>
      <c r="O157" s="276"/>
      <c r="P157" s="276"/>
      <c r="Q157" s="276"/>
      <c r="R157" s="276"/>
      <c r="S157" s="276"/>
      <c r="T157" s="276"/>
      <c r="U157" s="276"/>
      <c r="V157" s="276"/>
      <c r="W157" s="276"/>
      <c r="X157" s="276"/>
      <c r="Y157" s="276"/>
      <c r="Z157" s="276"/>
      <c r="AA157" s="276"/>
      <c r="AB157" s="276"/>
      <c r="AC157" s="276"/>
      <c r="AD157" s="276"/>
      <c r="AE157" s="276"/>
      <c r="AF157" s="276"/>
      <c r="AG157" s="276"/>
      <c r="AH157" s="276"/>
      <c r="AI157" s="276"/>
      <c r="AJ157" s="276"/>
      <c r="AK157" s="276"/>
      <c r="AL157" s="276"/>
      <c r="AM157" s="276"/>
      <c r="AN157" s="276"/>
      <c r="AO157" s="276"/>
      <c r="AP157" s="276"/>
      <c r="AQ157" s="276"/>
      <c r="AR157" s="276"/>
      <c r="AS157" s="276"/>
      <c r="AT157" s="276"/>
      <c r="AU157" s="276"/>
      <c r="AV157" s="276"/>
      <c r="AW157" s="276"/>
      <c r="AX157" s="276"/>
      <c r="AY157" s="276"/>
    </row>
    <row r="158" spans="1:51" ht="15.75" customHeight="1" x14ac:dyDescent="0.25">
      <c r="A158" s="276"/>
      <c r="B158" s="533"/>
      <c r="C158" s="353"/>
      <c r="D158" s="276"/>
      <c r="E158" s="276"/>
      <c r="F158" s="276"/>
      <c r="G158" s="276"/>
      <c r="H158" s="276"/>
      <c r="I158" s="276"/>
      <c r="J158" s="353"/>
      <c r="K158" s="276"/>
      <c r="L158" s="276"/>
      <c r="M158" s="276"/>
      <c r="N158" s="276"/>
      <c r="O158" s="276"/>
      <c r="P158" s="276"/>
      <c r="Q158" s="276"/>
      <c r="R158" s="276"/>
      <c r="S158" s="276"/>
      <c r="T158" s="276"/>
      <c r="U158" s="276"/>
      <c r="V158" s="276"/>
      <c r="W158" s="276"/>
      <c r="X158" s="276"/>
      <c r="Y158" s="276"/>
      <c r="Z158" s="276"/>
      <c r="AA158" s="276"/>
      <c r="AB158" s="276"/>
      <c r="AC158" s="276"/>
      <c r="AD158" s="276"/>
      <c r="AE158" s="276"/>
      <c r="AF158" s="276"/>
      <c r="AG158" s="276"/>
      <c r="AH158" s="276"/>
      <c r="AI158" s="276"/>
      <c r="AJ158" s="276"/>
      <c r="AK158" s="276"/>
      <c r="AL158" s="276"/>
      <c r="AM158" s="276"/>
      <c r="AN158" s="276"/>
      <c r="AO158" s="276"/>
      <c r="AP158" s="276"/>
      <c r="AQ158" s="276"/>
      <c r="AR158" s="276"/>
      <c r="AS158" s="276"/>
      <c r="AT158" s="276"/>
      <c r="AU158" s="276"/>
      <c r="AV158" s="276"/>
      <c r="AW158" s="276"/>
      <c r="AX158" s="276"/>
      <c r="AY158" s="276"/>
    </row>
    <row r="159" spans="1:51" ht="15.75" customHeight="1" x14ac:dyDescent="0.25">
      <c r="A159" s="276"/>
      <c r="B159" s="533"/>
      <c r="C159" s="353"/>
      <c r="D159" s="276"/>
      <c r="E159" s="276"/>
      <c r="F159" s="276"/>
      <c r="G159" s="276"/>
      <c r="H159" s="276"/>
      <c r="I159" s="276"/>
      <c r="J159" s="353"/>
      <c r="K159" s="276"/>
      <c r="L159" s="276"/>
      <c r="M159" s="276"/>
      <c r="N159" s="276"/>
      <c r="O159" s="276"/>
      <c r="P159" s="276"/>
      <c r="Q159" s="276"/>
      <c r="R159" s="276"/>
      <c r="S159" s="276"/>
      <c r="T159" s="276"/>
      <c r="U159" s="276"/>
      <c r="V159" s="276"/>
      <c r="W159" s="276"/>
      <c r="X159" s="276"/>
      <c r="Y159" s="276"/>
      <c r="Z159" s="276"/>
      <c r="AA159" s="276"/>
      <c r="AB159" s="276"/>
      <c r="AC159" s="276"/>
      <c r="AD159" s="276"/>
      <c r="AE159" s="276"/>
      <c r="AF159" s="276"/>
      <c r="AG159" s="276"/>
      <c r="AH159" s="276"/>
      <c r="AI159" s="276"/>
      <c r="AJ159" s="276"/>
      <c r="AK159" s="276"/>
      <c r="AL159" s="276"/>
      <c r="AM159" s="276"/>
      <c r="AN159" s="276"/>
      <c r="AO159" s="276"/>
      <c r="AP159" s="276"/>
      <c r="AQ159" s="276"/>
      <c r="AR159" s="276"/>
      <c r="AS159" s="276"/>
      <c r="AT159" s="276"/>
      <c r="AU159" s="276"/>
      <c r="AV159" s="276"/>
      <c r="AW159" s="276"/>
      <c r="AX159" s="276"/>
      <c r="AY159" s="276"/>
    </row>
    <row r="160" spans="1:51" ht="15.75" customHeight="1" x14ac:dyDescent="0.25">
      <c r="A160" s="276"/>
      <c r="B160" s="533"/>
      <c r="C160" s="353"/>
      <c r="D160" s="276"/>
      <c r="E160" s="276"/>
      <c r="F160" s="276"/>
      <c r="G160" s="276"/>
      <c r="H160" s="276"/>
      <c r="I160" s="276"/>
      <c r="J160" s="353"/>
      <c r="K160" s="276"/>
      <c r="L160" s="276"/>
      <c r="M160" s="276"/>
      <c r="N160" s="276"/>
      <c r="O160" s="276"/>
      <c r="P160" s="276"/>
      <c r="Q160" s="276"/>
      <c r="R160" s="276"/>
      <c r="S160" s="276"/>
      <c r="T160" s="276"/>
      <c r="U160" s="276"/>
      <c r="V160" s="276"/>
      <c r="W160" s="276"/>
      <c r="X160" s="276"/>
      <c r="Y160" s="276"/>
      <c r="Z160" s="276"/>
      <c r="AA160" s="276"/>
      <c r="AB160" s="276"/>
      <c r="AC160" s="276"/>
      <c r="AD160" s="276"/>
      <c r="AE160" s="276"/>
      <c r="AF160" s="276"/>
      <c r="AG160" s="276"/>
      <c r="AH160" s="276"/>
      <c r="AI160" s="276"/>
      <c r="AJ160" s="276"/>
      <c r="AK160" s="276"/>
      <c r="AL160" s="276"/>
      <c r="AM160" s="276"/>
      <c r="AN160" s="276"/>
      <c r="AO160" s="276"/>
      <c r="AP160" s="276"/>
      <c r="AQ160" s="276"/>
      <c r="AR160" s="276"/>
      <c r="AS160" s="276"/>
      <c r="AT160" s="276"/>
      <c r="AU160" s="276"/>
      <c r="AV160" s="276"/>
      <c r="AW160" s="276"/>
      <c r="AX160" s="276"/>
      <c r="AY160" s="276"/>
    </row>
    <row r="161" spans="1:51" ht="15.75" customHeight="1" x14ac:dyDescent="0.25">
      <c r="A161" s="276"/>
      <c r="B161" s="533"/>
      <c r="C161" s="353"/>
      <c r="D161" s="276"/>
      <c r="E161" s="276"/>
      <c r="F161" s="276"/>
      <c r="G161" s="276"/>
      <c r="H161" s="276"/>
      <c r="I161" s="276"/>
      <c r="J161" s="353"/>
      <c r="K161" s="276"/>
      <c r="L161" s="276"/>
      <c r="M161" s="276"/>
      <c r="N161" s="276"/>
      <c r="O161" s="276"/>
      <c r="P161" s="276"/>
      <c r="Q161" s="276"/>
      <c r="R161" s="276"/>
      <c r="S161" s="276"/>
      <c r="T161" s="276"/>
      <c r="U161" s="276"/>
      <c r="V161" s="276"/>
      <c r="W161" s="276"/>
      <c r="X161" s="276"/>
      <c r="Y161" s="276"/>
      <c r="Z161" s="276"/>
      <c r="AA161" s="276"/>
      <c r="AB161" s="276"/>
      <c r="AC161" s="276"/>
      <c r="AD161" s="276"/>
      <c r="AE161" s="276"/>
      <c r="AF161" s="276"/>
      <c r="AG161" s="276"/>
      <c r="AH161" s="276"/>
      <c r="AI161" s="276"/>
      <c r="AJ161" s="276"/>
      <c r="AK161" s="276"/>
      <c r="AL161" s="276"/>
      <c r="AM161" s="276"/>
      <c r="AN161" s="276"/>
      <c r="AO161" s="276"/>
      <c r="AP161" s="276"/>
      <c r="AQ161" s="276"/>
      <c r="AR161" s="276"/>
      <c r="AS161" s="276"/>
      <c r="AT161" s="276"/>
      <c r="AU161" s="276"/>
      <c r="AV161" s="276"/>
      <c r="AW161" s="276"/>
      <c r="AX161" s="276"/>
      <c r="AY161" s="276"/>
    </row>
    <row r="162" spans="1:51" ht="15.75" customHeight="1" x14ac:dyDescent="0.25">
      <c r="A162" s="276"/>
      <c r="B162" s="533"/>
      <c r="C162" s="353"/>
      <c r="D162" s="276"/>
      <c r="E162" s="276"/>
      <c r="F162" s="276"/>
      <c r="G162" s="276"/>
      <c r="H162" s="276"/>
      <c r="I162" s="276"/>
      <c r="J162" s="353"/>
      <c r="K162" s="276"/>
      <c r="L162" s="276"/>
      <c r="M162" s="276"/>
      <c r="N162" s="276"/>
      <c r="O162" s="276"/>
      <c r="P162" s="276"/>
      <c r="Q162" s="276"/>
      <c r="R162" s="276"/>
      <c r="S162" s="276"/>
      <c r="T162" s="276"/>
      <c r="U162" s="276"/>
      <c r="V162" s="276"/>
      <c r="W162" s="276"/>
      <c r="X162" s="276"/>
      <c r="Y162" s="276"/>
      <c r="Z162" s="276"/>
      <c r="AA162" s="276"/>
      <c r="AB162" s="276"/>
      <c r="AC162" s="276"/>
      <c r="AD162" s="276"/>
      <c r="AE162" s="276"/>
      <c r="AF162" s="276"/>
      <c r="AG162" s="276"/>
      <c r="AH162" s="276"/>
      <c r="AI162" s="276"/>
      <c r="AJ162" s="276"/>
      <c r="AK162" s="276"/>
      <c r="AL162" s="276"/>
      <c r="AM162" s="276"/>
      <c r="AN162" s="276"/>
      <c r="AO162" s="276"/>
      <c r="AP162" s="276"/>
      <c r="AQ162" s="276"/>
      <c r="AR162" s="276"/>
      <c r="AS162" s="276"/>
      <c r="AT162" s="276"/>
      <c r="AU162" s="276"/>
      <c r="AV162" s="276"/>
      <c r="AW162" s="276"/>
      <c r="AX162" s="276"/>
      <c r="AY162" s="276"/>
    </row>
    <row r="163" spans="1:51" ht="15.75" customHeight="1" x14ac:dyDescent="0.25">
      <c r="A163" s="276"/>
      <c r="B163" s="533"/>
      <c r="C163" s="353"/>
      <c r="D163" s="276"/>
      <c r="E163" s="276"/>
      <c r="F163" s="276"/>
      <c r="G163" s="276"/>
      <c r="H163" s="276"/>
      <c r="I163" s="276"/>
      <c r="J163" s="353"/>
      <c r="K163" s="276"/>
      <c r="L163" s="276"/>
      <c r="M163" s="276"/>
      <c r="N163" s="276"/>
      <c r="O163" s="276"/>
      <c r="P163" s="276"/>
      <c r="Q163" s="276"/>
      <c r="R163" s="276"/>
      <c r="S163" s="276"/>
      <c r="T163" s="276"/>
      <c r="U163" s="276"/>
      <c r="V163" s="276"/>
      <c r="W163" s="276"/>
      <c r="X163" s="276"/>
      <c r="Y163" s="276"/>
      <c r="Z163" s="276"/>
      <c r="AA163" s="276"/>
      <c r="AB163" s="276"/>
      <c r="AC163" s="276"/>
      <c r="AD163" s="276"/>
      <c r="AE163" s="276"/>
      <c r="AF163" s="276"/>
      <c r="AG163" s="276"/>
      <c r="AH163" s="276"/>
      <c r="AI163" s="276"/>
      <c r="AJ163" s="276"/>
      <c r="AK163" s="276"/>
      <c r="AL163" s="276"/>
      <c r="AM163" s="276"/>
      <c r="AN163" s="276"/>
      <c r="AO163" s="276"/>
      <c r="AP163" s="276"/>
      <c r="AQ163" s="276"/>
      <c r="AR163" s="276"/>
      <c r="AS163" s="276"/>
      <c r="AT163" s="276"/>
      <c r="AU163" s="276"/>
      <c r="AV163" s="276"/>
      <c r="AW163" s="276"/>
      <c r="AX163" s="276"/>
      <c r="AY163" s="276"/>
    </row>
    <row r="164" spans="1:51" ht="15.75" customHeight="1" x14ac:dyDescent="0.25">
      <c r="A164" s="276"/>
      <c r="B164" s="533"/>
      <c r="C164" s="353"/>
      <c r="D164" s="276"/>
      <c r="E164" s="276"/>
      <c r="F164" s="276"/>
      <c r="G164" s="276"/>
      <c r="H164" s="276"/>
      <c r="I164" s="276"/>
      <c r="J164" s="353"/>
      <c r="K164" s="276"/>
      <c r="L164" s="276"/>
      <c r="M164" s="276"/>
      <c r="N164" s="276"/>
      <c r="O164" s="276"/>
      <c r="P164" s="276"/>
      <c r="Q164" s="276"/>
      <c r="R164" s="276"/>
      <c r="S164" s="276"/>
      <c r="T164" s="276"/>
      <c r="U164" s="276"/>
      <c r="V164" s="276"/>
      <c r="W164" s="276"/>
      <c r="X164" s="276"/>
      <c r="Y164" s="276"/>
      <c r="Z164" s="276"/>
      <c r="AA164" s="276"/>
      <c r="AB164" s="276"/>
      <c r="AC164" s="276"/>
      <c r="AD164" s="276"/>
      <c r="AE164" s="276"/>
      <c r="AF164" s="276"/>
      <c r="AG164" s="276"/>
      <c r="AH164" s="276"/>
      <c r="AI164" s="276"/>
      <c r="AJ164" s="276"/>
      <c r="AK164" s="276"/>
      <c r="AL164" s="276"/>
      <c r="AM164" s="276"/>
      <c r="AN164" s="276"/>
      <c r="AO164" s="276"/>
      <c r="AP164" s="276"/>
      <c r="AQ164" s="276"/>
      <c r="AR164" s="276"/>
      <c r="AS164" s="276"/>
      <c r="AT164" s="276"/>
      <c r="AU164" s="276"/>
      <c r="AV164" s="276"/>
      <c r="AW164" s="276"/>
      <c r="AX164" s="276"/>
      <c r="AY164" s="276"/>
    </row>
    <row r="165" spans="1:51" ht="15.75" customHeight="1" x14ac:dyDescent="0.25">
      <c r="A165" s="276"/>
      <c r="B165" s="533"/>
      <c r="C165" s="353"/>
      <c r="D165" s="276"/>
      <c r="E165" s="276"/>
      <c r="F165" s="276"/>
      <c r="G165" s="276"/>
      <c r="H165" s="276"/>
      <c r="I165" s="276"/>
      <c r="J165" s="353"/>
      <c r="K165" s="276"/>
      <c r="L165" s="276"/>
      <c r="M165" s="276"/>
      <c r="N165" s="276"/>
      <c r="O165" s="276"/>
      <c r="P165" s="276"/>
      <c r="Q165" s="276"/>
      <c r="R165" s="276"/>
      <c r="S165" s="276"/>
      <c r="T165" s="276"/>
      <c r="U165" s="276"/>
      <c r="V165" s="276"/>
      <c r="W165" s="276"/>
      <c r="X165" s="276"/>
      <c r="Y165" s="276"/>
      <c r="Z165" s="276"/>
      <c r="AA165" s="276"/>
      <c r="AB165" s="276"/>
      <c r="AC165" s="276"/>
      <c r="AD165" s="276"/>
      <c r="AE165" s="276"/>
      <c r="AF165" s="276"/>
      <c r="AG165" s="276"/>
      <c r="AH165" s="276"/>
      <c r="AI165" s="276"/>
      <c r="AJ165" s="276"/>
      <c r="AK165" s="276"/>
      <c r="AL165" s="276"/>
      <c r="AM165" s="276"/>
      <c r="AN165" s="276"/>
      <c r="AO165" s="276"/>
      <c r="AP165" s="276"/>
      <c r="AQ165" s="276"/>
      <c r="AR165" s="276"/>
      <c r="AS165" s="276"/>
      <c r="AT165" s="276"/>
      <c r="AU165" s="276"/>
      <c r="AV165" s="276"/>
      <c r="AW165" s="276"/>
      <c r="AX165" s="276"/>
      <c r="AY165" s="276"/>
    </row>
    <row r="166" spans="1:51" ht="15.75" customHeight="1" x14ac:dyDescent="0.25">
      <c r="A166" s="276"/>
      <c r="B166" s="533"/>
      <c r="C166" s="353"/>
      <c r="D166" s="276"/>
      <c r="E166" s="276"/>
      <c r="F166" s="276"/>
      <c r="G166" s="276"/>
      <c r="H166" s="276"/>
      <c r="I166" s="276"/>
      <c r="J166" s="353"/>
      <c r="K166" s="276"/>
      <c r="L166" s="276"/>
      <c r="M166" s="276"/>
      <c r="N166" s="276"/>
      <c r="O166" s="276"/>
      <c r="P166" s="276"/>
      <c r="Q166" s="276"/>
      <c r="R166" s="276"/>
      <c r="S166" s="276"/>
      <c r="T166" s="276"/>
      <c r="U166" s="276"/>
      <c r="V166" s="276"/>
      <c r="W166" s="276"/>
      <c r="X166" s="276"/>
      <c r="Y166" s="276"/>
      <c r="Z166" s="276"/>
      <c r="AA166" s="276"/>
      <c r="AB166" s="276"/>
      <c r="AC166" s="276"/>
      <c r="AD166" s="276"/>
      <c r="AE166" s="276"/>
      <c r="AF166" s="276"/>
      <c r="AG166" s="276"/>
      <c r="AH166" s="276"/>
      <c r="AI166" s="276"/>
      <c r="AJ166" s="276"/>
      <c r="AK166" s="276"/>
      <c r="AL166" s="276"/>
      <c r="AM166" s="276"/>
      <c r="AN166" s="276"/>
      <c r="AO166" s="276"/>
      <c r="AP166" s="276"/>
      <c r="AQ166" s="276"/>
      <c r="AR166" s="276"/>
      <c r="AS166" s="276"/>
      <c r="AT166" s="276"/>
      <c r="AU166" s="276"/>
      <c r="AV166" s="276"/>
      <c r="AW166" s="276"/>
      <c r="AX166" s="276"/>
      <c r="AY166" s="276"/>
    </row>
    <row r="167" spans="1:51" ht="15.75" customHeight="1" x14ac:dyDescent="0.25">
      <c r="A167" s="276"/>
      <c r="B167" s="533"/>
      <c r="C167" s="353"/>
      <c r="D167" s="276"/>
      <c r="E167" s="276"/>
      <c r="F167" s="276"/>
      <c r="G167" s="276"/>
      <c r="H167" s="276"/>
      <c r="I167" s="276"/>
      <c r="J167" s="353"/>
      <c r="K167" s="276"/>
      <c r="L167" s="276"/>
      <c r="M167" s="276"/>
      <c r="N167" s="276"/>
      <c r="O167" s="276"/>
      <c r="P167" s="276"/>
      <c r="Q167" s="276"/>
      <c r="R167" s="276"/>
      <c r="S167" s="276"/>
      <c r="T167" s="276"/>
      <c r="U167" s="276"/>
      <c r="V167" s="276"/>
      <c r="W167" s="276"/>
      <c r="X167" s="276"/>
      <c r="Y167" s="276"/>
      <c r="Z167" s="276"/>
      <c r="AA167" s="276"/>
      <c r="AB167" s="276"/>
      <c r="AC167" s="276"/>
      <c r="AD167" s="276"/>
      <c r="AE167" s="276"/>
      <c r="AF167" s="276"/>
      <c r="AG167" s="276"/>
      <c r="AH167" s="276"/>
      <c r="AI167" s="276"/>
      <c r="AJ167" s="276"/>
      <c r="AK167" s="276"/>
      <c r="AL167" s="276"/>
      <c r="AM167" s="276"/>
      <c r="AN167" s="276"/>
      <c r="AO167" s="276"/>
      <c r="AP167" s="276"/>
      <c r="AQ167" s="276"/>
      <c r="AR167" s="276"/>
      <c r="AS167" s="276"/>
      <c r="AT167" s="276"/>
      <c r="AU167" s="276"/>
      <c r="AV167" s="276"/>
      <c r="AW167" s="276"/>
      <c r="AX167" s="276"/>
      <c r="AY167" s="276"/>
    </row>
    <row r="168" spans="1:51" ht="15.75" customHeight="1" x14ac:dyDescent="0.25">
      <c r="A168" s="276"/>
      <c r="B168" s="533"/>
      <c r="C168" s="353"/>
      <c r="D168" s="276"/>
      <c r="E168" s="276"/>
      <c r="F168" s="276"/>
      <c r="G168" s="276"/>
      <c r="H168" s="276"/>
      <c r="I168" s="276"/>
      <c r="J168" s="353"/>
      <c r="K168" s="276"/>
      <c r="L168" s="276"/>
      <c r="M168" s="276"/>
      <c r="N168" s="276"/>
      <c r="O168" s="276"/>
      <c r="P168" s="276"/>
      <c r="Q168" s="276"/>
      <c r="R168" s="276"/>
      <c r="S168" s="276"/>
      <c r="T168" s="276"/>
      <c r="U168" s="276"/>
      <c r="V168" s="276"/>
      <c r="W168" s="276"/>
      <c r="X168" s="276"/>
      <c r="Y168" s="276"/>
      <c r="Z168" s="276"/>
      <c r="AA168" s="276"/>
      <c r="AB168" s="276"/>
      <c r="AC168" s="276"/>
      <c r="AD168" s="276"/>
      <c r="AE168" s="276"/>
      <c r="AF168" s="276"/>
      <c r="AG168" s="276"/>
      <c r="AH168" s="276"/>
      <c r="AI168" s="276"/>
      <c r="AJ168" s="276"/>
      <c r="AK168" s="276"/>
      <c r="AL168" s="276"/>
      <c r="AM168" s="276"/>
      <c r="AN168" s="276"/>
      <c r="AO168" s="276"/>
      <c r="AP168" s="276"/>
      <c r="AQ168" s="276"/>
      <c r="AR168" s="276"/>
      <c r="AS168" s="276"/>
      <c r="AT168" s="276"/>
      <c r="AU168" s="276"/>
      <c r="AV168" s="276"/>
      <c r="AW168" s="276"/>
      <c r="AX168" s="276"/>
      <c r="AY168" s="276"/>
    </row>
    <row r="169" spans="1:51" ht="15.75" customHeight="1" x14ac:dyDescent="0.25">
      <c r="A169" s="276"/>
      <c r="B169" s="533"/>
      <c r="C169" s="353"/>
      <c r="D169" s="276"/>
      <c r="E169" s="276"/>
      <c r="F169" s="276"/>
      <c r="G169" s="276"/>
      <c r="H169" s="276"/>
      <c r="I169" s="276"/>
      <c r="J169" s="353"/>
      <c r="K169" s="276"/>
      <c r="L169" s="276"/>
      <c r="M169" s="276"/>
      <c r="N169" s="276"/>
      <c r="O169" s="276"/>
      <c r="P169" s="276"/>
      <c r="Q169" s="276"/>
      <c r="R169" s="276"/>
      <c r="S169" s="276"/>
      <c r="T169" s="276"/>
      <c r="U169" s="276"/>
      <c r="V169" s="276"/>
      <c r="W169" s="276"/>
      <c r="X169" s="276"/>
      <c r="Y169" s="276"/>
      <c r="Z169" s="276"/>
      <c r="AA169" s="276"/>
      <c r="AB169" s="276"/>
      <c r="AC169" s="276"/>
      <c r="AD169" s="276"/>
      <c r="AE169" s="276"/>
      <c r="AF169" s="276"/>
      <c r="AG169" s="276"/>
      <c r="AH169" s="276"/>
      <c r="AI169" s="276"/>
      <c r="AJ169" s="276"/>
      <c r="AK169" s="276"/>
      <c r="AL169" s="276"/>
      <c r="AM169" s="276"/>
      <c r="AN169" s="276"/>
      <c r="AO169" s="276"/>
      <c r="AP169" s="276"/>
      <c r="AQ169" s="276"/>
      <c r="AR169" s="276"/>
      <c r="AS169" s="276"/>
      <c r="AT169" s="276"/>
      <c r="AU169" s="276"/>
      <c r="AV169" s="276"/>
      <c r="AW169" s="276"/>
      <c r="AX169" s="276"/>
      <c r="AY169" s="276"/>
    </row>
    <row r="170" spans="1:51" ht="15.75" customHeight="1" x14ac:dyDescent="0.25">
      <c r="A170" s="276"/>
      <c r="B170" s="533"/>
      <c r="C170" s="353"/>
      <c r="D170" s="276"/>
      <c r="E170" s="276"/>
      <c r="F170" s="276"/>
      <c r="G170" s="276"/>
      <c r="H170" s="276"/>
      <c r="I170" s="276"/>
      <c r="J170" s="353"/>
      <c r="K170" s="276"/>
      <c r="L170" s="276"/>
      <c r="M170" s="276"/>
      <c r="N170" s="276"/>
      <c r="O170" s="276"/>
      <c r="P170" s="276"/>
      <c r="Q170" s="276"/>
      <c r="R170" s="276"/>
      <c r="S170" s="276"/>
      <c r="T170" s="276"/>
      <c r="U170" s="276"/>
      <c r="V170" s="276"/>
      <c r="W170" s="276"/>
      <c r="X170" s="276"/>
      <c r="Y170" s="276"/>
      <c r="Z170" s="276"/>
      <c r="AA170" s="276"/>
      <c r="AB170" s="276"/>
      <c r="AC170" s="276"/>
      <c r="AD170" s="276"/>
      <c r="AE170" s="276"/>
      <c r="AF170" s="276"/>
      <c r="AG170" s="276"/>
      <c r="AH170" s="276"/>
      <c r="AI170" s="276"/>
      <c r="AJ170" s="276"/>
      <c r="AK170" s="276"/>
      <c r="AL170" s="276"/>
      <c r="AM170" s="276"/>
      <c r="AN170" s="276"/>
      <c r="AO170" s="276"/>
      <c r="AP170" s="276"/>
      <c r="AQ170" s="276"/>
      <c r="AR170" s="276"/>
      <c r="AS170" s="276"/>
      <c r="AT170" s="276"/>
      <c r="AU170" s="276"/>
      <c r="AV170" s="276"/>
      <c r="AW170" s="276"/>
      <c r="AX170" s="276"/>
      <c r="AY170" s="276"/>
    </row>
    <row r="171" spans="1:51" ht="15.75" customHeight="1" x14ac:dyDescent="0.25">
      <c r="A171" s="276"/>
      <c r="B171" s="533"/>
      <c r="C171" s="353"/>
      <c r="D171" s="276"/>
      <c r="E171" s="276"/>
      <c r="F171" s="276"/>
      <c r="G171" s="276"/>
      <c r="H171" s="276"/>
      <c r="I171" s="276"/>
      <c r="J171" s="353"/>
      <c r="K171" s="276"/>
      <c r="L171" s="276"/>
      <c r="M171" s="276"/>
      <c r="N171" s="276"/>
      <c r="O171" s="276"/>
      <c r="P171" s="276"/>
      <c r="Q171" s="276"/>
      <c r="R171" s="276"/>
      <c r="S171" s="276"/>
      <c r="T171" s="276"/>
      <c r="U171" s="276"/>
      <c r="V171" s="276"/>
      <c r="W171" s="276"/>
      <c r="X171" s="276"/>
      <c r="Y171" s="276"/>
      <c r="Z171" s="276"/>
      <c r="AA171" s="276"/>
      <c r="AB171" s="276"/>
      <c r="AC171" s="276"/>
      <c r="AD171" s="276"/>
      <c r="AE171" s="276"/>
      <c r="AF171" s="276"/>
      <c r="AG171" s="276"/>
      <c r="AH171" s="276"/>
      <c r="AI171" s="276"/>
      <c r="AJ171" s="276"/>
      <c r="AK171" s="276"/>
      <c r="AL171" s="276"/>
      <c r="AM171" s="276"/>
      <c r="AN171" s="276"/>
      <c r="AO171" s="276"/>
      <c r="AP171" s="276"/>
      <c r="AQ171" s="276"/>
      <c r="AR171" s="276"/>
      <c r="AS171" s="276"/>
      <c r="AT171" s="276"/>
      <c r="AU171" s="276"/>
      <c r="AV171" s="276"/>
      <c r="AW171" s="276"/>
      <c r="AX171" s="276"/>
      <c r="AY171" s="276"/>
    </row>
    <row r="172" spans="1:51" ht="15.75" customHeight="1" x14ac:dyDescent="0.25">
      <c r="A172" s="276"/>
      <c r="B172" s="533"/>
      <c r="C172" s="353"/>
      <c r="D172" s="276"/>
      <c r="E172" s="276"/>
      <c r="F172" s="276"/>
      <c r="G172" s="276"/>
      <c r="H172" s="276"/>
      <c r="I172" s="276"/>
      <c r="J172" s="353"/>
      <c r="K172" s="276"/>
      <c r="L172" s="276"/>
      <c r="M172" s="276"/>
      <c r="N172" s="276"/>
      <c r="O172" s="276"/>
      <c r="P172" s="276"/>
      <c r="Q172" s="276"/>
      <c r="R172" s="276"/>
      <c r="S172" s="276"/>
      <c r="T172" s="276"/>
      <c r="U172" s="276"/>
      <c r="V172" s="276"/>
      <c r="W172" s="276"/>
      <c r="X172" s="276"/>
      <c r="Y172" s="276"/>
      <c r="Z172" s="276"/>
      <c r="AA172" s="276"/>
      <c r="AB172" s="276"/>
      <c r="AC172" s="276"/>
      <c r="AD172" s="276"/>
      <c r="AE172" s="276"/>
      <c r="AF172" s="276"/>
      <c r="AG172" s="276"/>
      <c r="AH172" s="276"/>
      <c r="AI172" s="276"/>
      <c r="AJ172" s="276"/>
      <c r="AK172" s="276"/>
      <c r="AL172" s="276"/>
      <c r="AM172" s="276"/>
      <c r="AN172" s="276"/>
      <c r="AO172" s="276"/>
      <c r="AP172" s="276"/>
      <c r="AQ172" s="276"/>
      <c r="AR172" s="276"/>
      <c r="AS172" s="276"/>
      <c r="AT172" s="276"/>
      <c r="AU172" s="276"/>
      <c r="AV172" s="276"/>
      <c r="AW172" s="276"/>
      <c r="AX172" s="276"/>
      <c r="AY172" s="276"/>
    </row>
    <row r="173" spans="1:51" ht="15.75" customHeight="1" x14ac:dyDescent="0.25">
      <c r="A173" s="276"/>
      <c r="B173" s="533"/>
      <c r="C173" s="353"/>
      <c r="D173" s="276"/>
      <c r="E173" s="276"/>
      <c r="F173" s="276"/>
      <c r="G173" s="276"/>
      <c r="H173" s="276"/>
      <c r="I173" s="276"/>
      <c r="J173" s="353"/>
      <c r="K173" s="276"/>
      <c r="L173" s="276"/>
      <c r="M173" s="276"/>
      <c r="N173" s="276"/>
      <c r="O173" s="276"/>
      <c r="P173" s="276"/>
      <c r="Q173" s="276"/>
      <c r="R173" s="276"/>
      <c r="S173" s="276"/>
      <c r="T173" s="276"/>
      <c r="U173" s="276"/>
      <c r="V173" s="276"/>
      <c r="W173" s="276"/>
      <c r="X173" s="276"/>
      <c r="Y173" s="276"/>
      <c r="Z173" s="276"/>
      <c r="AA173" s="276"/>
      <c r="AB173" s="276"/>
      <c r="AC173" s="276"/>
      <c r="AD173" s="276"/>
      <c r="AE173" s="276"/>
      <c r="AF173" s="276"/>
      <c r="AG173" s="276"/>
      <c r="AH173" s="276"/>
      <c r="AI173" s="276"/>
      <c r="AJ173" s="276"/>
      <c r="AK173" s="276"/>
      <c r="AL173" s="276"/>
      <c r="AM173" s="276"/>
      <c r="AN173" s="276"/>
      <c r="AO173" s="276"/>
      <c r="AP173" s="276"/>
      <c r="AQ173" s="276"/>
      <c r="AR173" s="276"/>
      <c r="AS173" s="276"/>
      <c r="AT173" s="276"/>
      <c r="AU173" s="276"/>
      <c r="AV173" s="276"/>
      <c r="AW173" s="276"/>
      <c r="AX173" s="276"/>
      <c r="AY173" s="276"/>
    </row>
    <row r="174" spans="1:51" ht="15.75" customHeight="1" x14ac:dyDescent="0.25">
      <c r="A174" s="276"/>
      <c r="B174" s="533"/>
      <c r="C174" s="353"/>
      <c r="D174" s="276"/>
      <c r="E174" s="276"/>
      <c r="F174" s="276"/>
      <c r="G174" s="276"/>
      <c r="H174" s="276"/>
      <c r="I174" s="276"/>
      <c r="J174" s="353"/>
      <c r="K174" s="276"/>
      <c r="L174" s="276"/>
      <c r="M174" s="276"/>
      <c r="N174" s="276"/>
      <c r="O174" s="276"/>
      <c r="P174" s="276"/>
      <c r="Q174" s="276"/>
      <c r="R174" s="276"/>
      <c r="S174" s="276"/>
      <c r="T174" s="276"/>
      <c r="U174" s="276"/>
      <c r="V174" s="276"/>
      <c r="W174" s="276"/>
      <c r="X174" s="276"/>
      <c r="Y174" s="276"/>
      <c r="Z174" s="276"/>
      <c r="AA174" s="276"/>
      <c r="AB174" s="276"/>
      <c r="AC174" s="276"/>
      <c r="AD174" s="276"/>
      <c r="AE174" s="276"/>
      <c r="AF174" s="276"/>
      <c r="AG174" s="276"/>
      <c r="AH174" s="276"/>
      <c r="AI174" s="276"/>
      <c r="AJ174" s="276"/>
      <c r="AK174" s="276"/>
      <c r="AL174" s="276"/>
      <c r="AM174" s="276"/>
      <c r="AN174" s="276"/>
      <c r="AO174" s="276"/>
      <c r="AP174" s="276"/>
      <c r="AQ174" s="276"/>
      <c r="AR174" s="276"/>
      <c r="AS174" s="276"/>
      <c r="AT174" s="276"/>
      <c r="AU174" s="276"/>
      <c r="AV174" s="276"/>
      <c r="AW174" s="276"/>
      <c r="AX174" s="276"/>
      <c r="AY174" s="276"/>
    </row>
    <row r="175" spans="1:51" ht="15.75" customHeight="1" x14ac:dyDescent="0.25">
      <c r="A175" s="276"/>
      <c r="B175" s="533"/>
      <c r="C175" s="353"/>
      <c r="D175" s="276"/>
      <c r="E175" s="276"/>
      <c r="F175" s="276"/>
      <c r="G175" s="276"/>
      <c r="H175" s="276"/>
      <c r="I175" s="276"/>
      <c r="J175" s="353"/>
      <c r="K175" s="276"/>
      <c r="L175" s="276"/>
      <c r="M175" s="276"/>
      <c r="N175" s="276"/>
      <c r="O175" s="276"/>
      <c r="P175" s="276"/>
      <c r="Q175" s="276"/>
      <c r="R175" s="276"/>
      <c r="S175" s="276"/>
      <c r="T175" s="276"/>
      <c r="U175" s="276"/>
      <c r="V175" s="276"/>
      <c r="W175" s="276"/>
      <c r="X175" s="276"/>
      <c r="Y175" s="276"/>
      <c r="Z175" s="276"/>
      <c r="AA175" s="276"/>
      <c r="AB175" s="276"/>
      <c r="AC175" s="276"/>
      <c r="AD175" s="276"/>
      <c r="AE175" s="276"/>
      <c r="AF175" s="276"/>
      <c r="AG175" s="276"/>
      <c r="AH175" s="276"/>
      <c r="AI175" s="276"/>
      <c r="AJ175" s="276"/>
      <c r="AK175" s="276"/>
      <c r="AL175" s="276"/>
      <c r="AM175" s="276"/>
      <c r="AN175" s="276"/>
      <c r="AO175" s="276"/>
      <c r="AP175" s="276"/>
      <c r="AQ175" s="276"/>
      <c r="AR175" s="276"/>
      <c r="AS175" s="276"/>
      <c r="AT175" s="276"/>
      <c r="AU175" s="276"/>
      <c r="AV175" s="276"/>
      <c r="AW175" s="276"/>
      <c r="AX175" s="276"/>
      <c r="AY175" s="276"/>
    </row>
    <row r="176" spans="1:51" ht="15.75" customHeight="1" x14ac:dyDescent="0.25">
      <c r="A176" s="276"/>
      <c r="B176" s="533"/>
      <c r="C176" s="353"/>
      <c r="D176" s="276"/>
      <c r="E176" s="276"/>
      <c r="F176" s="276"/>
      <c r="G176" s="276"/>
      <c r="H176" s="276"/>
      <c r="I176" s="276"/>
      <c r="J176" s="353"/>
      <c r="K176" s="276"/>
      <c r="L176" s="276"/>
      <c r="M176" s="276"/>
      <c r="N176" s="276"/>
      <c r="O176" s="276"/>
      <c r="P176" s="276"/>
      <c r="Q176" s="276"/>
      <c r="R176" s="276"/>
      <c r="S176" s="276"/>
      <c r="T176" s="276"/>
      <c r="U176" s="276"/>
      <c r="V176" s="276"/>
      <c r="W176" s="276"/>
      <c r="X176" s="276"/>
      <c r="Y176" s="276"/>
      <c r="Z176" s="276"/>
      <c r="AA176" s="276"/>
      <c r="AB176" s="276"/>
      <c r="AC176" s="276"/>
      <c r="AD176" s="276"/>
      <c r="AE176" s="276"/>
      <c r="AF176" s="276"/>
      <c r="AG176" s="276"/>
      <c r="AH176" s="276"/>
      <c r="AI176" s="276"/>
      <c r="AJ176" s="276"/>
      <c r="AK176" s="276"/>
      <c r="AL176" s="276"/>
      <c r="AM176" s="276"/>
      <c r="AN176" s="276"/>
      <c r="AO176" s="276"/>
      <c r="AP176" s="276"/>
      <c r="AQ176" s="276"/>
      <c r="AR176" s="276"/>
      <c r="AS176" s="276"/>
      <c r="AT176" s="276"/>
      <c r="AU176" s="276"/>
      <c r="AV176" s="276"/>
      <c r="AW176" s="276"/>
      <c r="AX176" s="276"/>
      <c r="AY176" s="276"/>
    </row>
    <row r="177" spans="1:51" ht="15.75" customHeight="1" x14ac:dyDescent="0.25">
      <c r="A177" s="276"/>
      <c r="B177" s="533"/>
      <c r="C177" s="353"/>
      <c r="D177" s="276"/>
      <c r="E177" s="276"/>
      <c r="F177" s="276"/>
      <c r="G177" s="276"/>
      <c r="H177" s="276"/>
      <c r="I177" s="276"/>
      <c r="J177" s="353"/>
      <c r="K177" s="276"/>
      <c r="L177" s="276"/>
      <c r="M177" s="276"/>
      <c r="N177" s="276"/>
      <c r="O177" s="276"/>
      <c r="P177" s="276"/>
      <c r="Q177" s="276"/>
      <c r="R177" s="276"/>
      <c r="S177" s="276"/>
      <c r="T177" s="276"/>
      <c r="U177" s="276"/>
      <c r="V177" s="276"/>
      <c r="W177" s="276"/>
      <c r="X177" s="276"/>
      <c r="Y177" s="276"/>
      <c r="Z177" s="276"/>
      <c r="AA177" s="276"/>
      <c r="AB177" s="276"/>
      <c r="AC177" s="276"/>
      <c r="AD177" s="276"/>
      <c r="AE177" s="276"/>
      <c r="AF177" s="276"/>
      <c r="AG177" s="276"/>
      <c r="AH177" s="276"/>
      <c r="AI177" s="276"/>
      <c r="AJ177" s="276"/>
      <c r="AK177" s="276"/>
      <c r="AL177" s="276"/>
      <c r="AM177" s="276"/>
      <c r="AN177" s="276"/>
      <c r="AO177" s="276"/>
      <c r="AP177" s="276"/>
      <c r="AQ177" s="276"/>
      <c r="AR177" s="276"/>
      <c r="AS177" s="276"/>
      <c r="AT177" s="276"/>
      <c r="AU177" s="276"/>
      <c r="AV177" s="276"/>
      <c r="AW177" s="276"/>
      <c r="AX177" s="276"/>
      <c r="AY177" s="276"/>
    </row>
    <row r="178" spans="1:51" ht="15.75" customHeight="1" x14ac:dyDescent="0.25">
      <c r="A178" s="276"/>
      <c r="B178" s="533"/>
      <c r="C178" s="353"/>
      <c r="D178" s="276"/>
      <c r="E178" s="276"/>
      <c r="F178" s="276"/>
      <c r="G178" s="276"/>
      <c r="H178" s="276"/>
      <c r="I178" s="276"/>
      <c r="J178" s="353"/>
      <c r="K178" s="276"/>
      <c r="L178" s="276"/>
      <c r="M178" s="276"/>
      <c r="N178" s="276"/>
      <c r="O178" s="276"/>
      <c r="P178" s="276"/>
      <c r="Q178" s="276"/>
      <c r="R178" s="276"/>
      <c r="S178" s="276"/>
      <c r="T178" s="276"/>
      <c r="U178" s="276"/>
      <c r="V178" s="276"/>
      <c r="W178" s="276"/>
      <c r="X178" s="276"/>
      <c r="Y178" s="276"/>
      <c r="Z178" s="276"/>
      <c r="AA178" s="276"/>
      <c r="AB178" s="276"/>
      <c r="AC178" s="276"/>
      <c r="AD178" s="276"/>
      <c r="AE178" s="276"/>
      <c r="AF178" s="276"/>
      <c r="AG178" s="276"/>
      <c r="AH178" s="276"/>
      <c r="AI178" s="276"/>
      <c r="AJ178" s="276"/>
      <c r="AK178" s="276"/>
      <c r="AL178" s="276"/>
      <c r="AM178" s="276"/>
      <c r="AN178" s="276"/>
      <c r="AO178" s="276"/>
      <c r="AP178" s="276"/>
      <c r="AQ178" s="276"/>
      <c r="AR178" s="276"/>
      <c r="AS178" s="276"/>
      <c r="AT178" s="276"/>
      <c r="AU178" s="276"/>
      <c r="AV178" s="276"/>
      <c r="AW178" s="276"/>
      <c r="AX178" s="276"/>
      <c r="AY178" s="276"/>
    </row>
    <row r="179" spans="1:51" ht="15.75" customHeight="1" x14ac:dyDescent="0.25">
      <c r="A179" s="276"/>
      <c r="B179" s="533"/>
      <c r="C179" s="353"/>
      <c r="D179" s="276"/>
      <c r="E179" s="276"/>
      <c r="F179" s="276"/>
      <c r="G179" s="276"/>
      <c r="H179" s="276"/>
      <c r="I179" s="276"/>
      <c r="J179" s="353"/>
      <c r="K179" s="276"/>
      <c r="L179" s="276"/>
      <c r="M179" s="276"/>
      <c r="N179" s="276"/>
      <c r="O179" s="276"/>
      <c r="P179" s="276"/>
      <c r="Q179" s="276"/>
      <c r="R179" s="276"/>
      <c r="S179" s="276"/>
      <c r="T179" s="276"/>
      <c r="U179" s="276"/>
      <c r="V179" s="276"/>
      <c r="W179" s="276"/>
      <c r="X179" s="276"/>
      <c r="Y179" s="276"/>
      <c r="Z179" s="276"/>
      <c r="AA179" s="276"/>
      <c r="AB179" s="276"/>
      <c r="AC179" s="276"/>
      <c r="AD179" s="276"/>
      <c r="AE179" s="276"/>
      <c r="AF179" s="276"/>
      <c r="AG179" s="276"/>
      <c r="AH179" s="276"/>
      <c r="AI179" s="276"/>
      <c r="AJ179" s="276"/>
      <c r="AK179" s="276"/>
      <c r="AL179" s="276"/>
      <c r="AM179" s="276"/>
      <c r="AN179" s="276"/>
      <c r="AO179" s="276"/>
      <c r="AP179" s="276"/>
      <c r="AQ179" s="276"/>
      <c r="AR179" s="276"/>
      <c r="AS179" s="276"/>
      <c r="AT179" s="276"/>
      <c r="AU179" s="276"/>
      <c r="AV179" s="276"/>
      <c r="AW179" s="276"/>
      <c r="AX179" s="276"/>
      <c r="AY179" s="276"/>
    </row>
    <row r="180" spans="1:51" ht="15.75" customHeight="1" x14ac:dyDescent="0.25">
      <c r="A180" s="276"/>
      <c r="B180" s="533"/>
      <c r="C180" s="353"/>
      <c r="D180" s="276"/>
      <c r="E180" s="276"/>
      <c r="F180" s="276"/>
      <c r="G180" s="276"/>
      <c r="H180" s="276"/>
      <c r="I180" s="276"/>
      <c r="J180" s="353"/>
      <c r="K180" s="276"/>
      <c r="L180" s="276"/>
      <c r="M180" s="276"/>
      <c r="N180" s="276"/>
      <c r="O180" s="276"/>
      <c r="P180" s="276"/>
      <c r="Q180" s="276"/>
      <c r="R180" s="276"/>
      <c r="S180" s="276"/>
      <c r="T180" s="276"/>
      <c r="U180" s="276"/>
      <c r="V180" s="276"/>
      <c r="W180" s="276"/>
      <c r="X180" s="276"/>
      <c r="Y180" s="276"/>
      <c r="Z180" s="276"/>
      <c r="AA180" s="276"/>
      <c r="AB180" s="276"/>
      <c r="AC180" s="276"/>
      <c r="AD180" s="276"/>
      <c r="AE180" s="276"/>
      <c r="AF180" s="276"/>
      <c r="AG180" s="276"/>
      <c r="AH180" s="276"/>
      <c r="AI180" s="276"/>
      <c r="AJ180" s="276"/>
      <c r="AK180" s="276"/>
      <c r="AL180" s="276"/>
      <c r="AM180" s="276"/>
      <c r="AN180" s="276"/>
      <c r="AO180" s="276"/>
      <c r="AP180" s="276"/>
      <c r="AQ180" s="276"/>
      <c r="AR180" s="276"/>
      <c r="AS180" s="276"/>
      <c r="AT180" s="276"/>
      <c r="AU180" s="276"/>
      <c r="AV180" s="276"/>
      <c r="AW180" s="276"/>
      <c r="AX180" s="276"/>
      <c r="AY180" s="276"/>
    </row>
    <row r="181" spans="1:51" ht="15.75" customHeight="1" x14ac:dyDescent="0.25">
      <c r="A181" s="276"/>
      <c r="B181" s="533"/>
      <c r="C181" s="353"/>
      <c r="D181" s="276"/>
      <c r="E181" s="276"/>
      <c r="F181" s="276"/>
      <c r="G181" s="276"/>
      <c r="H181" s="276"/>
      <c r="I181" s="276"/>
      <c r="J181" s="353"/>
      <c r="K181" s="276"/>
      <c r="L181" s="276"/>
      <c r="M181" s="276"/>
      <c r="N181" s="276"/>
      <c r="O181" s="276"/>
      <c r="P181" s="276"/>
      <c r="Q181" s="276"/>
      <c r="R181" s="276"/>
      <c r="S181" s="276"/>
      <c r="T181" s="276"/>
      <c r="U181" s="276"/>
      <c r="V181" s="276"/>
      <c r="W181" s="276"/>
      <c r="X181" s="276"/>
      <c r="Y181" s="276"/>
      <c r="Z181" s="276"/>
      <c r="AA181" s="276"/>
      <c r="AB181" s="276"/>
      <c r="AC181" s="276"/>
      <c r="AD181" s="276"/>
      <c r="AE181" s="276"/>
      <c r="AF181" s="276"/>
      <c r="AG181" s="276"/>
      <c r="AH181" s="276"/>
      <c r="AI181" s="276"/>
      <c r="AJ181" s="276"/>
      <c r="AK181" s="276"/>
      <c r="AL181" s="276"/>
      <c r="AM181" s="276"/>
      <c r="AN181" s="276"/>
      <c r="AO181" s="276"/>
      <c r="AP181" s="276"/>
      <c r="AQ181" s="276"/>
      <c r="AR181" s="276"/>
      <c r="AS181" s="276"/>
      <c r="AT181" s="276"/>
      <c r="AU181" s="276"/>
      <c r="AV181" s="276"/>
      <c r="AW181" s="276"/>
      <c r="AX181" s="276"/>
      <c r="AY181" s="276"/>
    </row>
    <row r="182" spans="1:51" ht="15.75" customHeight="1" x14ac:dyDescent="0.25">
      <c r="A182" s="276"/>
      <c r="B182" s="533"/>
      <c r="C182" s="353"/>
      <c r="D182" s="276"/>
      <c r="E182" s="276"/>
      <c r="F182" s="276"/>
      <c r="G182" s="276"/>
      <c r="H182" s="276"/>
      <c r="I182" s="276"/>
      <c r="J182" s="353"/>
      <c r="K182" s="276"/>
      <c r="L182" s="276"/>
      <c r="M182" s="276"/>
      <c r="N182" s="276"/>
      <c r="O182" s="276"/>
      <c r="P182" s="276"/>
      <c r="Q182" s="276"/>
      <c r="R182" s="276"/>
      <c r="S182" s="276"/>
      <c r="T182" s="276"/>
      <c r="U182" s="276"/>
      <c r="V182" s="276"/>
      <c r="W182" s="276"/>
      <c r="X182" s="276"/>
      <c r="Y182" s="276"/>
      <c r="Z182" s="276"/>
      <c r="AA182" s="276"/>
      <c r="AB182" s="276"/>
      <c r="AC182" s="276"/>
      <c r="AD182" s="276"/>
      <c r="AE182" s="276"/>
      <c r="AF182" s="276"/>
      <c r="AG182" s="276"/>
      <c r="AH182" s="276"/>
      <c r="AI182" s="276"/>
      <c r="AJ182" s="276"/>
      <c r="AK182" s="276"/>
      <c r="AL182" s="276"/>
      <c r="AM182" s="276"/>
      <c r="AN182" s="276"/>
      <c r="AO182" s="276"/>
      <c r="AP182" s="276"/>
      <c r="AQ182" s="276"/>
      <c r="AR182" s="276"/>
      <c r="AS182" s="276"/>
      <c r="AT182" s="276"/>
      <c r="AU182" s="276"/>
      <c r="AV182" s="276"/>
      <c r="AW182" s="276"/>
      <c r="AX182" s="276"/>
      <c r="AY182" s="276"/>
    </row>
    <row r="183" spans="1:51" ht="15.75" customHeight="1" x14ac:dyDescent="0.25">
      <c r="A183" s="276"/>
      <c r="B183" s="533"/>
      <c r="C183" s="353"/>
      <c r="D183" s="276"/>
      <c r="E183" s="276"/>
      <c r="F183" s="276"/>
      <c r="G183" s="276"/>
      <c r="H183" s="276"/>
      <c r="I183" s="276"/>
      <c r="J183" s="353"/>
      <c r="K183" s="276"/>
      <c r="L183" s="276"/>
      <c r="M183" s="276"/>
      <c r="N183" s="276"/>
      <c r="O183" s="276"/>
      <c r="P183" s="276"/>
      <c r="Q183" s="276"/>
      <c r="R183" s="276"/>
      <c r="S183" s="276"/>
      <c r="T183" s="276"/>
      <c r="U183" s="276"/>
      <c r="V183" s="276"/>
      <c r="W183" s="276"/>
      <c r="X183" s="276"/>
      <c r="Y183" s="276"/>
      <c r="Z183" s="276"/>
      <c r="AA183" s="276"/>
      <c r="AB183" s="276"/>
      <c r="AC183" s="276"/>
      <c r="AD183" s="276"/>
      <c r="AE183" s="276"/>
      <c r="AF183" s="276"/>
      <c r="AG183" s="276"/>
      <c r="AH183" s="276"/>
      <c r="AI183" s="276"/>
      <c r="AJ183" s="276"/>
      <c r="AK183" s="276"/>
      <c r="AL183" s="276"/>
      <c r="AM183" s="276"/>
      <c r="AN183" s="276"/>
      <c r="AO183" s="276"/>
      <c r="AP183" s="276"/>
      <c r="AQ183" s="276"/>
      <c r="AR183" s="276"/>
      <c r="AS183" s="276"/>
      <c r="AT183" s="276"/>
      <c r="AU183" s="276"/>
      <c r="AV183" s="276"/>
      <c r="AW183" s="276"/>
      <c r="AX183" s="276"/>
      <c r="AY183" s="276"/>
    </row>
    <row r="184" spans="1:51" ht="15.75" customHeight="1" x14ac:dyDescent="0.25">
      <c r="A184" s="276"/>
      <c r="B184" s="533"/>
      <c r="C184" s="353"/>
      <c r="D184" s="276"/>
      <c r="E184" s="276"/>
      <c r="F184" s="276"/>
      <c r="G184" s="276"/>
      <c r="H184" s="276"/>
      <c r="I184" s="276"/>
      <c r="J184" s="353"/>
      <c r="K184" s="276"/>
      <c r="L184" s="276"/>
      <c r="M184" s="276"/>
      <c r="N184" s="276"/>
      <c r="O184" s="276"/>
      <c r="P184" s="276"/>
      <c r="Q184" s="276"/>
      <c r="R184" s="276"/>
      <c r="S184" s="276"/>
      <c r="T184" s="276"/>
      <c r="U184" s="276"/>
      <c r="V184" s="276"/>
      <c r="W184" s="276"/>
      <c r="X184" s="276"/>
      <c r="Y184" s="276"/>
      <c r="Z184" s="276"/>
      <c r="AA184" s="276"/>
      <c r="AB184" s="276"/>
      <c r="AC184" s="276"/>
      <c r="AD184" s="276"/>
      <c r="AE184" s="276"/>
      <c r="AF184" s="276"/>
      <c r="AG184" s="276"/>
      <c r="AH184" s="276"/>
      <c r="AI184" s="276"/>
      <c r="AJ184" s="276"/>
      <c r="AK184" s="276"/>
      <c r="AL184" s="276"/>
      <c r="AM184" s="276"/>
      <c r="AN184" s="276"/>
      <c r="AO184" s="276"/>
      <c r="AP184" s="276"/>
      <c r="AQ184" s="276"/>
      <c r="AR184" s="276"/>
      <c r="AS184" s="276"/>
      <c r="AT184" s="276"/>
      <c r="AU184" s="276"/>
      <c r="AV184" s="276"/>
      <c r="AW184" s="276"/>
      <c r="AX184" s="276"/>
      <c r="AY184" s="276"/>
    </row>
    <row r="185" spans="1:51" ht="15.75" customHeight="1" x14ac:dyDescent="0.25">
      <c r="A185" s="276"/>
      <c r="B185" s="533"/>
      <c r="C185" s="353"/>
      <c r="D185" s="276"/>
      <c r="E185" s="276"/>
      <c r="F185" s="276"/>
      <c r="G185" s="276"/>
      <c r="H185" s="276"/>
      <c r="I185" s="276"/>
      <c r="J185" s="353"/>
      <c r="K185" s="276"/>
      <c r="L185" s="276"/>
      <c r="M185" s="276"/>
      <c r="N185" s="276"/>
      <c r="O185" s="276"/>
      <c r="P185" s="276"/>
      <c r="Q185" s="276"/>
      <c r="R185" s="276"/>
      <c r="S185" s="276"/>
      <c r="T185" s="276"/>
      <c r="U185" s="276"/>
      <c r="V185" s="276"/>
      <c r="W185" s="276"/>
      <c r="X185" s="276"/>
      <c r="Y185" s="276"/>
      <c r="Z185" s="276"/>
      <c r="AA185" s="276"/>
      <c r="AB185" s="276"/>
      <c r="AC185" s="276"/>
      <c r="AD185" s="276"/>
      <c r="AE185" s="276"/>
      <c r="AF185" s="276"/>
      <c r="AG185" s="276"/>
      <c r="AH185" s="276"/>
      <c r="AI185" s="276"/>
      <c r="AJ185" s="276"/>
      <c r="AK185" s="276"/>
      <c r="AL185" s="276"/>
      <c r="AM185" s="276"/>
      <c r="AN185" s="276"/>
      <c r="AO185" s="276"/>
      <c r="AP185" s="276"/>
      <c r="AQ185" s="276"/>
      <c r="AR185" s="276"/>
      <c r="AS185" s="276"/>
      <c r="AT185" s="276"/>
      <c r="AU185" s="276"/>
      <c r="AV185" s="276"/>
      <c r="AW185" s="276"/>
      <c r="AX185" s="276"/>
      <c r="AY185" s="276"/>
    </row>
    <row r="186" spans="1:51" ht="15.75" customHeight="1" x14ac:dyDescent="0.25">
      <c r="A186" s="276"/>
      <c r="B186" s="533"/>
      <c r="C186" s="353"/>
      <c r="D186" s="276"/>
      <c r="E186" s="276"/>
      <c r="F186" s="276"/>
      <c r="G186" s="276"/>
      <c r="H186" s="276"/>
      <c r="I186" s="276"/>
      <c r="J186" s="353"/>
      <c r="K186" s="276"/>
      <c r="L186" s="276"/>
      <c r="M186" s="276"/>
      <c r="N186" s="276"/>
      <c r="O186" s="276"/>
      <c r="P186" s="276"/>
      <c r="Q186" s="276"/>
      <c r="R186" s="276"/>
      <c r="S186" s="276"/>
      <c r="T186" s="276"/>
      <c r="U186" s="276"/>
      <c r="V186" s="276"/>
      <c r="W186" s="276"/>
      <c r="X186" s="276"/>
      <c r="Y186" s="276"/>
      <c r="Z186" s="276"/>
      <c r="AA186" s="276"/>
      <c r="AB186" s="276"/>
      <c r="AC186" s="276"/>
      <c r="AD186" s="276"/>
      <c r="AE186" s="276"/>
      <c r="AF186" s="276"/>
      <c r="AG186" s="276"/>
      <c r="AH186" s="276"/>
      <c r="AI186" s="276"/>
      <c r="AJ186" s="276"/>
      <c r="AK186" s="276"/>
      <c r="AL186" s="276"/>
      <c r="AM186" s="276"/>
      <c r="AN186" s="276"/>
      <c r="AO186" s="276"/>
      <c r="AP186" s="276"/>
      <c r="AQ186" s="276"/>
      <c r="AR186" s="276"/>
      <c r="AS186" s="276"/>
      <c r="AT186" s="276"/>
      <c r="AU186" s="276"/>
      <c r="AV186" s="276"/>
      <c r="AW186" s="276"/>
      <c r="AX186" s="276"/>
      <c r="AY186" s="276"/>
    </row>
    <row r="187" spans="1:51" ht="15.75" customHeight="1" x14ac:dyDescent="0.25">
      <c r="A187" s="276"/>
      <c r="B187" s="533"/>
      <c r="C187" s="353"/>
      <c r="D187" s="276"/>
      <c r="E187" s="276"/>
      <c r="F187" s="276"/>
      <c r="G187" s="276"/>
      <c r="H187" s="276"/>
      <c r="I187" s="276"/>
      <c r="J187" s="353"/>
      <c r="K187" s="276"/>
      <c r="L187" s="276"/>
      <c r="M187" s="276"/>
      <c r="N187" s="276"/>
      <c r="O187" s="276"/>
      <c r="P187" s="276"/>
      <c r="Q187" s="276"/>
      <c r="R187" s="276"/>
      <c r="S187" s="276"/>
      <c r="T187" s="276"/>
      <c r="U187" s="276"/>
      <c r="V187" s="276"/>
      <c r="W187" s="276"/>
      <c r="X187" s="276"/>
      <c r="Y187" s="276"/>
      <c r="Z187" s="276"/>
      <c r="AA187" s="276"/>
      <c r="AB187" s="276"/>
      <c r="AC187" s="276"/>
      <c r="AD187" s="276"/>
      <c r="AE187" s="276"/>
      <c r="AF187" s="276"/>
      <c r="AG187" s="276"/>
      <c r="AH187" s="276"/>
      <c r="AI187" s="276"/>
      <c r="AJ187" s="276"/>
      <c r="AK187" s="276"/>
      <c r="AL187" s="276"/>
      <c r="AM187" s="276"/>
      <c r="AN187" s="276"/>
      <c r="AO187" s="276"/>
      <c r="AP187" s="276"/>
      <c r="AQ187" s="276"/>
      <c r="AR187" s="276"/>
      <c r="AS187" s="276"/>
      <c r="AT187" s="276"/>
      <c r="AU187" s="276"/>
      <c r="AV187" s="276"/>
      <c r="AW187" s="276"/>
      <c r="AX187" s="276"/>
      <c r="AY187" s="276"/>
    </row>
    <row r="188" spans="1:51" ht="15.75" customHeight="1" x14ac:dyDescent="0.25">
      <c r="A188" s="276"/>
      <c r="B188" s="533"/>
      <c r="C188" s="353"/>
      <c r="D188" s="276"/>
      <c r="E188" s="276"/>
      <c r="F188" s="276"/>
      <c r="G188" s="276"/>
      <c r="H188" s="276"/>
      <c r="I188" s="276"/>
      <c r="J188" s="353"/>
      <c r="K188" s="276"/>
      <c r="L188" s="276"/>
      <c r="M188" s="276"/>
      <c r="N188" s="276"/>
      <c r="O188" s="276"/>
      <c r="P188" s="276"/>
      <c r="Q188" s="276"/>
      <c r="R188" s="276"/>
      <c r="S188" s="276"/>
      <c r="T188" s="276"/>
      <c r="U188" s="276"/>
      <c r="V188" s="276"/>
      <c r="W188" s="276"/>
      <c r="X188" s="276"/>
      <c r="Y188" s="276"/>
      <c r="Z188" s="276"/>
      <c r="AA188" s="276"/>
      <c r="AB188" s="276"/>
      <c r="AC188" s="276"/>
      <c r="AD188" s="276"/>
      <c r="AE188" s="276"/>
      <c r="AF188" s="276"/>
      <c r="AG188" s="276"/>
      <c r="AH188" s="276"/>
      <c r="AI188" s="276"/>
      <c r="AJ188" s="276"/>
      <c r="AK188" s="276"/>
      <c r="AL188" s="276"/>
      <c r="AM188" s="276"/>
      <c r="AN188" s="276"/>
      <c r="AO188" s="276"/>
      <c r="AP188" s="276"/>
      <c r="AQ188" s="276"/>
      <c r="AR188" s="276"/>
      <c r="AS188" s="276"/>
      <c r="AT188" s="276"/>
      <c r="AU188" s="276"/>
      <c r="AV188" s="276"/>
      <c r="AW188" s="276"/>
      <c r="AX188" s="276"/>
      <c r="AY188" s="276"/>
    </row>
    <row r="189" spans="1:51" ht="15.75" customHeight="1" x14ac:dyDescent="0.25">
      <c r="A189" s="276"/>
      <c r="B189" s="533"/>
      <c r="C189" s="353"/>
      <c r="D189" s="276"/>
      <c r="E189" s="276"/>
      <c r="F189" s="276"/>
      <c r="G189" s="276"/>
      <c r="H189" s="276"/>
      <c r="I189" s="276"/>
      <c r="J189" s="353"/>
      <c r="K189" s="276"/>
      <c r="L189" s="276"/>
      <c r="M189" s="276"/>
      <c r="N189" s="276"/>
      <c r="O189" s="276"/>
      <c r="P189" s="276"/>
      <c r="Q189" s="276"/>
      <c r="R189" s="276"/>
      <c r="S189" s="276"/>
      <c r="T189" s="276"/>
      <c r="U189" s="276"/>
      <c r="V189" s="276"/>
      <c r="W189" s="276"/>
      <c r="X189" s="276"/>
      <c r="Y189" s="276"/>
      <c r="Z189" s="276"/>
      <c r="AA189" s="276"/>
      <c r="AB189" s="276"/>
      <c r="AC189" s="276"/>
      <c r="AD189" s="276"/>
      <c r="AE189" s="276"/>
      <c r="AF189" s="276"/>
      <c r="AG189" s="276"/>
      <c r="AH189" s="276"/>
      <c r="AI189" s="276"/>
      <c r="AJ189" s="276"/>
      <c r="AK189" s="276"/>
      <c r="AL189" s="276"/>
      <c r="AM189" s="276"/>
      <c r="AN189" s="276"/>
      <c r="AO189" s="276"/>
      <c r="AP189" s="276"/>
      <c r="AQ189" s="276"/>
      <c r="AR189" s="276"/>
      <c r="AS189" s="276"/>
      <c r="AT189" s="276"/>
      <c r="AU189" s="276"/>
      <c r="AV189" s="276"/>
      <c r="AW189" s="276"/>
      <c r="AX189" s="276"/>
      <c r="AY189" s="276"/>
    </row>
    <row r="190" spans="1:51" ht="15.75" customHeight="1" x14ac:dyDescent="0.25">
      <c r="A190" s="276"/>
      <c r="B190" s="533"/>
      <c r="C190" s="353"/>
      <c r="D190" s="276"/>
      <c r="E190" s="276"/>
      <c r="F190" s="276"/>
      <c r="G190" s="276"/>
      <c r="H190" s="276"/>
      <c r="I190" s="276"/>
      <c r="J190" s="353"/>
      <c r="K190" s="276"/>
      <c r="L190" s="276"/>
      <c r="M190" s="276"/>
      <c r="N190" s="276"/>
      <c r="O190" s="276"/>
      <c r="P190" s="276"/>
      <c r="Q190" s="276"/>
      <c r="R190" s="276"/>
      <c r="S190" s="276"/>
      <c r="T190" s="276"/>
      <c r="U190" s="276"/>
      <c r="V190" s="276"/>
      <c r="W190" s="276"/>
      <c r="X190" s="276"/>
      <c r="Y190" s="276"/>
      <c r="Z190" s="276"/>
      <c r="AA190" s="276"/>
      <c r="AB190" s="276"/>
      <c r="AC190" s="276"/>
      <c r="AD190" s="276"/>
      <c r="AE190" s="276"/>
      <c r="AF190" s="276"/>
      <c r="AG190" s="276"/>
      <c r="AH190" s="276"/>
      <c r="AI190" s="276"/>
      <c r="AJ190" s="276"/>
      <c r="AK190" s="276"/>
      <c r="AL190" s="276"/>
      <c r="AM190" s="276"/>
      <c r="AN190" s="276"/>
      <c r="AO190" s="276"/>
      <c r="AP190" s="276"/>
      <c r="AQ190" s="276"/>
      <c r="AR190" s="276"/>
      <c r="AS190" s="276"/>
      <c r="AT190" s="276"/>
      <c r="AU190" s="276"/>
      <c r="AV190" s="276"/>
      <c r="AW190" s="276"/>
      <c r="AX190" s="276"/>
      <c r="AY190" s="276"/>
    </row>
    <row r="191" spans="1:51" ht="15.75" customHeight="1" x14ac:dyDescent="0.25">
      <c r="A191" s="276"/>
      <c r="B191" s="533"/>
      <c r="C191" s="353"/>
      <c r="D191" s="276"/>
      <c r="E191" s="276"/>
      <c r="F191" s="276"/>
      <c r="G191" s="276"/>
      <c r="H191" s="276"/>
      <c r="I191" s="276"/>
      <c r="J191" s="353"/>
      <c r="K191" s="276"/>
      <c r="L191" s="276"/>
      <c r="M191" s="276"/>
      <c r="N191" s="276"/>
      <c r="O191" s="276"/>
      <c r="P191" s="276"/>
      <c r="Q191" s="276"/>
      <c r="R191" s="276"/>
      <c r="S191" s="276"/>
      <c r="T191" s="276"/>
      <c r="U191" s="276"/>
      <c r="V191" s="276"/>
      <c r="W191" s="276"/>
      <c r="X191" s="276"/>
      <c r="Y191" s="276"/>
      <c r="Z191" s="276"/>
      <c r="AA191" s="276"/>
      <c r="AB191" s="276"/>
      <c r="AC191" s="276"/>
      <c r="AD191" s="276"/>
      <c r="AE191" s="276"/>
      <c r="AF191" s="276"/>
      <c r="AG191" s="276"/>
      <c r="AH191" s="276"/>
      <c r="AI191" s="276"/>
      <c r="AJ191" s="276"/>
      <c r="AK191" s="276"/>
      <c r="AL191" s="276"/>
      <c r="AM191" s="276"/>
      <c r="AN191" s="276"/>
      <c r="AO191" s="276"/>
      <c r="AP191" s="276"/>
      <c r="AQ191" s="276"/>
      <c r="AR191" s="276"/>
      <c r="AS191" s="276"/>
      <c r="AT191" s="276"/>
      <c r="AU191" s="276"/>
      <c r="AV191" s="276"/>
      <c r="AW191" s="276"/>
      <c r="AX191" s="276"/>
      <c r="AY191" s="276"/>
    </row>
    <row r="192" spans="1:51" ht="15.75" customHeight="1" x14ac:dyDescent="0.25">
      <c r="A192" s="276"/>
      <c r="B192" s="533"/>
      <c r="C192" s="353"/>
      <c r="D192" s="276"/>
      <c r="E192" s="276"/>
      <c r="F192" s="276"/>
      <c r="G192" s="276"/>
      <c r="H192" s="276"/>
      <c r="I192" s="276"/>
      <c r="J192" s="353"/>
      <c r="K192" s="276"/>
      <c r="L192" s="276"/>
      <c r="M192" s="276"/>
      <c r="N192" s="276"/>
      <c r="O192" s="276"/>
      <c r="P192" s="276"/>
      <c r="Q192" s="276"/>
      <c r="R192" s="276"/>
      <c r="S192" s="276"/>
      <c r="T192" s="276"/>
      <c r="U192" s="276"/>
      <c r="V192" s="276"/>
      <c r="W192" s="276"/>
      <c r="X192" s="276"/>
      <c r="Y192" s="276"/>
      <c r="Z192" s="276"/>
      <c r="AA192" s="276"/>
      <c r="AB192" s="276"/>
      <c r="AC192" s="276"/>
      <c r="AD192" s="276"/>
      <c r="AE192" s="276"/>
      <c r="AF192" s="276"/>
      <c r="AG192" s="276"/>
      <c r="AH192" s="276"/>
      <c r="AI192" s="276"/>
      <c r="AJ192" s="276"/>
      <c r="AK192" s="276"/>
      <c r="AL192" s="276"/>
      <c r="AM192" s="276"/>
      <c r="AN192" s="276"/>
      <c r="AO192" s="276"/>
      <c r="AP192" s="276"/>
      <c r="AQ192" s="276"/>
      <c r="AR192" s="276"/>
      <c r="AS192" s="276"/>
      <c r="AT192" s="276"/>
      <c r="AU192" s="276"/>
      <c r="AV192" s="276"/>
      <c r="AW192" s="276"/>
      <c r="AX192" s="276"/>
      <c r="AY192" s="276"/>
    </row>
    <row r="193" spans="1:51" ht="15.75" customHeight="1" x14ac:dyDescent="0.25">
      <c r="A193" s="276"/>
      <c r="B193" s="533"/>
      <c r="C193" s="353"/>
      <c r="D193" s="276"/>
      <c r="E193" s="276"/>
      <c r="F193" s="276"/>
      <c r="G193" s="276"/>
      <c r="H193" s="276"/>
      <c r="I193" s="276"/>
      <c r="J193" s="353"/>
      <c r="K193" s="276"/>
      <c r="L193" s="276"/>
      <c r="M193" s="276"/>
      <c r="N193" s="276"/>
      <c r="O193" s="276"/>
      <c r="P193" s="276"/>
      <c r="Q193" s="276"/>
      <c r="R193" s="276"/>
      <c r="S193" s="276"/>
      <c r="T193" s="276"/>
      <c r="U193" s="276"/>
      <c r="V193" s="276"/>
      <c r="W193" s="276"/>
      <c r="X193" s="276"/>
      <c r="Y193" s="276"/>
      <c r="Z193" s="276"/>
      <c r="AA193" s="276"/>
      <c r="AB193" s="276"/>
      <c r="AC193" s="276"/>
      <c r="AD193" s="276"/>
      <c r="AE193" s="276"/>
      <c r="AF193" s="276"/>
      <c r="AG193" s="276"/>
      <c r="AH193" s="276"/>
      <c r="AI193" s="276"/>
      <c r="AJ193" s="276"/>
      <c r="AK193" s="276"/>
      <c r="AL193" s="276"/>
      <c r="AM193" s="276"/>
      <c r="AN193" s="276"/>
      <c r="AO193" s="276"/>
      <c r="AP193" s="276"/>
      <c r="AQ193" s="276"/>
      <c r="AR193" s="276"/>
      <c r="AS193" s="276"/>
      <c r="AT193" s="276"/>
      <c r="AU193" s="276"/>
      <c r="AV193" s="276"/>
      <c r="AW193" s="276"/>
      <c r="AX193" s="276"/>
      <c r="AY193" s="276"/>
    </row>
    <row r="194" spans="1:51" ht="15.75" customHeight="1" x14ac:dyDescent="0.25">
      <c r="A194" s="276"/>
      <c r="B194" s="533"/>
      <c r="C194" s="353"/>
      <c r="D194" s="276"/>
      <c r="E194" s="276"/>
      <c r="F194" s="276"/>
      <c r="G194" s="276"/>
      <c r="H194" s="276"/>
      <c r="I194" s="276"/>
      <c r="J194" s="353"/>
      <c r="K194" s="276"/>
      <c r="L194" s="276"/>
      <c r="M194" s="276"/>
      <c r="N194" s="276"/>
      <c r="O194" s="276"/>
      <c r="P194" s="276"/>
      <c r="Q194" s="276"/>
      <c r="R194" s="276"/>
      <c r="S194" s="276"/>
      <c r="T194" s="276"/>
      <c r="U194" s="276"/>
      <c r="V194" s="276"/>
      <c r="W194" s="276"/>
      <c r="X194" s="276"/>
      <c r="Y194" s="276"/>
      <c r="Z194" s="276"/>
      <c r="AA194" s="276"/>
      <c r="AB194" s="276"/>
      <c r="AC194" s="276"/>
      <c r="AD194" s="276"/>
      <c r="AE194" s="276"/>
      <c r="AF194" s="276"/>
      <c r="AG194" s="276"/>
      <c r="AH194" s="276"/>
      <c r="AI194" s="276"/>
      <c r="AJ194" s="276"/>
      <c r="AK194" s="276"/>
      <c r="AL194" s="276"/>
      <c r="AM194" s="276"/>
      <c r="AN194" s="276"/>
      <c r="AO194" s="276"/>
      <c r="AP194" s="276"/>
      <c r="AQ194" s="276"/>
      <c r="AR194" s="276"/>
      <c r="AS194" s="276"/>
      <c r="AT194" s="276"/>
      <c r="AU194" s="276"/>
      <c r="AV194" s="276"/>
      <c r="AW194" s="276"/>
      <c r="AX194" s="276"/>
      <c r="AY194" s="276"/>
    </row>
    <row r="195" spans="1:51" ht="15.75" customHeight="1" x14ac:dyDescent="0.25">
      <c r="A195" s="276"/>
      <c r="B195" s="533"/>
      <c r="C195" s="353"/>
      <c r="D195" s="276"/>
      <c r="E195" s="276"/>
      <c r="F195" s="276"/>
      <c r="G195" s="276"/>
      <c r="H195" s="276"/>
      <c r="I195" s="276"/>
      <c r="J195" s="353"/>
      <c r="K195" s="276"/>
      <c r="L195" s="276"/>
      <c r="M195" s="276"/>
      <c r="N195" s="276"/>
      <c r="O195" s="276"/>
      <c r="P195" s="276"/>
      <c r="Q195" s="276"/>
      <c r="R195" s="276"/>
      <c r="S195" s="276"/>
      <c r="T195" s="276"/>
      <c r="U195" s="276"/>
      <c r="V195" s="276"/>
      <c r="W195" s="276"/>
      <c r="X195" s="276"/>
      <c r="Y195" s="276"/>
      <c r="Z195" s="276"/>
      <c r="AA195" s="276"/>
      <c r="AB195" s="276"/>
      <c r="AC195" s="276"/>
      <c r="AD195" s="276"/>
      <c r="AE195" s="276"/>
      <c r="AF195" s="276"/>
      <c r="AG195" s="276"/>
      <c r="AH195" s="276"/>
      <c r="AI195" s="276"/>
      <c r="AJ195" s="276"/>
      <c r="AK195" s="276"/>
      <c r="AL195" s="276"/>
      <c r="AM195" s="276"/>
      <c r="AN195" s="276"/>
      <c r="AO195" s="276"/>
      <c r="AP195" s="276"/>
      <c r="AQ195" s="276"/>
      <c r="AR195" s="276"/>
      <c r="AS195" s="276"/>
      <c r="AT195" s="276"/>
      <c r="AU195" s="276"/>
      <c r="AV195" s="276"/>
      <c r="AW195" s="276"/>
      <c r="AX195" s="276"/>
      <c r="AY195" s="276"/>
    </row>
    <row r="196" spans="1:51" ht="15.75" customHeight="1" x14ac:dyDescent="0.25">
      <c r="A196" s="276"/>
      <c r="B196" s="533"/>
      <c r="C196" s="353"/>
      <c r="D196" s="276"/>
      <c r="E196" s="276"/>
      <c r="F196" s="276"/>
      <c r="G196" s="276"/>
      <c r="H196" s="276"/>
      <c r="I196" s="276"/>
      <c r="J196" s="353"/>
      <c r="K196" s="276"/>
      <c r="L196" s="276"/>
      <c r="M196" s="276"/>
      <c r="N196" s="276"/>
      <c r="O196" s="276"/>
      <c r="P196" s="276"/>
      <c r="Q196" s="276"/>
      <c r="R196" s="276"/>
      <c r="S196" s="276"/>
      <c r="T196" s="276"/>
      <c r="U196" s="276"/>
      <c r="V196" s="276"/>
      <c r="W196" s="276"/>
      <c r="X196" s="276"/>
      <c r="Y196" s="276"/>
      <c r="Z196" s="276"/>
      <c r="AA196" s="276"/>
      <c r="AB196" s="276"/>
      <c r="AC196" s="276"/>
      <c r="AD196" s="276"/>
      <c r="AE196" s="276"/>
      <c r="AF196" s="276"/>
      <c r="AG196" s="276"/>
      <c r="AH196" s="276"/>
      <c r="AI196" s="276"/>
      <c r="AJ196" s="276"/>
      <c r="AK196" s="276"/>
      <c r="AL196" s="276"/>
      <c r="AM196" s="276"/>
      <c r="AN196" s="276"/>
      <c r="AO196" s="276"/>
      <c r="AP196" s="276"/>
      <c r="AQ196" s="276"/>
      <c r="AR196" s="276"/>
      <c r="AS196" s="276"/>
      <c r="AT196" s="276"/>
      <c r="AU196" s="276"/>
      <c r="AV196" s="276"/>
      <c r="AW196" s="276"/>
      <c r="AX196" s="276"/>
      <c r="AY196" s="276"/>
    </row>
    <row r="197" spans="1:51" ht="15.75" customHeight="1" x14ac:dyDescent="0.25">
      <c r="A197" s="276"/>
      <c r="B197" s="533"/>
      <c r="C197" s="353"/>
      <c r="D197" s="276"/>
      <c r="E197" s="276"/>
      <c r="F197" s="276"/>
      <c r="G197" s="276"/>
      <c r="H197" s="276"/>
      <c r="I197" s="276"/>
      <c r="J197" s="353"/>
      <c r="K197" s="276"/>
      <c r="L197" s="276"/>
      <c r="M197" s="276"/>
      <c r="N197" s="276"/>
      <c r="O197" s="276"/>
      <c r="P197" s="276"/>
      <c r="Q197" s="276"/>
      <c r="R197" s="276"/>
      <c r="S197" s="276"/>
      <c r="T197" s="276"/>
      <c r="U197" s="276"/>
      <c r="V197" s="276"/>
      <c r="W197" s="276"/>
      <c r="X197" s="276"/>
      <c r="Y197" s="276"/>
      <c r="Z197" s="276"/>
      <c r="AA197" s="276"/>
      <c r="AB197" s="276"/>
      <c r="AC197" s="276"/>
      <c r="AD197" s="276"/>
      <c r="AE197" s="276"/>
      <c r="AF197" s="276"/>
      <c r="AG197" s="276"/>
      <c r="AH197" s="276"/>
      <c r="AI197" s="276"/>
      <c r="AJ197" s="276"/>
      <c r="AK197" s="276"/>
      <c r="AL197" s="276"/>
      <c r="AM197" s="276"/>
      <c r="AN197" s="276"/>
      <c r="AO197" s="276"/>
      <c r="AP197" s="276"/>
      <c r="AQ197" s="276"/>
      <c r="AR197" s="276"/>
      <c r="AS197" s="276"/>
      <c r="AT197" s="276"/>
      <c r="AU197" s="276"/>
      <c r="AV197" s="276"/>
      <c r="AW197" s="276"/>
      <c r="AX197" s="276"/>
      <c r="AY197" s="276"/>
    </row>
    <row r="198" spans="1:51" ht="15.75" customHeight="1" x14ac:dyDescent="0.25">
      <c r="A198" s="276"/>
      <c r="B198" s="533"/>
      <c r="C198" s="353"/>
      <c r="D198" s="276"/>
      <c r="E198" s="276"/>
      <c r="F198" s="276"/>
      <c r="G198" s="276"/>
      <c r="H198" s="276"/>
      <c r="I198" s="276"/>
      <c r="J198" s="353"/>
      <c r="K198" s="276"/>
      <c r="L198" s="276"/>
      <c r="M198" s="276"/>
      <c r="N198" s="276"/>
      <c r="O198" s="276"/>
      <c r="P198" s="276"/>
      <c r="Q198" s="276"/>
      <c r="R198" s="276"/>
      <c r="S198" s="276"/>
      <c r="T198" s="276"/>
      <c r="U198" s="276"/>
      <c r="V198" s="276"/>
      <c r="W198" s="276"/>
      <c r="X198" s="276"/>
      <c r="Y198" s="276"/>
      <c r="Z198" s="276"/>
      <c r="AA198" s="276"/>
      <c r="AB198" s="276"/>
      <c r="AC198" s="276"/>
      <c r="AD198" s="276"/>
      <c r="AE198" s="276"/>
      <c r="AF198" s="276"/>
      <c r="AG198" s="276"/>
      <c r="AH198" s="276"/>
      <c r="AI198" s="276"/>
      <c r="AJ198" s="276"/>
      <c r="AK198" s="276"/>
      <c r="AL198" s="276"/>
      <c r="AM198" s="276"/>
      <c r="AN198" s="276"/>
      <c r="AO198" s="276"/>
      <c r="AP198" s="276"/>
      <c r="AQ198" s="276"/>
      <c r="AR198" s="276"/>
      <c r="AS198" s="276"/>
      <c r="AT198" s="276"/>
      <c r="AU198" s="276"/>
      <c r="AV198" s="276"/>
      <c r="AW198" s="276"/>
      <c r="AX198" s="276"/>
      <c r="AY198" s="276"/>
    </row>
    <row r="199" spans="1:51" ht="15.75" customHeight="1" x14ac:dyDescent="0.25">
      <c r="A199" s="276"/>
      <c r="B199" s="533"/>
      <c r="C199" s="353"/>
      <c r="D199" s="276"/>
      <c r="E199" s="276"/>
      <c r="F199" s="276"/>
      <c r="G199" s="276"/>
      <c r="H199" s="276"/>
      <c r="I199" s="276"/>
      <c r="J199" s="353"/>
      <c r="K199" s="276"/>
      <c r="L199" s="276"/>
      <c r="M199" s="276"/>
      <c r="N199" s="276"/>
      <c r="O199" s="276"/>
      <c r="P199" s="276"/>
      <c r="Q199" s="276"/>
      <c r="R199" s="276"/>
      <c r="S199" s="276"/>
      <c r="T199" s="276"/>
      <c r="U199" s="276"/>
      <c r="V199" s="276"/>
      <c r="W199" s="276"/>
      <c r="X199" s="276"/>
      <c r="Y199" s="276"/>
      <c r="Z199" s="276"/>
      <c r="AA199" s="276"/>
      <c r="AB199" s="276"/>
      <c r="AC199" s="276"/>
      <c r="AD199" s="276"/>
      <c r="AE199" s="276"/>
      <c r="AF199" s="276"/>
      <c r="AG199" s="276"/>
      <c r="AH199" s="276"/>
      <c r="AI199" s="276"/>
      <c r="AJ199" s="276"/>
      <c r="AK199" s="276"/>
      <c r="AL199" s="276"/>
      <c r="AM199" s="276"/>
      <c r="AN199" s="276"/>
      <c r="AO199" s="276"/>
      <c r="AP199" s="276"/>
      <c r="AQ199" s="276"/>
      <c r="AR199" s="276"/>
      <c r="AS199" s="276"/>
      <c r="AT199" s="276"/>
      <c r="AU199" s="276"/>
      <c r="AV199" s="276"/>
      <c r="AW199" s="276"/>
      <c r="AX199" s="276"/>
      <c r="AY199" s="276"/>
    </row>
    <row r="200" spans="1:51" ht="15.75" customHeight="1" x14ac:dyDescent="0.25">
      <c r="A200" s="276"/>
      <c r="B200" s="533"/>
      <c r="C200" s="353"/>
      <c r="D200" s="276"/>
      <c r="E200" s="276"/>
      <c r="F200" s="276"/>
      <c r="G200" s="276"/>
      <c r="H200" s="276"/>
      <c r="I200" s="276"/>
      <c r="J200" s="353"/>
      <c r="K200" s="276"/>
      <c r="L200" s="276"/>
      <c r="M200" s="276"/>
      <c r="N200" s="276"/>
      <c r="O200" s="276"/>
      <c r="P200" s="276"/>
      <c r="Q200" s="276"/>
      <c r="R200" s="276"/>
      <c r="S200" s="276"/>
      <c r="T200" s="276"/>
      <c r="U200" s="276"/>
      <c r="V200" s="276"/>
      <c r="W200" s="276"/>
      <c r="X200" s="276"/>
      <c r="Y200" s="276"/>
      <c r="Z200" s="276"/>
      <c r="AA200" s="276"/>
      <c r="AB200" s="276"/>
      <c r="AC200" s="276"/>
      <c r="AD200" s="276"/>
      <c r="AE200" s="276"/>
      <c r="AF200" s="276"/>
      <c r="AG200" s="276"/>
      <c r="AH200" s="276"/>
      <c r="AI200" s="276"/>
      <c r="AJ200" s="276"/>
      <c r="AK200" s="276"/>
      <c r="AL200" s="276"/>
      <c r="AM200" s="276"/>
      <c r="AN200" s="276"/>
      <c r="AO200" s="276"/>
      <c r="AP200" s="276"/>
      <c r="AQ200" s="276"/>
      <c r="AR200" s="276"/>
      <c r="AS200" s="276"/>
      <c r="AT200" s="276"/>
      <c r="AU200" s="276"/>
      <c r="AV200" s="276"/>
      <c r="AW200" s="276"/>
      <c r="AX200" s="276"/>
      <c r="AY200" s="276"/>
    </row>
    <row r="201" spans="1:51" ht="15.75" customHeight="1" x14ac:dyDescent="0.25">
      <c r="A201" s="276"/>
      <c r="B201" s="533"/>
      <c r="C201" s="353"/>
      <c r="D201" s="276"/>
      <c r="E201" s="276"/>
      <c r="F201" s="276"/>
      <c r="G201" s="276"/>
      <c r="H201" s="276"/>
      <c r="I201" s="276"/>
      <c r="J201" s="353"/>
      <c r="K201" s="276"/>
      <c r="L201" s="276"/>
      <c r="M201" s="276"/>
      <c r="N201" s="276"/>
      <c r="O201" s="276"/>
      <c r="P201" s="276"/>
      <c r="Q201" s="276"/>
      <c r="R201" s="276"/>
      <c r="S201" s="276"/>
      <c r="T201" s="276"/>
      <c r="U201" s="276"/>
      <c r="V201" s="276"/>
      <c r="W201" s="276"/>
      <c r="X201" s="276"/>
      <c r="Y201" s="276"/>
      <c r="Z201" s="276"/>
      <c r="AA201" s="276"/>
      <c r="AB201" s="276"/>
      <c r="AC201" s="276"/>
      <c r="AD201" s="276"/>
      <c r="AE201" s="276"/>
      <c r="AF201" s="276"/>
      <c r="AG201" s="276"/>
      <c r="AH201" s="276"/>
      <c r="AI201" s="276"/>
      <c r="AJ201" s="276"/>
      <c r="AK201" s="276"/>
      <c r="AL201" s="276"/>
      <c r="AM201" s="276"/>
      <c r="AN201" s="276"/>
      <c r="AO201" s="276"/>
      <c r="AP201" s="276"/>
      <c r="AQ201" s="276"/>
      <c r="AR201" s="276"/>
      <c r="AS201" s="276"/>
      <c r="AT201" s="276"/>
      <c r="AU201" s="276"/>
      <c r="AV201" s="276"/>
      <c r="AW201" s="276"/>
      <c r="AX201" s="276"/>
      <c r="AY201" s="276"/>
    </row>
    <row r="202" spans="1:51" ht="15.75" customHeight="1" x14ac:dyDescent="0.25">
      <c r="A202" s="276"/>
      <c r="B202" s="533"/>
      <c r="C202" s="353"/>
      <c r="D202" s="276"/>
      <c r="E202" s="276"/>
      <c r="F202" s="276"/>
      <c r="G202" s="276"/>
      <c r="H202" s="276"/>
      <c r="I202" s="276"/>
      <c r="J202" s="353"/>
      <c r="K202" s="276"/>
      <c r="L202" s="276"/>
      <c r="M202" s="276"/>
      <c r="N202" s="276"/>
      <c r="O202" s="276"/>
      <c r="P202" s="276"/>
      <c r="Q202" s="276"/>
      <c r="R202" s="276"/>
      <c r="S202" s="276"/>
      <c r="T202" s="276"/>
      <c r="U202" s="276"/>
      <c r="V202" s="276"/>
      <c r="W202" s="276"/>
      <c r="X202" s="276"/>
      <c r="Y202" s="276"/>
      <c r="Z202" s="276"/>
      <c r="AA202" s="276"/>
      <c r="AB202" s="276"/>
      <c r="AC202" s="276"/>
      <c r="AD202" s="276"/>
      <c r="AE202" s="276"/>
      <c r="AF202" s="276"/>
      <c r="AG202" s="276"/>
      <c r="AH202" s="276"/>
      <c r="AI202" s="276"/>
      <c r="AJ202" s="276"/>
      <c r="AK202" s="276"/>
      <c r="AL202" s="276"/>
      <c r="AM202" s="276"/>
      <c r="AN202" s="276"/>
      <c r="AO202" s="276"/>
      <c r="AP202" s="276"/>
      <c r="AQ202" s="276"/>
      <c r="AR202" s="276"/>
      <c r="AS202" s="276"/>
      <c r="AT202" s="276"/>
      <c r="AU202" s="276"/>
      <c r="AV202" s="276"/>
      <c r="AW202" s="276"/>
      <c r="AX202" s="276"/>
      <c r="AY202" s="276"/>
    </row>
    <row r="203" spans="1:51" ht="15.75" customHeight="1" x14ac:dyDescent="0.25">
      <c r="A203" s="276"/>
      <c r="B203" s="533"/>
      <c r="C203" s="353"/>
      <c r="D203" s="276"/>
      <c r="E203" s="276"/>
      <c r="F203" s="276"/>
      <c r="G203" s="276"/>
      <c r="H203" s="276"/>
      <c r="I203" s="276"/>
      <c r="J203" s="353"/>
      <c r="K203" s="276"/>
      <c r="L203" s="276"/>
      <c r="M203" s="276"/>
      <c r="N203" s="276"/>
      <c r="O203" s="276"/>
      <c r="P203" s="276"/>
      <c r="Q203" s="276"/>
      <c r="R203" s="276"/>
      <c r="S203" s="276"/>
      <c r="T203" s="276"/>
      <c r="U203" s="276"/>
      <c r="V203" s="276"/>
      <c r="W203" s="276"/>
      <c r="X203" s="276"/>
      <c r="Y203" s="276"/>
      <c r="Z203" s="276"/>
      <c r="AA203" s="276"/>
      <c r="AB203" s="276"/>
      <c r="AC203" s="276"/>
      <c r="AD203" s="276"/>
      <c r="AE203" s="276"/>
      <c r="AF203" s="276"/>
      <c r="AG203" s="276"/>
      <c r="AH203" s="276"/>
      <c r="AI203" s="276"/>
      <c r="AJ203" s="276"/>
      <c r="AK203" s="276"/>
      <c r="AL203" s="276"/>
      <c r="AM203" s="276"/>
      <c r="AN203" s="276"/>
      <c r="AO203" s="276"/>
      <c r="AP203" s="276"/>
      <c r="AQ203" s="276"/>
      <c r="AR203" s="276"/>
      <c r="AS203" s="276"/>
      <c r="AT203" s="276"/>
      <c r="AU203" s="276"/>
      <c r="AV203" s="276"/>
      <c r="AW203" s="276"/>
      <c r="AX203" s="276"/>
      <c r="AY203" s="276"/>
    </row>
    <row r="204" spans="1:51" ht="15.75" customHeight="1" x14ac:dyDescent="0.25">
      <c r="A204" s="276"/>
      <c r="B204" s="533"/>
      <c r="C204" s="353"/>
      <c r="D204" s="276"/>
      <c r="E204" s="276"/>
      <c r="F204" s="276"/>
      <c r="G204" s="276"/>
      <c r="H204" s="276"/>
      <c r="I204" s="276"/>
      <c r="J204" s="353"/>
      <c r="K204" s="276"/>
      <c r="L204" s="276"/>
      <c r="M204" s="276"/>
      <c r="N204" s="276"/>
      <c r="O204" s="276"/>
      <c r="P204" s="276"/>
      <c r="Q204" s="276"/>
      <c r="R204" s="276"/>
      <c r="S204" s="276"/>
      <c r="T204" s="276"/>
      <c r="U204" s="276"/>
      <c r="V204" s="276"/>
      <c r="W204" s="276"/>
      <c r="X204" s="276"/>
      <c r="Y204" s="276"/>
      <c r="Z204" s="276"/>
      <c r="AA204" s="276"/>
      <c r="AB204" s="276"/>
      <c r="AC204" s="276"/>
      <c r="AD204" s="276"/>
      <c r="AE204" s="276"/>
      <c r="AF204" s="276"/>
      <c r="AG204" s="276"/>
      <c r="AH204" s="276"/>
      <c r="AI204" s="276"/>
      <c r="AJ204" s="276"/>
      <c r="AK204" s="276"/>
      <c r="AL204" s="276"/>
      <c r="AM204" s="276"/>
      <c r="AN204" s="276"/>
      <c r="AO204" s="276"/>
      <c r="AP204" s="276"/>
      <c r="AQ204" s="276"/>
      <c r="AR204" s="276"/>
      <c r="AS204" s="276"/>
      <c r="AT204" s="276"/>
      <c r="AU204" s="276"/>
      <c r="AV204" s="276"/>
      <c r="AW204" s="276"/>
      <c r="AX204" s="276"/>
      <c r="AY204" s="276"/>
    </row>
    <row r="205" spans="1:51" ht="15.75" customHeight="1" x14ac:dyDescent="0.25">
      <c r="A205" s="276"/>
      <c r="B205" s="533"/>
      <c r="C205" s="353"/>
      <c r="D205" s="276"/>
      <c r="E205" s="276"/>
      <c r="F205" s="276"/>
      <c r="G205" s="276"/>
      <c r="H205" s="276"/>
      <c r="I205" s="276"/>
      <c r="J205" s="353"/>
      <c r="K205" s="276"/>
      <c r="L205" s="276"/>
      <c r="M205" s="276"/>
      <c r="N205" s="276"/>
      <c r="O205" s="276"/>
      <c r="P205" s="276"/>
      <c r="Q205" s="276"/>
      <c r="R205" s="276"/>
      <c r="S205" s="276"/>
      <c r="T205" s="276"/>
      <c r="U205" s="276"/>
      <c r="V205" s="276"/>
      <c r="W205" s="276"/>
      <c r="X205" s="276"/>
      <c r="Y205" s="276"/>
      <c r="Z205" s="276"/>
      <c r="AA205" s="276"/>
      <c r="AB205" s="276"/>
      <c r="AC205" s="276"/>
      <c r="AD205" s="276"/>
      <c r="AE205" s="276"/>
      <c r="AF205" s="276"/>
      <c r="AG205" s="276"/>
      <c r="AH205" s="276"/>
      <c r="AI205" s="276"/>
      <c r="AJ205" s="276"/>
      <c r="AK205" s="276"/>
      <c r="AL205" s="276"/>
      <c r="AM205" s="276"/>
      <c r="AN205" s="276"/>
      <c r="AO205" s="276"/>
      <c r="AP205" s="276"/>
      <c r="AQ205" s="276"/>
      <c r="AR205" s="276"/>
      <c r="AS205" s="276"/>
      <c r="AT205" s="276"/>
      <c r="AU205" s="276"/>
      <c r="AV205" s="276"/>
      <c r="AW205" s="276"/>
      <c r="AX205" s="276"/>
      <c r="AY205" s="276"/>
    </row>
    <row r="206" spans="1:51" ht="15.75" customHeight="1" x14ac:dyDescent="0.25">
      <c r="A206" s="276"/>
      <c r="B206" s="533"/>
      <c r="C206" s="353"/>
      <c r="D206" s="276"/>
      <c r="E206" s="276"/>
      <c r="F206" s="276"/>
      <c r="G206" s="276"/>
      <c r="H206" s="276"/>
      <c r="I206" s="276"/>
      <c r="J206" s="353"/>
      <c r="K206" s="276"/>
      <c r="L206" s="276"/>
      <c r="M206" s="276"/>
      <c r="N206" s="276"/>
      <c r="O206" s="276"/>
      <c r="P206" s="276"/>
      <c r="Q206" s="276"/>
      <c r="R206" s="276"/>
      <c r="S206" s="276"/>
      <c r="T206" s="276"/>
      <c r="U206" s="276"/>
      <c r="V206" s="276"/>
      <c r="W206" s="276"/>
      <c r="X206" s="276"/>
      <c r="Y206" s="276"/>
      <c r="Z206" s="276"/>
      <c r="AA206" s="276"/>
      <c r="AB206" s="276"/>
      <c r="AC206" s="276"/>
      <c r="AD206" s="276"/>
      <c r="AE206" s="276"/>
      <c r="AF206" s="276"/>
      <c r="AG206" s="276"/>
      <c r="AH206" s="276"/>
      <c r="AI206" s="276"/>
      <c r="AJ206" s="276"/>
      <c r="AK206" s="276"/>
      <c r="AL206" s="276"/>
      <c r="AM206" s="276"/>
      <c r="AN206" s="276"/>
      <c r="AO206" s="276"/>
      <c r="AP206" s="276"/>
      <c r="AQ206" s="276"/>
      <c r="AR206" s="276"/>
      <c r="AS206" s="276"/>
      <c r="AT206" s="276"/>
      <c r="AU206" s="276"/>
      <c r="AV206" s="276"/>
      <c r="AW206" s="276"/>
      <c r="AX206" s="276"/>
      <c r="AY206" s="276"/>
    </row>
    <row r="207" spans="1:51" ht="15.75" customHeight="1" x14ac:dyDescent="0.25">
      <c r="A207" s="276"/>
      <c r="B207" s="533"/>
      <c r="C207" s="353"/>
      <c r="D207" s="276"/>
      <c r="E207" s="276"/>
      <c r="F207" s="276"/>
      <c r="G207" s="276"/>
      <c r="H207" s="276"/>
      <c r="I207" s="276"/>
      <c r="J207" s="353"/>
      <c r="K207" s="276"/>
      <c r="L207" s="276"/>
      <c r="M207" s="276"/>
      <c r="N207" s="276"/>
      <c r="O207" s="276"/>
      <c r="P207" s="276"/>
      <c r="Q207" s="276"/>
      <c r="R207" s="276"/>
      <c r="S207" s="276"/>
      <c r="T207" s="276"/>
      <c r="U207" s="276"/>
      <c r="V207" s="276"/>
      <c r="W207" s="276"/>
      <c r="X207" s="276"/>
      <c r="Y207" s="276"/>
      <c r="Z207" s="276"/>
      <c r="AA207" s="276"/>
      <c r="AB207" s="276"/>
      <c r="AC207" s="276"/>
      <c r="AD207" s="276"/>
      <c r="AE207" s="276"/>
      <c r="AF207" s="276"/>
      <c r="AG207" s="276"/>
      <c r="AH207" s="276"/>
      <c r="AI207" s="276"/>
      <c r="AJ207" s="276"/>
      <c r="AK207" s="276"/>
      <c r="AL207" s="276"/>
      <c r="AM207" s="276"/>
      <c r="AN207" s="276"/>
      <c r="AO207" s="276"/>
      <c r="AP207" s="276"/>
      <c r="AQ207" s="276"/>
      <c r="AR207" s="276"/>
      <c r="AS207" s="276"/>
      <c r="AT207" s="276"/>
      <c r="AU207" s="276"/>
      <c r="AV207" s="276"/>
      <c r="AW207" s="276"/>
      <c r="AX207" s="276"/>
      <c r="AY207" s="276"/>
    </row>
    <row r="208" spans="1:51" ht="15.75" customHeight="1" x14ac:dyDescent="0.25">
      <c r="A208" s="276"/>
      <c r="B208" s="533"/>
      <c r="C208" s="353"/>
      <c r="D208" s="276"/>
      <c r="E208" s="276"/>
      <c r="F208" s="276"/>
      <c r="G208" s="276"/>
      <c r="H208" s="276"/>
      <c r="I208" s="276"/>
      <c r="J208" s="353"/>
      <c r="K208" s="276"/>
      <c r="L208" s="276"/>
      <c r="M208" s="276"/>
      <c r="N208" s="276"/>
      <c r="O208" s="276"/>
      <c r="P208" s="276"/>
      <c r="Q208" s="276"/>
      <c r="R208" s="276"/>
      <c r="S208" s="276"/>
      <c r="T208" s="276"/>
      <c r="U208" s="276"/>
      <c r="V208" s="276"/>
      <c r="W208" s="276"/>
      <c r="X208" s="276"/>
      <c r="Y208" s="276"/>
      <c r="Z208" s="276"/>
      <c r="AA208" s="276"/>
      <c r="AB208" s="276"/>
      <c r="AC208" s="276"/>
      <c r="AD208" s="276"/>
      <c r="AE208" s="276"/>
      <c r="AF208" s="276"/>
      <c r="AG208" s="276"/>
      <c r="AH208" s="276"/>
      <c r="AI208" s="276"/>
      <c r="AJ208" s="276"/>
      <c r="AK208" s="276"/>
      <c r="AL208" s="276"/>
      <c r="AM208" s="276"/>
      <c r="AN208" s="276"/>
      <c r="AO208" s="276"/>
      <c r="AP208" s="276"/>
      <c r="AQ208" s="276"/>
      <c r="AR208" s="276"/>
      <c r="AS208" s="276"/>
      <c r="AT208" s="276"/>
      <c r="AU208" s="276"/>
      <c r="AV208" s="276"/>
      <c r="AW208" s="276"/>
      <c r="AX208" s="276"/>
      <c r="AY208" s="276"/>
    </row>
    <row r="209" spans="1:51" ht="15.75" customHeight="1" x14ac:dyDescent="0.25">
      <c r="A209" s="276"/>
      <c r="B209" s="533"/>
      <c r="C209" s="353"/>
      <c r="D209" s="276"/>
      <c r="E209" s="276"/>
      <c r="F209" s="276"/>
      <c r="G209" s="276"/>
      <c r="H209" s="276"/>
      <c r="I209" s="276"/>
      <c r="J209" s="353"/>
      <c r="K209" s="276"/>
      <c r="L209" s="276"/>
      <c r="M209" s="276"/>
      <c r="N209" s="276"/>
      <c r="O209" s="276"/>
      <c r="P209" s="276"/>
      <c r="Q209" s="276"/>
      <c r="R209" s="276"/>
      <c r="S209" s="276"/>
      <c r="T209" s="276"/>
      <c r="U209" s="276"/>
      <c r="V209" s="276"/>
      <c r="W209" s="276"/>
      <c r="X209" s="276"/>
      <c r="Y209" s="276"/>
      <c r="Z209" s="276"/>
      <c r="AA209" s="276"/>
      <c r="AB209" s="276"/>
      <c r="AC209" s="276"/>
      <c r="AD209" s="276"/>
      <c r="AE209" s="276"/>
      <c r="AF209" s="276"/>
      <c r="AG209" s="276"/>
      <c r="AH209" s="276"/>
      <c r="AI209" s="276"/>
      <c r="AJ209" s="276"/>
      <c r="AK209" s="276"/>
      <c r="AL209" s="276"/>
      <c r="AM209" s="276"/>
      <c r="AN209" s="276"/>
      <c r="AO209" s="276"/>
      <c r="AP209" s="276"/>
      <c r="AQ209" s="276"/>
      <c r="AR209" s="276"/>
      <c r="AS209" s="276"/>
      <c r="AT209" s="276"/>
      <c r="AU209" s="276"/>
      <c r="AV209" s="276"/>
      <c r="AW209" s="276"/>
      <c r="AX209" s="276"/>
      <c r="AY209" s="276"/>
    </row>
    <row r="210" spans="1:51" ht="15.75" customHeight="1" x14ac:dyDescent="0.25">
      <c r="A210" s="276"/>
      <c r="B210" s="533"/>
      <c r="C210" s="353"/>
      <c r="D210" s="276"/>
      <c r="E210" s="276"/>
      <c r="F210" s="276"/>
      <c r="G210" s="276"/>
      <c r="H210" s="276"/>
      <c r="I210" s="276"/>
      <c r="J210" s="353"/>
      <c r="K210" s="276"/>
      <c r="L210" s="276"/>
      <c r="M210" s="276"/>
      <c r="N210" s="276"/>
      <c r="O210" s="276"/>
      <c r="P210" s="276"/>
      <c r="Q210" s="276"/>
      <c r="R210" s="276"/>
      <c r="S210" s="276"/>
      <c r="T210" s="276"/>
      <c r="U210" s="276"/>
      <c r="V210" s="276"/>
      <c r="W210" s="276"/>
      <c r="X210" s="276"/>
      <c r="Y210" s="276"/>
      <c r="Z210" s="276"/>
      <c r="AA210" s="276"/>
      <c r="AB210" s="276"/>
      <c r="AC210" s="276"/>
      <c r="AD210" s="276"/>
      <c r="AE210" s="276"/>
      <c r="AF210" s="276"/>
      <c r="AG210" s="276"/>
      <c r="AH210" s="276"/>
      <c r="AI210" s="276"/>
      <c r="AJ210" s="276"/>
      <c r="AK210" s="276"/>
      <c r="AL210" s="276"/>
      <c r="AM210" s="276"/>
      <c r="AN210" s="276"/>
      <c r="AO210" s="276"/>
      <c r="AP210" s="276"/>
      <c r="AQ210" s="276"/>
      <c r="AR210" s="276"/>
      <c r="AS210" s="276"/>
      <c r="AT210" s="276"/>
      <c r="AU210" s="276"/>
      <c r="AV210" s="276"/>
      <c r="AW210" s="276"/>
      <c r="AX210" s="276"/>
      <c r="AY210" s="276"/>
    </row>
    <row r="211" spans="1:51" ht="15.75" customHeight="1" x14ac:dyDescent="0.25">
      <c r="A211" s="276"/>
      <c r="B211" s="533"/>
      <c r="C211" s="353"/>
      <c r="D211" s="276"/>
      <c r="E211" s="276"/>
      <c r="F211" s="276"/>
      <c r="G211" s="276"/>
      <c r="H211" s="276"/>
      <c r="I211" s="276"/>
      <c r="J211" s="353"/>
      <c r="K211" s="276"/>
      <c r="L211" s="276"/>
      <c r="M211" s="276"/>
      <c r="N211" s="276"/>
      <c r="O211" s="276"/>
      <c r="P211" s="276"/>
      <c r="Q211" s="276"/>
      <c r="R211" s="276"/>
      <c r="S211" s="276"/>
      <c r="T211" s="276"/>
      <c r="U211" s="276"/>
      <c r="V211" s="276"/>
      <c r="W211" s="276"/>
      <c r="X211" s="276"/>
      <c r="Y211" s="276"/>
      <c r="Z211" s="276"/>
      <c r="AA211" s="276"/>
      <c r="AB211" s="276"/>
      <c r="AC211" s="276"/>
      <c r="AD211" s="276"/>
      <c r="AE211" s="276"/>
      <c r="AF211" s="276"/>
      <c r="AG211" s="276"/>
      <c r="AH211" s="276"/>
      <c r="AI211" s="276"/>
      <c r="AJ211" s="276"/>
      <c r="AK211" s="276"/>
      <c r="AL211" s="276"/>
      <c r="AM211" s="276"/>
      <c r="AN211" s="276"/>
      <c r="AO211" s="276"/>
      <c r="AP211" s="276"/>
      <c r="AQ211" s="276"/>
      <c r="AR211" s="276"/>
      <c r="AS211" s="276"/>
      <c r="AT211" s="276"/>
      <c r="AU211" s="276"/>
      <c r="AV211" s="276"/>
      <c r="AW211" s="276"/>
      <c r="AX211" s="276"/>
      <c r="AY211" s="276"/>
    </row>
    <row r="212" spans="1:51" ht="15.75" customHeight="1" x14ac:dyDescent="0.25">
      <c r="A212" s="276"/>
      <c r="B212" s="533"/>
      <c r="C212" s="353"/>
      <c r="D212" s="276"/>
      <c r="E212" s="276"/>
      <c r="F212" s="276"/>
      <c r="G212" s="276"/>
      <c r="H212" s="276"/>
      <c r="I212" s="276"/>
      <c r="J212" s="353"/>
      <c r="K212" s="276"/>
      <c r="L212" s="276"/>
      <c r="M212" s="276"/>
      <c r="N212" s="276"/>
      <c r="O212" s="276"/>
      <c r="P212" s="276"/>
      <c r="Q212" s="276"/>
      <c r="R212" s="276"/>
      <c r="S212" s="276"/>
      <c r="T212" s="276"/>
      <c r="U212" s="276"/>
      <c r="V212" s="276"/>
      <c r="W212" s="276"/>
      <c r="X212" s="276"/>
      <c r="Y212" s="276"/>
      <c r="Z212" s="276"/>
      <c r="AA212" s="276"/>
      <c r="AB212" s="276"/>
      <c r="AC212" s="276"/>
      <c r="AD212" s="276"/>
      <c r="AE212" s="276"/>
      <c r="AF212" s="276"/>
      <c r="AG212" s="276"/>
      <c r="AH212" s="276"/>
      <c r="AI212" s="276"/>
      <c r="AJ212" s="276"/>
      <c r="AK212" s="276"/>
      <c r="AL212" s="276"/>
      <c r="AM212" s="276"/>
      <c r="AN212" s="276"/>
      <c r="AO212" s="276"/>
      <c r="AP212" s="276"/>
      <c r="AQ212" s="276"/>
      <c r="AR212" s="276"/>
      <c r="AS212" s="276"/>
      <c r="AT212" s="276"/>
      <c r="AU212" s="276"/>
      <c r="AV212" s="276"/>
      <c r="AW212" s="276"/>
      <c r="AX212" s="276"/>
      <c r="AY212" s="276"/>
    </row>
    <row r="213" spans="1:51" ht="15.75" customHeight="1" x14ac:dyDescent="0.25">
      <c r="A213" s="276"/>
      <c r="B213" s="533"/>
      <c r="C213" s="353"/>
      <c r="D213" s="276"/>
      <c r="E213" s="276"/>
      <c r="F213" s="276"/>
      <c r="G213" s="276"/>
      <c r="H213" s="276"/>
      <c r="I213" s="276"/>
      <c r="J213" s="353"/>
      <c r="K213" s="276"/>
      <c r="L213" s="276"/>
      <c r="M213" s="276"/>
      <c r="N213" s="276"/>
      <c r="O213" s="276"/>
      <c r="P213" s="276"/>
      <c r="Q213" s="276"/>
      <c r="R213" s="276"/>
      <c r="S213" s="276"/>
      <c r="T213" s="276"/>
      <c r="U213" s="276"/>
      <c r="V213" s="276"/>
      <c r="W213" s="276"/>
      <c r="X213" s="276"/>
      <c r="Y213" s="276"/>
      <c r="Z213" s="276"/>
      <c r="AA213" s="276"/>
      <c r="AB213" s="276"/>
      <c r="AC213" s="276"/>
      <c r="AD213" s="276"/>
      <c r="AE213" s="276"/>
      <c r="AF213" s="276"/>
      <c r="AG213" s="276"/>
      <c r="AH213" s="276"/>
      <c r="AI213" s="276"/>
      <c r="AJ213" s="276"/>
      <c r="AK213" s="276"/>
      <c r="AL213" s="276"/>
      <c r="AM213" s="276"/>
      <c r="AN213" s="276"/>
      <c r="AO213" s="276"/>
      <c r="AP213" s="276"/>
      <c r="AQ213" s="276"/>
      <c r="AR213" s="276"/>
      <c r="AS213" s="276"/>
      <c r="AT213" s="276"/>
      <c r="AU213" s="276"/>
      <c r="AV213" s="276"/>
      <c r="AW213" s="276"/>
      <c r="AX213" s="276"/>
      <c r="AY213" s="276"/>
    </row>
    <row r="214" spans="1:51" ht="15.75" customHeight="1" x14ac:dyDescent="0.25">
      <c r="A214" s="276"/>
      <c r="B214" s="533"/>
      <c r="C214" s="353"/>
      <c r="D214" s="276"/>
      <c r="E214" s="276"/>
      <c r="F214" s="276"/>
      <c r="G214" s="276"/>
      <c r="H214" s="276"/>
      <c r="I214" s="276"/>
      <c r="J214" s="353"/>
      <c r="K214" s="276"/>
      <c r="L214" s="276"/>
      <c r="M214" s="276"/>
      <c r="N214" s="276"/>
      <c r="O214" s="276"/>
      <c r="P214" s="276"/>
      <c r="Q214" s="276"/>
      <c r="R214" s="276"/>
      <c r="S214" s="276"/>
      <c r="T214" s="276"/>
      <c r="U214" s="276"/>
      <c r="V214" s="276"/>
      <c r="W214" s="276"/>
      <c r="X214" s="276"/>
      <c r="Y214" s="276"/>
      <c r="Z214" s="276"/>
      <c r="AA214" s="276"/>
      <c r="AB214" s="276"/>
      <c r="AC214" s="276"/>
      <c r="AD214" s="276"/>
      <c r="AE214" s="276"/>
      <c r="AF214" s="276"/>
      <c r="AG214" s="276"/>
      <c r="AH214" s="276"/>
      <c r="AI214" s="276"/>
      <c r="AJ214" s="276"/>
      <c r="AK214" s="276"/>
      <c r="AL214" s="276"/>
      <c r="AM214" s="276"/>
      <c r="AN214" s="276"/>
      <c r="AO214" s="276"/>
      <c r="AP214" s="276"/>
      <c r="AQ214" s="276"/>
      <c r="AR214" s="276"/>
      <c r="AS214" s="276"/>
      <c r="AT214" s="276"/>
      <c r="AU214" s="276"/>
      <c r="AV214" s="276"/>
      <c r="AW214" s="276"/>
      <c r="AX214" s="276"/>
      <c r="AY214" s="276"/>
    </row>
    <row r="215" spans="1:51" ht="15.75" customHeight="1" x14ac:dyDescent="0.25">
      <c r="A215" s="276"/>
      <c r="B215" s="533"/>
      <c r="C215" s="353"/>
      <c r="D215" s="276"/>
      <c r="E215" s="276"/>
      <c r="F215" s="276"/>
      <c r="G215" s="276"/>
      <c r="H215" s="276"/>
      <c r="I215" s="276"/>
      <c r="J215" s="353"/>
      <c r="K215" s="276"/>
      <c r="L215" s="276"/>
      <c r="M215" s="276"/>
      <c r="N215" s="276"/>
      <c r="O215" s="276"/>
      <c r="P215" s="276"/>
      <c r="Q215" s="276"/>
      <c r="R215" s="276"/>
      <c r="S215" s="276"/>
      <c r="T215" s="276"/>
      <c r="U215" s="276"/>
      <c r="V215" s="276"/>
      <c r="W215" s="276"/>
      <c r="X215" s="276"/>
      <c r="Y215" s="276"/>
      <c r="Z215" s="276"/>
      <c r="AA215" s="276"/>
      <c r="AB215" s="276"/>
      <c r="AC215" s="276"/>
      <c r="AD215" s="276"/>
      <c r="AE215" s="276"/>
      <c r="AF215" s="276"/>
      <c r="AG215" s="276"/>
      <c r="AH215" s="276"/>
      <c r="AI215" s="276"/>
      <c r="AJ215" s="276"/>
      <c r="AK215" s="276"/>
      <c r="AL215" s="276"/>
      <c r="AM215" s="276"/>
      <c r="AN215" s="276"/>
      <c r="AO215" s="276"/>
      <c r="AP215" s="276"/>
      <c r="AQ215" s="276"/>
      <c r="AR215" s="276"/>
      <c r="AS215" s="276"/>
      <c r="AT215" s="276"/>
      <c r="AU215" s="276"/>
      <c r="AV215" s="276"/>
      <c r="AW215" s="276"/>
      <c r="AX215" s="276"/>
      <c r="AY215" s="276"/>
    </row>
    <row r="216" spans="1:51" ht="15.75" customHeight="1" x14ac:dyDescent="0.25">
      <c r="A216" s="276"/>
      <c r="B216" s="533"/>
      <c r="C216" s="353"/>
      <c r="D216" s="276"/>
      <c r="E216" s="276"/>
      <c r="F216" s="276"/>
      <c r="G216" s="276"/>
      <c r="H216" s="276"/>
      <c r="I216" s="276"/>
      <c r="J216" s="353"/>
      <c r="K216" s="276"/>
      <c r="L216" s="276"/>
      <c r="M216" s="276"/>
      <c r="N216" s="276"/>
      <c r="O216" s="276"/>
      <c r="P216" s="276"/>
      <c r="Q216" s="276"/>
      <c r="R216" s="276"/>
      <c r="S216" s="276"/>
      <c r="T216" s="276"/>
      <c r="U216" s="276"/>
      <c r="V216" s="276"/>
      <c r="W216" s="276"/>
      <c r="X216" s="276"/>
      <c r="Y216" s="276"/>
      <c r="Z216" s="276"/>
      <c r="AA216" s="276"/>
      <c r="AB216" s="276"/>
      <c r="AC216" s="276"/>
      <c r="AD216" s="276"/>
      <c r="AE216" s="276"/>
      <c r="AF216" s="276"/>
      <c r="AG216" s="276"/>
      <c r="AH216" s="276"/>
      <c r="AI216" s="276"/>
      <c r="AJ216" s="276"/>
      <c r="AK216" s="276"/>
      <c r="AL216" s="276"/>
      <c r="AM216" s="276"/>
      <c r="AN216" s="276"/>
      <c r="AO216" s="276"/>
      <c r="AP216" s="276"/>
      <c r="AQ216" s="276"/>
      <c r="AR216" s="276"/>
      <c r="AS216" s="276"/>
      <c r="AT216" s="276"/>
      <c r="AU216" s="276"/>
      <c r="AV216" s="276"/>
      <c r="AW216" s="276"/>
      <c r="AX216" s="276"/>
      <c r="AY216" s="276"/>
    </row>
    <row r="217" spans="1:51" ht="15.75" customHeight="1" x14ac:dyDescent="0.25">
      <c r="A217" s="276"/>
      <c r="B217" s="533"/>
      <c r="C217" s="353"/>
      <c r="D217" s="276"/>
      <c r="E217" s="276"/>
      <c r="F217" s="276"/>
      <c r="G217" s="276"/>
      <c r="H217" s="276"/>
      <c r="I217" s="276"/>
      <c r="J217" s="353"/>
      <c r="K217" s="276"/>
      <c r="L217" s="276"/>
      <c r="M217" s="276"/>
      <c r="N217" s="276"/>
      <c r="O217" s="276"/>
      <c r="P217" s="276"/>
      <c r="Q217" s="276"/>
      <c r="R217" s="276"/>
      <c r="S217" s="276"/>
      <c r="T217" s="276"/>
      <c r="U217" s="276"/>
      <c r="V217" s="276"/>
      <c r="W217" s="276"/>
      <c r="X217" s="276"/>
      <c r="Y217" s="276"/>
      <c r="Z217" s="276"/>
      <c r="AA217" s="276"/>
      <c r="AB217" s="276"/>
      <c r="AC217" s="276"/>
      <c r="AD217" s="276"/>
      <c r="AE217" s="276"/>
      <c r="AF217" s="276"/>
      <c r="AG217" s="276"/>
      <c r="AH217" s="276"/>
      <c r="AI217" s="276"/>
      <c r="AJ217" s="276"/>
      <c r="AK217" s="276"/>
      <c r="AL217" s="276"/>
      <c r="AM217" s="276"/>
      <c r="AN217" s="276"/>
      <c r="AO217" s="276"/>
      <c r="AP217" s="276"/>
      <c r="AQ217" s="276"/>
      <c r="AR217" s="276"/>
      <c r="AS217" s="276"/>
      <c r="AT217" s="276"/>
      <c r="AU217" s="276"/>
      <c r="AV217" s="276"/>
      <c r="AW217" s="276"/>
      <c r="AX217" s="276"/>
      <c r="AY217" s="276"/>
    </row>
    <row r="218" spans="1:51" ht="15.75" customHeight="1" x14ac:dyDescent="0.25">
      <c r="A218" s="276"/>
      <c r="B218" s="533"/>
      <c r="C218" s="353"/>
      <c r="D218" s="276"/>
      <c r="E218" s="276"/>
      <c r="F218" s="276"/>
      <c r="G218" s="276"/>
      <c r="H218" s="276"/>
      <c r="I218" s="276"/>
      <c r="J218" s="353"/>
      <c r="K218" s="276"/>
      <c r="L218" s="276"/>
      <c r="M218" s="276"/>
      <c r="N218" s="276"/>
      <c r="O218" s="276"/>
      <c r="P218" s="276"/>
      <c r="Q218" s="276"/>
      <c r="R218" s="276"/>
      <c r="S218" s="276"/>
      <c r="T218" s="276"/>
      <c r="U218" s="276"/>
      <c r="V218" s="276"/>
      <c r="W218" s="276"/>
      <c r="X218" s="276"/>
      <c r="Y218" s="276"/>
      <c r="Z218" s="276"/>
      <c r="AA218" s="276"/>
      <c r="AB218" s="276"/>
      <c r="AC218" s="276"/>
      <c r="AD218" s="276"/>
      <c r="AE218" s="276"/>
      <c r="AF218" s="276"/>
      <c r="AG218" s="276"/>
      <c r="AH218" s="276"/>
      <c r="AI218" s="276"/>
      <c r="AJ218" s="276"/>
      <c r="AK218" s="276"/>
      <c r="AL218" s="276"/>
      <c r="AM218" s="276"/>
      <c r="AN218" s="276"/>
      <c r="AO218" s="276"/>
      <c r="AP218" s="276"/>
      <c r="AQ218" s="276"/>
      <c r="AR218" s="276"/>
      <c r="AS218" s="276"/>
      <c r="AT218" s="276"/>
      <c r="AU218" s="276"/>
      <c r="AV218" s="276"/>
      <c r="AW218" s="276"/>
      <c r="AX218" s="276"/>
      <c r="AY218" s="276"/>
    </row>
    <row r="219" spans="1:51" ht="15.75" customHeight="1" x14ac:dyDescent="0.25">
      <c r="A219" s="276"/>
      <c r="B219" s="533"/>
      <c r="C219" s="353"/>
      <c r="D219" s="276"/>
      <c r="E219" s="276"/>
      <c r="F219" s="276"/>
      <c r="G219" s="276"/>
      <c r="H219" s="276"/>
      <c r="I219" s="276"/>
      <c r="J219" s="353"/>
      <c r="K219" s="276"/>
      <c r="L219" s="276"/>
      <c r="M219" s="276"/>
      <c r="N219" s="276"/>
      <c r="O219" s="276"/>
      <c r="P219" s="276"/>
      <c r="Q219" s="276"/>
      <c r="R219" s="276"/>
      <c r="S219" s="276"/>
      <c r="T219" s="276"/>
      <c r="U219" s="276"/>
      <c r="V219" s="276"/>
      <c r="W219" s="276"/>
      <c r="X219" s="276"/>
      <c r="Y219" s="276"/>
      <c r="Z219" s="276"/>
      <c r="AA219" s="276"/>
      <c r="AB219" s="276"/>
      <c r="AC219" s="276"/>
      <c r="AD219" s="276"/>
      <c r="AE219" s="276"/>
      <c r="AF219" s="276"/>
      <c r="AG219" s="276"/>
      <c r="AH219" s="276"/>
      <c r="AI219" s="276"/>
      <c r="AJ219" s="276"/>
      <c r="AK219" s="276"/>
      <c r="AL219" s="276"/>
      <c r="AM219" s="276"/>
      <c r="AN219" s="276"/>
      <c r="AO219" s="276"/>
      <c r="AP219" s="276"/>
      <c r="AQ219" s="276"/>
      <c r="AR219" s="276"/>
      <c r="AS219" s="276"/>
      <c r="AT219" s="276"/>
      <c r="AU219" s="276"/>
      <c r="AV219" s="276"/>
      <c r="AW219" s="276"/>
      <c r="AX219" s="276"/>
      <c r="AY219" s="276"/>
    </row>
    <row r="220" spans="1:51" ht="15.75" customHeight="1" x14ac:dyDescent="0.25">
      <c r="A220" s="276"/>
      <c r="B220" s="533"/>
      <c r="C220" s="353"/>
      <c r="D220" s="276"/>
      <c r="E220" s="276"/>
      <c r="F220" s="276"/>
      <c r="G220" s="276"/>
      <c r="H220" s="276"/>
      <c r="I220" s="276"/>
      <c r="J220" s="353"/>
      <c r="K220" s="276"/>
      <c r="L220" s="276"/>
      <c r="M220" s="276"/>
      <c r="N220" s="276"/>
      <c r="O220" s="276"/>
      <c r="P220" s="276"/>
      <c r="Q220" s="276"/>
      <c r="R220" s="276"/>
      <c r="S220" s="276"/>
      <c r="T220" s="276"/>
      <c r="U220" s="276"/>
      <c r="V220" s="276"/>
      <c r="W220" s="276"/>
      <c r="X220" s="276"/>
      <c r="Y220" s="276"/>
      <c r="Z220" s="276"/>
      <c r="AA220" s="276"/>
      <c r="AB220" s="276"/>
      <c r="AC220" s="276"/>
      <c r="AD220" s="276"/>
      <c r="AE220" s="276"/>
      <c r="AF220" s="276"/>
      <c r="AG220" s="276"/>
      <c r="AH220" s="276"/>
      <c r="AI220" s="276"/>
      <c r="AJ220" s="276"/>
      <c r="AK220" s="276"/>
      <c r="AL220" s="276"/>
      <c r="AM220" s="276"/>
      <c r="AN220" s="276"/>
      <c r="AO220" s="276"/>
      <c r="AP220" s="276"/>
      <c r="AQ220" s="276"/>
      <c r="AR220" s="276"/>
      <c r="AS220" s="276"/>
      <c r="AT220" s="276"/>
      <c r="AU220" s="276"/>
      <c r="AV220" s="276"/>
      <c r="AW220" s="276"/>
      <c r="AX220" s="276"/>
      <c r="AY220" s="276"/>
    </row>
    <row r="221" spans="1:51" ht="15.75" customHeight="1" x14ac:dyDescent="0.25">
      <c r="A221" s="276"/>
      <c r="B221" s="533"/>
      <c r="C221" s="353"/>
      <c r="D221" s="276"/>
      <c r="E221" s="276"/>
      <c r="F221" s="276"/>
      <c r="G221" s="276"/>
      <c r="H221" s="276"/>
      <c r="I221" s="276"/>
      <c r="J221" s="353"/>
      <c r="K221" s="276"/>
      <c r="L221" s="276"/>
      <c r="M221" s="276"/>
      <c r="N221" s="276"/>
      <c r="O221" s="276"/>
      <c r="P221" s="276"/>
      <c r="Q221" s="276"/>
      <c r="R221" s="276"/>
      <c r="S221" s="276"/>
      <c r="T221" s="276"/>
      <c r="U221" s="276"/>
      <c r="V221" s="276"/>
      <c r="W221" s="276"/>
      <c r="X221" s="276"/>
      <c r="Y221" s="276"/>
      <c r="Z221" s="276"/>
      <c r="AA221" s="276"/>
      <c r="AB221" s="276"/>
      <c r="AC221" s="276"/>
      <c r="AD221" s="276"/>
      <c r="AE221" s="276"/>
      <c r="AF221" s="276"/>
      <c r="AG221" s="276"/>
      <c r="AH221" s="276"/>
      <c r="AI221" s="276"/>
      <c r="AJ221" s="276"/>
      <c r="AK221" s="276"/>
      <c r="AL221" s="276"/>
      <c r="AM221" s="276"/>
      <c r="AN221" s="276"/>
      <c r="AO221" s="276"/>
      <c r="AP221" s="276"/>
      <c r="AQ221" s="276"/>
      <c r="AR221" s="276"/>
      <c r="AS221" s="276"/>
      <c r="AT221" s="276"/>
      <c r="AU221" s="276"/>
      <c r="AV221" s="276"/>
      <c r="AW221" s="276"/>
      <c r="AX221" s="276"/>
      <c r="AY221" s="276"/>
    </row>
    <row r="222" spans="1:51" ht="15.75" customHeight="1" x14ac:dyDescent="0.25">
      <c r="A222" s="276"/>
      <c r="B222" s="533"/>
      <c r="C222" s="353"/>
      <c r="D222" s="276"/>
      <c r="E222" s="276"/>
      <c r="F222" s="276"/>
      <c r="G222" s="276"/>
      <c r="H222" s="276"/>
      <c r="I222" s="276"/>
      <c r="J222" s="353"/>
      <c r="K222" s="276"/>
      <c r="L222" s="276"/>
      <c r="M222" s="276"/>
      <c r="N222" s="276"/>
      <c r="O222" s="276"/>
      <c r="P222" s="276"/>
      <c r="Q222" s="276"/>
      <c r="R222" s="276"/>
      <c r="S222" s="276"/>
      <c r="T222" s="276"/>
      <c r="U222" s="276"/>
      <c r="V222" s="276"/>
      <c r="W222" s="276"/>
      <c r="X222" s="276"/>
      <c r="Y222" s="276"/>
      <c r="Z222" s="276"/>
      <c r="AA222" s="276"/>
      <c r="AB222" s="276"/>
      <c r="AC222" s="276"/>
      <c r="AD222" s="276"/>
      <c r="AE222" s="276"/>
      <c r="AF222" s="276"/>
      <c r="AG222" s="276"/>
      <c r="AH222" s="276"/>
      <c r="AI222" s="276"/>
      <c r="AJ222" s="276"/>
      <c r="AK222" s="276"/>
      <c r="AL222" s="276"/>
      <c r="AM222" s="276"/>
      <c r="AN222" s="276"/>
      <c r="AO222" s="276"/>
      <c r="AP222" s="276"/>
      <c r="AQ222" s="276"/>
      <c r="AR222" s="276"/>
      <c r="AS222" s="276"/>
      <c r="AT222" s="276"/>
      <c r="AU222" s="276"/>
      <c r="AV222" s="276"/>
      <c r="AW222" s="276"/>
      <c r="AX222" s="276"/>
      <c r="AY222" s="276"/>
    </row>
    <row r="223" spans="1:51" ht="15.75" customHeight="1" x14ac:dyDescent="0.25">
      <c r="A223" s="276"/>
      <c r="B223" s="533"/>
      <c r="C223" s="353"/>
      <c r="D223" s="276"/>
      <c r="E223" s="276"/>
      <c r="F223" s="276"/>
      <c r="G223" s="276"/>
      <c r="H223" s="276"/>
      <c r="I223" s="276"/>
      <c r="J223" s="353"/>
      <c r="K223" s="276"/>
      <c r="L223" s="276"/>
      <c r="M223" s="276"/>
      <c r="N223" s="276"/>
      <c r="O223" s="276"/>
      <c r="P223" s="276"/>
      <c r="Q223" s="276"/>
      <c r="R223" s="276"/>
      <c r="S223" s="276"/>
      <c r="T223" s="276"/>
      <c r="U223" s="276"/>
      <c r="V223" s="276"/>
      <c r="W223" s="276"/>
      <c r="X223" s="276"/>
      <c r="Y223" s="276"/>
      <c r="Z223" s="276"/>
      <c r="AA223" s="276"/>
      <c r="AB223" s="276"/>
      <c r="AC223" s="276"/>
      <c r="AD223" s="276"/>
      <c r="AE223" s="276"/>
      <c r="AF223" s="276"/>
      <c r="AG223" s="276"/>
      <c r="AH223" s="276"/>
      <c r="AI223" s="276"/>
      <c r="AJ223" s="276"/>
      <c r="AK223" s="276"/>
      <c r="AL223" s="276"/>
      <c r="AM223" s="276"/>
      <c r="AN223" s="276"/>
      <c r="AO223" s="276"/>
      <c r="AP223" s="276"/>
      <c r="AQ223" s="276"/>
      <c r="AR223" s="276"/>
      <c r="AS223" s="276"/>
      <c r="AT223" s="276"/>
      <c r="AU223" s="276"/>
      <c r="AV223" s="276"/>
      <c r="AW223" s="276"/>
      <c r="AX223" s="276"/>
      <c r="AY223" s="276"/>
    </row>
    <row r="224" spans="1:51" ht="15.75" customHeight="1" x14ac:dyDescent="0.25">
      <c r="A224" s="276"/>
      <c r="B224" s="533"/>
      <c r="C224" s="353"/>
      <c r="D224" s="276"/>
      <c r="E224" s="276"/>
      <c r="F224" s="276"/>
      <c r="G224" s="276"/>
      <c r="H224" s="276"/>
      <c r="I224" s="276"/>
      <c r="J224" s="353"/>
      <c r="K224" s="276"/>
      <c r="L224" s="276"/>
      <c r="M224" s="276"/>
      <c r="N224" s="276"/>
      <c r="O224" s="276"/>
      <c r="P224" s="276"/>
      <c r="Q224" s="276"/>
      <c r="R224" s="276"/>
      <c r="S224" s="276"/>
      <c r="T224" s="276"/>
      <c r="U224" s="276"/>
      <c r="V224" s="276"/>
      <c r="W224" s="276"/>
      <c r="X224" s="276"/>
      <c r="Y224" s="276"/>
      <c r="Z224" s="276"/>
      <c r="AA224" s="276"/>
      <c r="AB224" s="276"/>
      <c r="AC224" s="276"/>
      <c r="AD224" s="276"/>
      <c r="AE224" s="276"/>
      <c r="AF224" s="276"/>
      <c r="AG224" s="276"/>
      <c r="AH224" s="276"/>
      <c r="AI224" s="276"/>
      <c r="AJ224" s="276"/>
      <c r="AK224" s="276"/>
      <c r="AL224" s="276"/>
      <c r="AM224" s="276"/>
      <c r="AN224" s="276"/>
      <c r="AO224" s="276"/>
      <c r="AP224" s="276"/>
      <c r="AQ224" s="276"/>
      <c r="AR224" s="276"/>
      <c r="AS224" s="276"/>
      <c r="AT224" s="276"/>
      <c r="AU224" s="276"/>
      <c r="AV224" s="276"/>
      <c r="AW224" s="276"/>
      <c r="AX224" s="276"/>
      <c r="AY224" s="276"/>
    </row>
    <row r="225" spans="1:51" ht="15.75" customHeight="1" x14ac:dyDescent="0.25">
      <c r="A225" s="276"/>
      <c r="B225" s="533"/>
      <c r="C225" s="353"/>
      <c r="D225" s="276"/>
      <c r="E225" s="276"/>
      <c r="F225" s="276"/>
      <c r="G225" s="276"/>
      <c r="H225" s="276"/>
      <c r="I225" s="276"/>
      <c r="J225" s="353"/>
      <c r="K225" s="276"/>
      <c r="L225" s="276"/>
      <c r="M225" s="276"/>
      <c r="N225" s="276"/>
      <c r="O225" s="276"/>
      <c r="P225" s="276"/>
      <c r="Q225" s="276"/>
      <c r="R225" s="276"/>
      <c r="S225" s="276"/>
      <c r="T225" s="276"/>
      <c r="U225" s="276"/>
      <c r="V225" s="276"/>
      <c r="W225" s="276"/>
      <c r="X225" s="276"/>
      <c r="Y225" s="276"/>
      <c r="Z225" s="276"/>
      <c r="AA225" s="276"/>
      <c r="AB225" s="276"/>
      <c r="AC225" s="276"/>
      <c r="AD225" s="276"/>
      <c r="AE225" s="276"/>
      <c r="AF225" s="276"/>
      <c r="AG225" s="276"/>
      <c r="AH225" s="276"/>
      <c r="AI225" s="276"/>
      <c r="AJ225" s="276"/>
      <c r="AK225" s="276"/>
      <c r="AL225" s="276"/>
      <c r="AM225" s="276"/>
      <c r="AN225" s="276"/>
      <c r="AO225" s="276"/>
      <c r="AP225" s="276"/>
      <c r="AQ225" s="276"/>
      <c r="AR225" s="276"/>
      <c r="AS225" s="276"/>
      <c r="AT225" s="276"/>
      <c r="AU225" s="276"/>
      <c r="AV225" s="276"/>
      <c r="AW225" s="276"/>
      <c r="AX225" s="276"/>
      <c r="AY225" s="276"/>
    </row>
    <row r="226" spans="1:51" ht="15.75" customHeight="1" x14ac:dyDescent="0.25">
      <c r="A226" s="276"/>
      <c r="B226" s="533"/>
      <c r="C226" s="353"/>
      <c r="D226" s="276"/>
      <c r="E226" s="276"/>
      <c r="F226" s="276"/>
      <c r="G226" s="276"/>
      <c r="H226" s="276"/>
      <c r="I226" s="276"/>
      <c r="J226" s="353"/>
      <c r="K226" s="276"/>
      <c r="L226" s="276"/>
      <c r="M226" s="276"/>
      <c r="N226" s="276"/>
      <c r="O226" s="276"/>
      <c r="P226" s="276"/>
      <c r="Q226" s="276"/>
      <c r="R226" s="276"/>
      <c r="S226" s="276"/>
      <c r="T226" s="276"/>
      <c r="U226" s="276"/>
      <c r="V226" s="276"/>
      <c r="W226" s="276"/>
      <c r="X226" s="276"/>
      <c r="Y226" s="276"/>
      <c r="Z226" s="276"/>
      <c r="AA226" s="276"/>
      <c r="AB226" s="276"/>
      <c r="AC226" s="276"/>
      <c r="AD226" s="276"/>
      <c r="AE226" s="276"/>
      <c r="AF226" s="276"/>
      <c r="AG226" s="276"/>
      <c r="AH226" s="276"/>
      <c r="AI226" s="276"/>
      <c r="AJ226" s="276"/>
      <c r="AK226" s="276"/>
      <c r="AL226" s="276"/>
      <c r="AM226" s="276"/>
      <c r="AN226" s="276"/>
      <c r="AO226" s="276"/>
      <c r="AP226" s="276"/>
      <c r="AQ226" s="276"/>
      <c r="AR226" s="276"/>
      <c r="AS226" s="276"/>
      <c r="AT226" s="276"/>
      <c r="AU226" s="276"/>
      <c r="AV226" s="276"/>
      <c r="AW226" s="276"/>
      <c r="AX226" s="276"/>
      <c r="AY226" s="276"/>
    </row>
    <row r="227" spans="1:51" ht="15.75" customHeight="1" x14ac:dyDescent="0.25">
      <c r="A227" s="276"/>
      <c r="B227" s="533"/>
      <c r="C227" s="353"/>
      <c r="D227" s="276"/>
      <c r="E227" s="276"/>
      <c r="F227" s="276"/>
      <c r="G227" s="276"/>
      <c r="H227" s="276"/>
      <c r="I227" s="276"/>
      <c r="J227" s="353"/>
      <c r="K227" s="276"/>
      <c r="L227" s="276"/>
      <c r="M227" s="276"/>
      <c r="N227" s="276"/>
      <c r="O227" s="276"/>
      <c r="P227" s="276"/>
      <c r="Q227" s="276"/>
      <c r="R227" s="276"/>
      <c r="S227" s="276"/>
      <c r="T227" s="276"/>
      <c r="U227" s="276"/>
      <c r="V227" s="276"/>
      <c r="W227" s="276"/>
      <c r="X227" s="276"/>
      <c r="Y227" s="276"/>
      <c r="Z227" s="276"/>
      <c r="AA227" s="276"/>
      <c r="AB227" s="276"/>
      <c r="AC227" s="276"/>
      <c r="AD227" s="276"/>
      <c r="AE227" s="276"/>
      <c r="AF227" s="276"/>
      <c r="AG227" s="276"/>
      <c r="AH227" s="276"/>
      <c r="AI227" s="276"/>
      <c r="AJ227" s="276"/>
      <c r="AK227" s="276"/>
      <c r="AL227" s="276"/>
      <c r="AM227" s="276"/>
      <c r="AN227" s="276"/>
      <c r="AO227" s="276"/>
      <c r="AP227" s="276"/>
      <c r="AQ227" s="276"/>
      <c r="AR227" s="276"/>
      <c r="AS227" s="276"/>
      <c r="AT227" s="276"/>
      <c r="AU227" s="276"/>
      <c r="AV227" s="276"/>
      <c r="AW227" s="276"/>
      <c r="AX227" s="276"/>
      <c r="AY227" s="276"/>
    </row>
    <row r="228" spans="1:51" ht="15.75" customHeight="1" x14ac:dyDescent="0.25">
      <c r="A228" s="276"/>
      <c r="B228" s="533"/>
      <c r="C228" s="353"/>
      <c r="D228" s="276"/>
      <c r="E228" s="276"/>
      <c r="F228" s="276"/>
      <c r="G228" s="276"/>
      <c r="H228" s="276"/>
      <c r="I228" s="276"/>
      <c r="J228" s="353"/>
      <c r="K228" s="276"/>
      <c r="L228" s="276"/>
      <c r="M228" s="276"/>
      <c r="N228" s="276"/>
      <c r="O228" s="276"/>
      <c r="P228" s="276"/>
      <c r="Q228" s="276"/>
      <c r="R228" s="276"/>
      <c r="S228" s="276"/>
      <c r="T228" s="276"/>
      <c r="U228" s="276"/>
      <c r="V228" s="276"/>
      <c r="W228" s="276"/>
      <c r="X228" s="276"/>
      <c r="Y228" s="276"/>
      <c r="Z228" s="276"/>
      <c r="AA228" s="276"/>
      <c r="AB228" s="276"/>
      <c r="AC228" s="276"/>
      <c r="AD228" s="276"/>
      <c r="AE228" s="276"/>
      <c r="AF228" s="276"/>
      <c r="AG228" s="276"/>
      <c r="AH228" s="276"/>
      <c r="AI228" s="276"/>
      <c r="AJ228" s="276"/>
      <c r="AK228" s="276"/>
      <c r="AL228" s="276"/>
      <c r="AM228" s="276"/>
      <c r="AN228" s="276"/>
      <c r="AO228" s="276"/>
      <c r="AP228" s="276"/>
      <c r="AQ228" s="276"/>
      <c r="AR228" s="276"/>
      <c r="AS228" s="276"/>
      <c r="AT228" s="276"/>
      <c r="AU228" s="276"/>
      <c r="AV228" s="276"/>
      <c r="AW228" s="276"/>
      <c r="AX228" s="276"/>
      <c r="AY228" s="276"/>
    </row>
    <row r="229" spans="1:51" ht="15.75" customHeight="1" x14ac:dyDescent="0.25">
      <c r="A229" s="276"/>
      <c r="B229" s="533"/>
      <c r="C229" s="353"/>
      <c r="D229" s="276"/>
      <c r="E229" s="276"/>
      <c r="F229" s="276"/>
      <c r="G229" s="276"/>
      <c r="H229" s="276"/>
      <c r="I229" s="276"/>
      <c r="J229" s="353"/>
      <c r="K229" s="276"/>
      <c r="L229" s="276"/>
      <c r="M229" s="276"/>
      <c r="N229" s="276"/>
      <c r="O229" s="276"/>
      <c r="P229" s="276"/>
      <c r="Q229" s="276"/>
      <c r="R229" s="276"/>
      <c r="S229" s="276"/>
      <c r="T229" s="276"/>
      <c r="U229" s="276"/>
      <c r="V229" s="276"/>
      <c r="W229" s="276"/>
      <c r="X229" s="276"/>
      <c r="Y229" s="276"/>
      <c r="Z229" s="276"/>
      <c r="AA229" s="276"/>
      <c r="AB229" s="276"/>
      <c r="AC229" s="276"/>
      <c r="AD229" s="276"/>
      <c r="AE229" s="276"/>
      <c r="AF229" s="276"/>
      <c r="AG229" s="276"/>
      <c r="AH229" s="276"/>
      <c r="AI229" s="276"/>
      <c r="AJ229" s="276"/>
      <c r="AK229" s="276"/>
      <c r="AL229" s="276"/>
      <c r="AM229" s="276"/>
      <c r="AN229" s="276"/>
      <c r="AO229" s="276"/>
      <c r="AP229" s="276"/>
      <c r="AQ229" s="276"/>
      <c r="AR229" s="276"/>
      <c r="AS229" s="276"/>
      <c r="AT229" s="276"/>
      <c r="AU229" s="276"/>
      <c r="AV229" s="276"/>
      <c r="AW229" s="276"/>
      <c r="AX229" s="276"/>
      <c r="AY229" s="276"/>
    </row>
    <row r="230" spans="1:51" ht="15.75" customHeight="1" x14ac:dyDescent="0.25">
      <c r="A230" s="276"/>
      <c r="B230" s="533"/>
      <c r="C230" s="353"/>
      <c r="D230" s="276"/>
      <c r="E230" s="276"/>
      <c r="F230" s="276"/>
      <c r="G230" s="276"/>
      <c r="H230" s="276"/>
      <c r="I230" s="276"/>
      <c r="J230" s="353"/>
      <c r="K230" s="276"/>
      <c r="L230" s="276"/>
      <c r="M230" s="276"/>
      <c r="N230" s="276"/>
      <c r="O230" s="276"/>
      <c r="P230" s="276"/>
      <c r="Q230" s="276"/>
      <c r="R230" s="276"/>
      <c r="S230" s="276"/>
      <c r="T230" s="276"/>
      <c r="U230" s="276"/>
      <c r="V230" s="276"/>
      <c r="W230" s="276"/>
      <c r="X230" s="276"/>
      <c r="Y230" s="276"/>
      <c r="Z230" s="276"/>
      <c r="AA230" s="276"/>
      <c r="AB230" s="276"/>
      <c r="AC230" s="276"/>
      <c r="AD230" s="276"/>
      <c r="AE230" s="276"/>
      <c r="AF230" s="276"/>
      <c r="AG230" s="276"/>
      <c r="AH230" s="276"/>
      <c r="AI230" s="276"/>
      <c r="AJ230" s="276"/>
      <c r="AK230" s="276"/>
      <c r="AL230" s="276"/>
      <c r="AM230" s="276"/>
      <c r="AN230" s="276"/>
      <c r="AO230" s="276"/>
      <c r="AP230" s="276"/>
      <c r="AQ230" s="276"/>
      <c r="AR230" s="276"/>
      <c r="AS230" s="276"/>
      <c r="AT230" s="276"/>
      <c r="AU230" s="276"/>
      <c r="AV230" s="276"/>
      <c r="AW230" s="276"/>
      <c r="AX230" s="276"/>
      <c r="AY230" s="276"/>
    </row>
    <row r="231" spans="1:51" ht="15.75" customHeight="1" x14ac:dyDescent="0.25">
      <c r="A231" s="276"/>
      <c r="B231" s="533"/>
      <c r="C231" s="353"/>
      <c r="D231" s="276"/>
      <c r="E231" s="276"/>
      <c r="F231" s="276"/>
      <c r="G231" s="276"/>
      <c r="H231" s="276"/>
      <c r="I231" s="276"/>
      <c r="J231" s="353"/>
      <c r="K231" s="276"/>
      <c r="L231" s="276"/>
      <c r="M231" s="276"/>
      <c r="N231" s="276"/>
      <c r="O231" s="276"/>
      <c r="P231" s="276"/>
      <c r="Q231" s="276"/>
      <c r="R231" s="276"/>
      <c r="S231" s="276"/>
      <c r="T231" s="276"/>
      <c r="U231" s="276"/>
      <c r="V231" s="276"/>
      <c r="W231" s="276"/>
      <c r="X231" s="276"/>
      <c r="Y231" s="276"/>
      <c r="Z231" s="276"/>
      <c r="AA231" s="276"/>
      <c r="AB231" s="276"/>
      <c r="AC231" s="276"/>
      <c r="AD231" s="276"/>
      <c r="AE231" s="276"/>
      <c r="AF231" s="276"/>
      <c r="AG231" s="276"/>
      <c r="AH231" s="276"/>
      <c r="AI231" s="276"/>
      <c r="AJ231" s="276"/>
      <c r="AK231" s="276"/>
      <c r="AL231" s="276"/>
      <c r="AM231" s="276"/>
      <c r="AN231" s="276"/>
      <c r="AO231" s="276"/>
      <c r="AP231" s="276"/>
      <c r="AQ231" s="276"/>
      <c r="AR231" s="276"/>
      <c r="AS231" s="276"/>
      <c r="AT231" s="276"/>
      <c r="AU231" s="276"/>
      <c r="AV231" s="276"/>
      <c r="AW231" s="276"/>
      <c r="AX231" s="276"/>
      <c r="AY231" s="276"/>
    </row>
    <row r="232" spans="1:51" ht="15.75" customHeight="1" x14ac:dyDescent="0.25">
      <c r="A232" s="276"/>
      <c r="B232" s="533"/>
      <c r="C232" s="353"/>
      <c r="D232" s="276"/>
      <c r="E232" s="276"/>
      <c r="F232" s="276"/>
      <c r="G232" s="276"/>
      <c r="H232" s="276"/>
      <c r="I232" s="276"/>
      <c r="J232" s="353"/>
      <c r="K232" s="276"/>
      <c r="L232" s="276"/>
      <c r="M232" s="276"/>
      <c r="N232" s="276"/>
      <c r="O232" s="276"/>
      <c r="P232" s="276"/>
      <c r="Q232" s="276"/>
      <c r="R232" s="276"/>
      <c r="S232" s="276"/>
      <c r="T232" s="276"/>
      <c r="U232" s="276"/>
      <c r="V232" s="276"/>
      <c r="W232" s="276"/>
      <c r="X232" s="276"/>
      <c r="Y232" s="276"/>
      <c r="Z232" s="276"/>
      <c r="AA232" s="276"/>
      <c r="AB232" s="276"/>
      <c r="AC232" s="276"/>
      <c r="AD232" s="276"/>
      <c r="AE232" s="276"/>
      <c r="AF232" s="276"/>
      <c r="AG232" s="276"/>
      <c r="AH232" s="276"/>
      <c r="AI232" s="276"/>
      <c r="AJ232" s="276"/>
      <c r="AK232" s="276"/>
      <c r="AL232" s="276"/>
      <c r="AM232" s="276"/>
      <c r="AN232" s="276"/>
      <c r="AO232" s="276"/>
      <c r="AP232" s="276"/>
      <c r="AQ232" s="276"/>
      <c r="AR232" s="276"/>
      <c r="AS232" s="276"/>
      <c r="AT232" s="276"/>
      <c r="AU232" s="276"/>
      <c r="AV232" s="276"/>
      <c r="AW232" s="276"/>
      <c r="AX232" s="276"/>
      <c r="AY232" s="276"/>
    </row>
    <row r="233" spans="1:51" ht="15.75" customHeight="1" x14ac:dyDescent="0.25">
      <c r="A233" s="276"/>
      <c r="B233" s="533"/>
      <c r="C233" s="353"/>
      <c r="D233" s="276"/>
      <c r="E233" s="276"/>
      <c r="F233" s="276"/>
      <c r="G233" s="276"/>
      <c r="H233" s="276"/>
      <c r="I233" s="276"/>
      <c r="J233" s="353"/>
      <c r="K233" s="276"/>
      <c r="L233" s="276"/>
      <c r="M233" s="276"/>
      <c r="N233" s="276"/>
      <c r="O233" s="276"/>
      <c r="P233" s="276"/>
      <c r="Q233" s="276"/>
      <c r="R233" s="276"/>
      <c r="S233" s="276"/>
      <c r="T233" s="276"/>
      <c r="U233" s="276"/>
      <c r="V233" s="276"/>
      <c r="W233" s="276"/>
      <c r="X233" s="276"/>
      <c r="Y233" s="276"/>
      <c r="Z233" s="276"/>
      <c r="AA233" s="276"/>
      <c r="AB233" s="276"/>
      <c r="AC233" s="276"/>
      <c r="AD233" s="276"/>
      <c r="AE233" s="276"/>
      <c r="AF233" s="276"/>
      <c r="AG233" s="276"/>
      <c r="AH233" s="276"/>
      <c r="AI233" s="276"/>
      <c r="AJ233" s="276"/>
      <c r="AK233" s="276"/>
      <c r="AL233" s="276"/>
      <c r="AM233" s="276"/>
      <c r="AN233" s="276"/>
      <c r="AO233" s="276"/>
      <c r="AP233" s="276"/>
      <c r="AQ233" s="276"/>
      <c r="AR233" s="276"/>
      <c r="AS233" s="276"/>
      <c r="AT233" s="276"/>
      <c r="AU233" s="276"/>
      <c r="AV233" s="276"/>
      <c r="AW233" s="276"/>
      <c r="AX233" s="276"/>
      <c r="AY233" s="276"/>
    </row>
    <row r="234" spans="1:51" ht="15.75" customHeight="1" x14ac:dyDescent="0.25">
      <c r="A234" s="276"/>
      <c r="B234" s="533"/>
      <c r="C234" s="353"/>
      <c r="D234" s="276"/>
      <c r="E234" s="276"/>
      <c r="F234" s="276"/>
      <c r="G234" s="276"/>
      <c r="H234" s="276"/>
      <c r="I234" s="276"/>
      <c r="J234" s="353"/>
      <c r="K234" s="276"/>
      <c r="L234" s="276"/>
      <c r="M234" s="276"/>
      <c r="N234" s="276"/>
      <c r="O234" s="276"/>
      <c r="P234" s="276"/>
      <c r="Q234" s="276"/>
      <c r="R234" s="276"/>
      <c r="S234" s="276"/>
      <c r="T234" s="276"/>
      <c r="U234" s="276"/>
      <c r="V234" s="276"/>
      <c r="W234" s="276"/>
      <c r="X234" s="276"/>
      <c r="Y234" s="276"/>
      <c r="Z234" s="276"/>
      <c r="AA234" s="276"/>
      <c r="AB234" s="276"/>
      <c r="AC234" s="276"/>
      <c r="AD234" s="276"/>
      <c r="AE234" s="276"/>
      <c r="AF234" s="276"/>
      <c r="AG234" s="276"/>
      <c r="AH234" s="276"/>
      <c r="AI234" s="276"/>
      <c r="AJ234" s="276"/>
      <c r="AK234" s="276"/>
      <c r="AL234" s="276"/>
      <c r="AM234" s="276"/>
      <c r="AN234" s="276"/>
      <c r="AO234" s="276"/>
      <c r="AP234" s="276"/>
      <c r="AQ234" s="276"/>
      <c r="AR234" s="276"/>
      <c r="AS234" s="276"/>
      <c r="AT234" s="276"/>
      <c r="AU234" s="276"/>
      <c r="AV234" s="276"/>
      <c r="AW234" s="276"/>
      <c r="AX234" s="276"/>
      <c r="AY234" s="276"/>
    </row>
    <row r="235" spans="1:51" ht="15.75" customHeight="1" x14ac:dyDescent="0.25">
      <c r="A235" s="276"/>
      <c r="B235" s="533"/>
      <c r="C235" s="353"/>
      <c r="D235" s="276"/>
      <c r="E235" s="276"/>
      <c r="F235" s="276"/>
      <c r="G235" s="276"/>
      <c r="H235" s="276"/>
      <c r="I235" s="276"/>
      <c r="J235" s="353"/>
      <c r="K235" s="276"/>
      <c r="L235" s="276"/>
      <c r="M235" s="276"/>
      <c r="N235" s="276"/>
      <c r="O235" s="276"/>
      <c r="P235" s="276"/>
      <c r="Q235" s="276"/>
      <c r="R235" s="276"/>
      <c r="S235" s="276"/>
      <c r="T235" s="276"/>
      <c r="U235" s="276"/>
      <c r="V235" s="276"/>
      <c r="W235" s="276"/>
      <c r="X235" s="276"/>
      <c r="Y235" s="276"/>
      <c r="Z235" s="276"/>
      <c r="AA235" s="276"/>
      <c r="AB235" s="276"/>
      <c r="AC235" s="276"/>
      <c r="AD235" s="276"/>
      <c r="AE235" s="276"/>
      <c r="AF235" s="276"/>
      <c r="AG235" s="276"/>
      <c r="AH235" s="276"/>
      <c r="AI235" s="276"/>
      <c r="AJ235" s="276"/>
      <c r="AK235" s="276"/>
      <c r="AL235" s="276"/>
      <c r="AM235" s="276"/>
      <c r="AN235" s="276"/>
      <c r="AO235" s="276"/>
      <c r="AP235" s="276"/>
      <c r="AQ235" s="276"/>
      <c r="AR235" s="276"/>
      <c r="AS235" s="276"/>
      <c r="AT235" s="276"/>
      <c r="AU235" s="276"/>
      <c r="AV235" s="276"/>
      <c r="AW235" s="276"/>
      <c r="AX235" s="276"/>
      <c r="AY235" s="276"/>
    </row>
    <row r="236" spans="1:51" ht="15.75" customHeight="1" x14ac:dyDescent="0.25">
      <c r="A236" s="276"/>
      <c r="B236" s="533"/>
      <c r="C236" s="353"/>
      <c r="D236" s="276"/>
      <c r="E236" s="276"/>
      <c r="F236" s="276"/>
      <c r="G236" s="276"/>
      <c r="H236" s="276"/>
      <c r="I236" s="276"/>
      <c r="J236" s="353"/>
      <c r="K236" s="276"/>
      <c r="L236" s="276"/>
      <c r="M236" s="276"/>
      <c r="N236" s="276"/>
      <c r="O236" s="276"/>
      <c r="P236" s="276"/>
      <c r="Q236" s="276"/>
      <c r="R236" s="276"/>
      <c r="S236" s="276"/>
      <c r="T236" s="276"/>
      <c r="U236" s="276"/>
      <c r="V236" s="276"/>
      <c r="W236" s="276"/>
      <c r="X236" s="276"/>
      <c r="Y236" s="276"/>
      <c r="Z236" s="276"/>
      <c r="AA236" s="276"/>
      <c r="AB236" s="276"/>
      <c r="AC236" s="276"/>
      <c r="AD236" s="276"/>
      <c r="AE236" s="276"/>
      <c r="AF236" s="276"/>
      <c r="AG236" s="276"/>
      <c r="AH236" s="276"/>
      <c r="AI236" s="276"/>
      <c r="AJ236" s="276"/>
      <c r="AK236" s="276"/>
      <c r="AL236" s="276"/>
      <c r="AM236" s="276"/>
      <c r="AN236" s="276"/>
      <c r="AO236" s="276"/>
      <c r="AP236" s="276"/>
      <c r="AQ236" s="276"/>
      <c r="AR236" s="276"/>
      <c r="AS236" s="276"/>
      <c r="AT236" s="276"/>
      <c r="AU236" s="276"/>
      <c r="AV236" s="276"/>
      <c r="AW236" s="276"/>
      <c r="AX236" s="276"/>
      <c r="AY236" s="276"/>
    </row>
    <row r="237" spans="1:51" ht="15.75" customHeight="1" x14ac:dyDescent="0.25">
      <c r="A237" s="276"/>
      <c r="B237" s="533"/>
      <c r="C237" s="353"/>
      <c r="D237" s="276"/>
      <c r="E237" s="276"/>
      <c r="F237" s="276"/>
      <c r="G237" s="276"/>
      <c r="H237" s="276"/>
      <c r="I237" s="276"/>
      <c r="J237" s="353"/>
      <c r="K237" s="276"/>
      <c r="L237" s="276"/>
      <c r="M237" s="276"/>
      <c r="N237" s="276"/>
      <c r="O237" s="276"/>
      <c r="P237" s="276"/>
      <c r="Q237" s="276"/>
      <c r="R237" s="276"/>
      <c r="S237" s="276"/>
      <c r="T237" s="276"/>
      <c r="U237" s="276"/>
      <c r="V237" s="276"/>
      <c r="W237" s="276"/>
      <c r="X237" s="276"/>
      <c r="Y237" s="276"/>
      <c r="Z237" s="276"/>
      <c r="AA237" s="276"/>
      <c r="AB237" s="276"/>
      <c r="AC237" s="276"/>
      <c r="AD237" s="276"/>
      <c r="AE237" s="276"/>
      <c r="AF237" s="276"/>
      <c r="AG237" s="276"/>
      <c r="AH237" s="276"/>
      <c r="AI237" s="276"/>
      <c r="AJ237" s="276"/>
      <c r="AK237" s="276"/>
      <c r="AL237" s="276"/>
      <c r="AM237" s="276"/>
      <c r="AN237" s="276"/>
      <c r="AO237" s="276"/>
      <c r="AP237" s="276"/>
      <c r="AQ237" s="276"/>
      <c r="AR237" s="276"/>
      <c r="AS237" s="276"/>
      <c r="AT237" s="276"/>
      <c r="AU237" s="276"/>
      <c r="AV237" s="276"/>
      <c r="AW237" s="276"/>
      <c r="AX237" s="276"/>
      <c r="AY237" s="276"/>
    </row>
    <row r="238" spans="1:51" ht="15.75" customHeight="1" x14ac:dyDescent="0.25">
      <c r="A238" s="276"/>
      <c r="B238" s="533"/>
      <c r="C238" s="353"/>
      <c r="D238" s="276"/>
      <c r="E238" s="276"/>
      <c r="F238" s="276"/>
      <c r="G238" s="276"/>
      <c r="H238" s="276"/>
      <c r="I238" s="276"/>
      <c r="J238" s="353"/>
      <c r="K238" s="276"/>
      <c r="L238" s="276"/>
      <c r="M238" s="276"/>
      <c r="N238" s="276"/>
      <c r="O238" s="276"/>
      <c r="P238" s="276"/>
      <c r="Q238" s="276"/>
      <c r="R238" s="276"/>
      <c r="S238" s="276"/>
      <c r="T238" s="276"/>
      <c r="U238" s="276"/>
      <c r="V238" s="276"/>
      <c r="W238" s="276"/>
      <c r="X238" s="276"/>
      <c r="Y238" s="276"/>
      <c r="Z238" s="276"/>
      <c r="AA238" s="276"/>
      <c r="AB238" s="276"/>
      <c r="AC238" s="276"/>
      <c r="AD238" s="276"/>
      <c r="AE238" s="276"/>
      <c r="AF238" s="276"/>
      <c r="AG238" s="276"/>
      <c r="AH238" s="276"/>
      <c r="AI238" s="276"/>
      <c r="AJ238" s="276"/>
      <c r="AK238" s="276"/>
      <c r="AL238" s="276"/>
      <c r="AM238" s="276"/>
      <c r="AN238" s="276"/>
      <c r="AO238" s="276"/>
      <c r="AP238" s="276"/>
      <c r="AQ238" s="276"/>
      <c r="AR238" s="276"/>
      <c r="AS238" s="276"/>
      <c r="AT238" s="276"/>
      <c r="AU238" s="276"/>
      <c r="AV238" s="276"/>
      <c r="AW238" s="276"/>
      <c r="AX238" s="276"/>
      <c r="AY238" s="276"/>
    </row>
    <row r="239" spans="1:51" ht="15.75" customHeight="1" x14ac:dyDescent="0.25">
      <c r="A239" s="276"/>
      <c r="B239" s="533"/>
      <c r="C239" s="353"/>
      <c r="D239" s="276"/>
      <c r="E239" s="276"/>
      <c r="F239" s="276"/>
      <c r="G239" s="276"/>
      <c r="H239" s="276"/>
      <c r="I239" s="276"/>
      <c r="J239" s="353"/>
      <c r="K239" s="276"/>
      <c r="L239" s="276"/>
      <c r="M239" s="276"/>
      <c r="N239" s="276"/>
      <c r="O239" s="276"/>
      <c r="P239" s="276"/>
      <c r="Q239" s="276"/>
      <c r="R239" s="276"/>
      <c r="S239" s="276"/>
      <c r="T239" s="276"/>
      <c r="U239" s="276"/>
      <c r="V239" s="276"/>
      <c r="W239" s="276"/>
      <c r="X239" s="276"/>
      <c r="Y239" s="276"/>
      <c r="Z239" s="276"/>
      <c r="AA239" s="276"/>
      <c r="AB239" s="276"/>
      <c r="AC239" s="276"/>
      <c r="AD239" s="276"/>
      <c r="AE239" s="276"/>
      <c r="AF239" s="276"/>
      <c r="AG239" s="276"/>
      <c r="AH239" s="276"/>
      <c r="AI239" s="276"/>
      <c r="AJ239" s="276"/>
      <c r="AK239" s="276"/>
      <c r="AL239" s="276"/>
      <c r="AM239" s="276"/>
      <c r="AN239" s="276"/>
      <c r="AO239" s="276"/>
      <c r="AP239" s="276"/>
      <c r="AQ239" s="276"/>
      <c r="AR239" s="276"/>
      <c r="AS239" s="276"/>
      <c r="AT239" s="276"/>
      <c r="AU239" s="276"/>
      <c r="AV239" s="276"/>
      <c r="AW239" s="276"/>
      <c r="AX239" s="276"/>
      <c r="AY239" s="276"/>
    </row>
    <row r="240" spans="1:51" ht="15.75" customHeight="1" x14ac:dyDescent="0.25">
      <c r="A240" s="276"/>
      <c r="B240" s="533"/>
      <c r="C240" s="353"/>
      <c r="D240" s="276"/>
      <c r="E240" s="276"/>
      <c r="F240" s="276"/>
      <c r="G240" s="276"/>
      <c r="H240" s="276"/>
      <c r="I240" s="276"/>
      <c r="J240" s="353"/>
      <c r="K240" s="276"/>
      <c r="L240" s="276"/>
      <c r="M240" s="276"/>
      <c r="N240" s="276"/>
      <c r="O240" s="276"/>
      <c r="P240" s="276"/>
      <c r="Q240" s="276"/>
      <c r="R240" s="276"/>
      <c r="S240" s="276"/>
      <c r="T240" s="276"/>
      <c r="U240" s="276"/>
      <c r="V240" s="276"/>
      <c r="W240" s="276"/>
      <c r="X240" s="276"/>
      <c r="Y240" s="276"/>
      <c r="Z240" s="276"/>
      <c r="AA240" s="276"/>
      <c r="AB240" s="276"/>
      <c r="AC240" s="276"/>
      <c r="AD240" s="276"/>
      <c r="AE240" s="276"/>
      <c r="AF240" s="276"/>
      <c r="AG240" s="276"/>
      <c r="AH240" s="276"/>
      <c r="AI240" s="276"/>
      <c r="AJ240" s="276"/>
      <c r="AK240" s="276"/>
      <c r="AL240" s="276"/>
      <c r="AM240" s="276"/>
      <c r="AN240" s="276"/>
      <c r="AO240" s="276"/>
      <c r="AP240" s="276"/>
      <c r="AQ240" s="276"/>
      <c r="AR240" s="276"/>
      <c r="AS240" s="276"/>
      <c r="AT240" s="276"/>
      <c r="AU240" s="276"/>
      <c r="AV240" s="276"/>
      <c r="AW240" s="276"/>
      <c r="AX240" s="276"/>
      <c r="AY240" s="276"/>
    </row>
    <row r="241" spans="1:51" ht="15.75" customHeight="1" x14ac:dyDescent="0.25">
      <c r="A241" s="276"/>
      <c r="B241" s="533"/>
      <c r="C241" s="353"/>
      <c r="D241" s="276"/>
      <c r="E241" s="276"/>
      <c r="F241" s="276"/>
      <c r="G241" s="276"/>
      <c r="H241" s="276"/>
      <c r="I241" s="276"/>
      <c r="J241" s="353"/>
      <c r="K241" s="276"/>
      <c r="L241" s="276"/>
      <c r="M241" s="276"/>
      <c r="N241" s="276"/>
      <c r="O241" s="276"/>
      <c r="P241" s="276"/>
      <c r="Q241" s="276"/>
      <c r="R241" s="276"/>
      <c r="S241" s="276"/>
      <c r="T241" s="276"/>
      <c r="U241" s="276"/>
      <c r="V241" s="276"/>
      <c r="W241" s="276"/>
      <c r="X241" s="276"/>
      <c r="Y241" s="276"/>
      <c r="Z241" s="276"/>
      <c r="AA241" s="276"/>
      <c r="AB241" s="276"/>
      <c r="AC241" s="276"/>
      <c r="AD241" s="276"/>
      <c r="AE241" s="276"/>
      <c r="AF241" s="276"/>
      <c r="AG241" s="276"/>
      <c r="AH241" s="276"/>
      <c r="AI241" s="276"/>
      <c r="AJ241" s="276"/>
      <c r="AK241" s="276"/>
      <c r="AL241" s="276"/>
      <c r="AM241" s="276"/>
      <c r="AN241" s="276"/>
      <c r="AO241" s="276"/>
      <c r="AP241" s="276"/>
      <c r="AQ241" s="276"/>
      <c r="AR241" s="276"/>
      <c r="AS241" s="276"/>
      <c r="AT241" s="276"/>
      <c r="AU241" s="276"/>
      <c r="AV241" s="276"/>
      <c r="AW241" s="276"/>
      <c r="AX241" s="276"/>
      <c r="AY241" s="276"/>
    </row>
    <row r="242" spans="1:51" ht="15.75" customHeight="1" x14ac:dyDescent="0.25">
      <c r="A242" s="276"/>
      <c r="B242" s="533"/>
      <c r="C242" s="353"/>
      <c r="D242" s="276"/>
      <c r="E242" s="276"/>
      <c r="F242" s="276"/>
      <c r="G242" s="276"/>
      <c r="H242" s="276"/>
      <c r="I242" s="276"/>
      <c r="J242" s="353"/>
      <c r="K242" s="276"/>
      <c r="L242" s="276"/>
      <c r="M242" s="276"/>
      <c r="N242" s="276"/>
      <c r="O242" s="276"/>
      <c r="P242" s="276"/>
      <c r="Q242" s="276"/>
      <c r="R242" s="276"/>
      <c r="S242" s="276"/>
      <c r="T242" s="276"/>
      <c r="U242" s="276"/>
      <c r="V242" s="276"/>
      <c r="W242" s="276"/>
      <c r="X242" s="276"/>
      <c r="Y242" s="276"/>
      <c r="Z242" s="276"/>
      <c r="AA242" s="276"/>
      <c r="AB242" s="276"/>
      <c r="AC242" s="276"/>
      <c r="AD242" s="276"/>
      <c r="AE242" s="276"/>
      <c r="AF242" s="276"/>
      <c r="AG242" s="276"/>
      <c r="AH242" s="276"/>
      <c r="AI242" s="276"/>
      <c r="AJ242" s="276"/>
      <c r="AK242" s="276"/>
      <c r="AL242" s="276"/>
      <c r="AM242" s="276"/>
      <c r="AN242" s="276"/>
      <c r="AO242" s="276"/>
      <c r="AP242" s="276"/>
      <c r="AQ242" s="276"/>
      <c r="AR242" s="276"/>
      <c r="AS242" s="276"/>
      <c r="AT242" s="276"/>
      <c r="AU242" s="276"/>
      <c r="AV242" s="276"/>
      <c r="AW242" s="276"/>
      <c r="AX242" s="276"/>
      <c r="AY242" s="276"/>
    </row>
    <row r="243" spans="1:51" ht="15.75" customHeight="1" x14ac:dyDescent="0.25">
      <c r="A243" s="276"/>
      <c r="B243" s="533"/>
      <c r="C243" s="353"/>
      <c r="D243" s="276"/>
      <c r="E243" s="276"/>
      <c r="F243" s="276"/>
      <c r="G243" s="276"/>
      <c r="H243" s="276"/>
      <c r="I243" s="276"/>
      <c r="J243" s="353"/>
      <c r="K243" s="276"/>
      <c r="L243" s="276"/>
      <c r="M243" s="276"/>
      <c r="N243" s="276"/>
      <c r="O243" s="276"/>
      <c r="P243" s="276"/>
      <c r="Q243" s="276"/>
      <c r="R243" s="276"/>
      <c r="S243" s="276"/>
      <c r="T243" s="276"/>
      <c r="U243" s="276"/>
      <c r="V243" s="276"/>
      <c r="W243" s="276"/>
      <c r="X243" s="276"/>
      <c r="Y243" s="276"/>
      <c r="Z243" s="276"/>
      <c r="AA243" s="276"/>
      <c r="AB243" s="276"/>
      <c r="AC243" s="276"/>
      <c r="AD243" s="276"/>
      <c r="AE243" s="276"/>
      <c r="AF243" s="276"/>
      <c r="AG243" s="276"/>
      <c r="AH243" s="276"/>
      <c r="AI243" s="276"/>
      <c r="AJ243" s="276"/>
      <c r="AK243" s="276"/>
      <c r="AL243" s="276"/>
      <c r="AM243" s="276"/>
      <c r="AN243" s="276"/>
      <c r="AO243" s="276"/>
      <c r="AP243" s="276"/>
      <c r="AQ243" s="276"/>
      <c r="AR243" s="276"/>
      <c r="AS243" s="276"/>
      <c r="AT243" s="276"/>
      <c r="AU243" s="276"/>
      <c r="AV243" s="276"/>
      <c r="AW243" s="276"/>
      <c r="AX243" s="276"/>
      <c r="AY243" s="276"/>
    </row>
    <row r="244" spans="1:51" ht="15.75" customHeight="1" x14ac:dyDescent="0.25">
      <c r="A244" s="276"/>
      <c r="B244" s="533"/>
      <c r="C244" s="353"/>
      <c r="D244" s="276"/>
      <c r="E244" s="276"/>
      <c r="F244" s="276"/>
      <c r="G244" s="276"/>
      <c r="H244" s="276"/>
      <c r="I244" s="276"/>
      <c r="J244" s="353"/>
      <c r="K244" s="276"/>
      <c r="L244" s="276"/>
      <c r="M244" s="276"/>
      <c r="N244" s="276"/>
      <c r="O244" s="276"/>
      <c r="P244" s="276"/>
      <c r="Q244" s="276"/>
      <c r="R244" s="276"/>
      <c r="S244" s="276"/>
      <c r="T244" s="276"/>
      <c r="U244" s="276"/>
      <c r="V244" s="276"/>
      <c r="W244" s="276"/>
      <c r="X244" s="276"/>
      <c r="Y244" s="276"/>
      <c r="Z244" s="276"/>
      <c r="AA244" s="276"/>
      <c r="AB244" s="276"/>
      <c r="AC244" s="276"/>
      <c r="AD244" s="276"/>
      <c r="AE244" s="276"/>
      <c r="AF244" s="276"/>
      <c r="AG244" s="276"/>
      <c r="AH244" s="276"/>
      <c r="AI244" s="276"/>
      <c r="AJ244" s="276"/>
      <c r="AK244" s="276"/>
      <c r="AL244" s="276"/>
      <c r="AM244" s="276"/>
      <c r="AN244" s="276"/>
      <c r="AO244" s="276"/>
      <c r="AP244" s="276"/>
      <c r="AQ244" s="276"/>
      <c r="AR244" s="276"/>
      <c r="AS244" s="276"/>
      <c r="AT244" s="276"/>
      <c r="AU244" s="276"/>
      <c r="AV244" s="276"/>
      <c r="AW244" s="276"/>
      <c r="AX244" s="276"/>
      <c r="AY244" s="276"/>
    </row>
    <row r="245" spans="1:51" ht="15.75" customHeight="1" x14ac:dyDescent="0.25">
      <c r="A245" s="276"/>
      <c r="B245" s="533"/>
      <c r="C245" s="353"/>
      <c r="D245" s="276"/>
      <c r="E245" s="276"/>
      <c r="F245" s="276"/>
      <c r="G245" s="276"/>
      <c r="H245" s="276"/>
      <c r="I245" s="276"/>
      <c r="J245" s="353"/>
      <c r="K245" s="276"/>
      <c r="L245" s="276"/>
      <c r="M245" s="276"/>
      <c r="N245" s="276"/>
      <c r="O245" s="276"/>
      <c r="P245" s="276"/>
      <c r="Q245" s="276"/>
      <c r="R245" s="276"/>
      <c r="S245" s="276"/>
      <c r="T245" s="276"/>
      <c r="U245" s="276"/>
      <c r="V245" s="276"/>
      <c r="W245" s="276"/>
      <c r="X245" s="276"/>
      <c r="Y245" s="276"/>
      <c r="Z245" s="276"/>
      <c r="AA245" s="276"/>
      <c r="AB245" s="276"/>
      <c r="AC245" s="276"/>
      <c r="AD245" s="276"/>
      <c r="AE245" s="276"/>
      <c r="AF245" s="276"/>
      <c r="AG245" s="276"/>
      <c r="AH245" s="276"/>
      <c r="AI245" s="276"/>
      <c r="AJ245" s="276"/>
      <c r="AK245" s="276"/>
      <c r="AL245" s="276"/>
      <c r="AM245" s="276"/>
      <c r="AN245" s="276"/>
      <c r="AO245" s="276"/>
      <c r="AP245" s="276"/>
      <c r="AQ245" s="276"/>
      <c r="AR245" s="276"/>
      <c r="AS245" s="276"/>
      <c r="AT245" s="276"/>
      <c r="AU245" s="276"/>
      <c r="AV245" s="276"/>
      <c r="AW245" s="276"/>
      <c r="AX245" s="276"/>
      <c r="AY245" s="276"/>
    </row>
    <row r="246" spans="1:51" ht="15.75" customHeight="1" x14ac:dyDescent="0.25">
      <c r="A246" s="276"/>
      <c r="B246" s="533"/>
      <c r="C246" s="353"/>
      <c r="D246" s="276"/>
      <c r="E246" s="276"/>
      <c r="F246" s="276"/>
      <c r="G246" s="276"/>
      <c r="H246" s="276"/>
      <c r="I246" s="276"/>
      <c r="J246" s="353"/>
      <c r="K246" s="276"/>
      <c r="L246" s="276"/>
      <c r="M246" s="276"/>
      <c r="N246" s="276"/>
      <c r="O246" s="276"/>
      <c r="P246" s="276"/>
      <c r="Q246" s="276"/>
      <c r="R246" s="276"/>
      <c r="S246" s="276"/>
      <c r="T246" s="276"/>
      <c r="U246" s="276"/>
      <c r="V246" s="276"/>
      <c r="W246" s="276"/>
      <c r="X246" s="276"/>
      <c r="Y246" s="276"/>
      <c r="Z246" s="276"/>
      <c r="AA246" s="276"/>
      <c r="AB246" s="276"/>
      <c r="AC246" s="276"/>
      <c r="AD246" s="276"/>
      <c r="AE246" s="276"/>
      <c r="AF246" s="276"/>
      <c r="AG246" s="276"/>
      <c r="AH246" s="276"/>
      <c r="AI246" s="276"/>
      <c r="AJ246" s="276"/>
      <c r="AK246" s="276"/>
      <c r="AL246" s="276"/>
      <c r="AM246" s="276"/>
      <c r="AN246" s="276"/>
      <c r="AO246" s="276"/>
      <c r="AP246" s="276"/>
      <c r="AQ246" s="276"/>
      <c r="AR246" s="276"/>
      <c r="AS246" s="276"/>
      <c r="AT246" s="276"/>
      <c r="AU246" s="276"/>
      <c r="AV246" s="276"/>
      <c r="AW246" s="276"/>
      <c r="AX246" s="276"/>
      <c r="AY246" s="276"/>
    </row>
    <row r="247" spans="1:51" ht="15.75" customHeight="1" x14ac:dyDescent="0.25">
      <c r="A247" s="276"/>
      <c r="B247" s="533"/>
      <c r="C247" s="353"/>
      <c r="D247" s="276"/>
      <c r="E247" s="276"/>
      <c r="F247" s="276"/>
      <c r="G247" s="276"/>
      <c r="H247" s="276"/>
      <c r="I247" s="276"/>
      <c r="J247" s="353"/>
      <c r="K247" s="276"/>
      <c r="L247" s="276"/>
      <c r="M247" s="276"/>
      <c r="N247" s="276"/>
      <c r="O247" s="276"/>
      <c r="P247" s="276"/>
      <c r="Q247" s="276"/>
      <c r="R247" s="276"/>
      <c r="S247" s="276"/>
      <c r="T247" s="276"/>
      <c r="U247" s="276"/>
      <c r="V247" s="276"/>
      <c r="W247" s="276"/>
      <c r="X247" s="276"/>
      <c r="Y247" s="276"/>
      <c r="Z247" s="276"/>
      <c r="AA247" s="276"/>
      <c r="AB247" s="276"/>
      <c r="AC247" s="276"/>
      <c r="AD247" s="276"/>
      <c r="AE247" s="276"/>
      <c r="AF247" s="276"/>
      <c r="AG247" s="276"/>
      <c r="AH247" s="276"/>
      <c r="AI247" s="276"/>
      <c r="AJ247" s="276"/>
      <c r="AK247" s="276"/>
      <c r="AL247" s="276"/>
      <c r="AM247" s="276"/>
      <c r="AN247" s="276"/>
      <c r="AO247" s="276"/>
      <c r="AP247" s="276"/>
      <c r="AQ247" s="276"/>
      <c r="AR247" s="276"/>
      <c r="AS247" s="276"/>
      <c r="AT247" s="276"/>
      <c r="AU247" s="276"/>
      <c r="AV247" s="276"/>
      <c r="AW247" s="276"/>
      <c r="AX247" s="276"/>
      <c r="AY247" s="276"/>
    </row>
    <row r="248" spans="1:51" ht="15.75" customHeight="1" x14ac:dyDescent="0.25">
      <c r="A248" s="276"/>
      <c r="B248" s="533"/>
      <c r="C248" s="353"/>
      <c r="D248" s="276"/>
      <c r="E248" s="276"/>
      <c r="F248" s="276"/>
      <c r="G248" s="276"/>
      <c r="H248" s="276"/>
      <c r="I248" s="276"/>
      <c r="J248" s="353"/>
      <c r="K248" s="276"/>
      <c r="L248" s="276"/>
      <c r="M248" s="276"/>
      <c r="N248" s="276"/>
      <c r="O248" s="276"/>
      <c r="P248" s="276"/>
      <c r="Q248" s="276"/>
      <c r="R248" s="276"/>
      <c r="S248" s="276"/>
      <c r="T248" s="276"/>
      <c r="U248" s="276"/>
      <c r="V248" s="276"/>
      <c r="W248" s="276"/>
      <c r="X248" s="276"/>
      <c r="Y248" s="276"/>
      <c r="Z248" s="276"/>
      <c r="AA248" s="276"/>
      <c r="AB248" s="276"/>
      <c r="AC248" s="276"/>
      <c r="AD248" s="276"/>
      <c r="AE248" s="276"/>
      <c r="AF248" s="276"/>
      <c r="AG248" s="276"/>
      <c r="AH248" s="276"/>
      <c r="AI248" s="276"/>
      <c r="AJ248" s="276"/>
      <c r="AK248" s="276"/>
      <c r="AL248" s="276"/>
      <c r="AM248" s="276"/>
      <c r="AN248" s="276"/>
      <c r="AO248" s="276"/>
      <c r="AP248" s="276"/>
      <c r="AQ248" s="276"/>
      <c r="AR248" s="276"/>
      <c r="AS248" s="276"/>
      <c r="AT248" s="276"/>
      <c r="AU248" s="276"/>
      <c r="AV248" s="276"/>
      <c r="AW248" s="276"/>
      <c r="AX248" s="276"/>
      <c r="AY248" s="276"/>
    </row>
    <row r="249" spans="1:51" ht="15.75" customHeight="1" x14ac:dyDescent="0.25">
      <c r="A249" s="276"/>
      <c r="B249" s="533"/>
      <c r="C249" s="353"/>
      <c r="D249" s="276"/>
      <c r="E249" s="276"/>
      <c r="F249" s="276"/>
      <c r="G249" s="276"/>
      <c r="H249" s="276"/>
      <c r="I249" s="276"/>
      <c r="J249" s="353"/>
      <c r="K249" s="276"/>
      <c r="L249" s="276"/>
      <c r="M249" s="276"/>
      <c r="N249" s="276"/>
      <c r="O249" s="276"/>
      <c r="P249" s="276"/>
      <c r="Q249" s="276"/>
      <c r="R249" s="276"/>
      <c r="S249" s="276"/>
      <c r="T249" s="276"/>
      <c r="U249" s="276"/>
      <c r="V249" s="276"/>
      <c r="W249" s="276"/>
      <c r="X249" s="276"/>
      <c r="Y249" s="276"/>
      <c r="Z249" s="276"/>
      <c r="AA249" s="276"/>
      <c r="AB249" s="276"/>
      <c r="AC249" s="276"/>
      <c r="AD249" s="276"/>
      <c r="AE249" s="276"/>
      <c r="AF249" s="276"/>
      <c r="AG249" s="276"/>
      <c r="AH249" s="276"/>
      <c r="AI249" s="276"/>
      <c r="AJ249" s="276"/>
      <c r="AK249" s="276"/>
      <c r="AL249" s="276"/>
      <c r="AM249" s="276"/>
      <c r="AN249" s="276"/>
      <c r="AO249" s="276"/>
      <c r="AP249" s="276"/>
      <c r="AQ249" s="276"/>
      <c r="AR249" s="276"/>
      <c r="AS249" s="276"/>
      <c r="AT249" s="276"/>
      <c r="AU249" s="276"/>
      <c r="AV249" s="276"/>
      <c r="AW249" s="276"/>
      <c r="AX249" s="276"/>
      <c r="AY249" s="276"/>
    </row>
    <row r="250" spans="1:51" ht="15.75" customHeight="1" x14ac:dyDescent="0.25">
      <c r="A250" s="271"/>
      <c r="B250" s="534"/>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c r="AA250" s="271"/>
      <c r="AB250" s="271"/>
      <c r="AC250" s="271"/>
      <c r="AD250" s="271"/>
      <c r="AE250" s="271"/>
      <c r="AF250" s="271"/>
      <c r="AG250" s="271"/>
      <c r="AH250" s="271"/>
      <c r="AI250" s="271"/>
      <c r="AJ250" s="271"/>
      <c r="AK250" s="271"/>
      <c r="AL250" s="271"/>
      <c r="AM250" s="271"/>
      <c r="AN250" s="271"/>
      <c r="AO250" s="271"/>
      <c r="AP250" s="271"/>
      <c r="AQ250" s="271"/>
      <c r="AR250" s="271"/>
      <c r="AS250" s="271"/>
      <c r="AT250" s="271"/>
      <c r="AU250" s="271"/>
      <c r="AV250" s="271"/>
      <c r="AW250" s="271"/>
      <c r="AX250" s="271"/>
      <c r="AY250" s="271"/>
    </row>
    <row r="251" spans="1:51" ht="15.75" customHeight="1" x14ac:dyDescent="0.25">
      <c r="A251" s="271"/>
      <c r="B251" s="534"/>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c r="AM251" s="271"/>
      <c r="AN251" s="271"/>
      <c r="AO251" s="271"/>
      <c r="AP251" s="271"/>
      <c r="AQ251" s="271"/>
      <c r="AR251" s="271"/>
      <c r="AS251" s="271"/>
      <c r="AT251" s="271"/>
      <c r="AU251" s="271"/>
      <c r="AV251" s="271"/>
      <c r="AW251" s="271"/>
      <c r="AX251" s="271"/>
      <c r="AY251" s="271"/>
    </row>
    <row r="252" spans="1:51" ht="15.75" customHeight="1" x14ac:dyDescent="0.25">
      <c r="A252" s="271"/>
      <c r="B252" s="534"/>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c r="AM252" s="271"/>
      <c r="AN252" s="271"/>
      <c r="AO252" s="271"/>
      <c r="AP252" s="271"/>
      <c r="AQ252" s="271"/>
      <c r="AR252" s="271"/>
      <c r="AS252" s="271"/>
      <c r="AT252" s="271"/>
      <c r="AU252" s="271"/>
      <c r="AV252" s="271"/>
      <c r="AW252" s="271"/>
      <c r="AX252" s="271"/>
      <c r="AY252" s="271"/>
    </row>
    <row r="253" spans="1:51" ht="15.75" customHeight="1" x14ac:dyDescent="0.25">
      <c r="A253" s="271"/>
      <c r="B253" s="534"/>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c r="AM253" s="271"/>
      <c r="AN253" s="271"/>
      <c r="AO253" s="271"/>
      <c r="AP253" s="271"/>
      <c r="AQ253" s="271"/>
      <c r="AR253" s="271"/>
      <c r="AS253" s="271"/>
      <c r="AT253" s="271"/>
      <c r="AU253" s="271"/>
      <c r="AV253" s="271"/>
      <c r="AW253" s="271"/>
      <c r="AX253" s="271"/>
      <c r="AY253" s="271"/>
    </row>
    <row r="254" spans="1:51" ht="15.75" customHeight="1" x14ac:dyDescent="0.25">
      <c r="A254" s="271"/>
      <c r="B254" s="534"/>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c r="AM254" s="271"/>
      <c r="AN254" s="271"/>
      <c r="AO254" s="271"/>
      <c r="AP254" s="271"/>
      <c r="AQ254" s="271"/>
      <c r="AR254" s="271"/>
      <c r="AS254" s="271"/>
      <c r="AT254" s="271"/>
      <c r="AU254" s="271"/>
      <c r="AV254" s="271"/>
      <c r="AW254" s="271"/>
      <c r="AX254" s="271"/>
      <c r="AY254" s="271"/>
    </row>
    <row r="255" spans="1:51" ht="15.75" customHeight="1" x14ac:dyDescent="0.25">
      <c r="A255" s="271"/>
      <c r="B255" s="534"/>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c r="AM255" s="271"/>
      <c r="AN255" s="271"/>
      <c r="AO255" s="271"/>
      <c r="AP255" s="271"/>
      <c r="AQ255" s="271"/>
      <c r="AR255" s="271"/>
      <c r="AS255" s="271"/>
      <c r="AT255" s="271"/>
      <c r="AU255" s="271"/>
      <c r="AV255" s="271"/>
      <c r="AW255" s="271"/>
      <c r="AX255" s="271"/>
      <c r="AY255" s="271"/>
    </row>
    <row r="256" spans="1:51" ht="15.75" customHeight="1" x14ac:dyDescent="0.25">
      <c r="A256" s="271"/>
      <c r="B256" s="534"/>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c r="AM256" s="271"/>
      <c r="AN256" s="271"/>
      <c r="AO256" s="271"/>
      <c r="AP256" s="271"/>
      <c r="AQ256" s="271"/>
      <c r="AR256" s="271"/>
      <c r="AS256" s="271"/>
      <c r="AT256" s="271"/>
      <c r="AU256" s="271"/>
      <c r="AV256" s="271"/>
      <c r="AW256" s="271"/>
      <c r="AX256" s="271"/>
      <c r="AY256" s="271"/>
    </row>
    <row r="257" spans="1:51" ht="15.75" customHeight="1" x14ac:dyDescent="0.25">
      <c r="A257" s="271"/>
      <c r="B257" s="534"/>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c r="AM257" s="271"/>
      <c r="AN257" s="271"/>
      <c r="AO257" s="271"/>
      <c r="AP257" s="271"/>
      <c r="AQ257" s="271"/>
      <c r="AR257" s="271"/>
      <c r="AS257" s="271"/>
      <c r="AT257" s="271"/>
      <c r="AU257" s="271"/>
      <c r="AV257" s="271"/>
      <c r="AW257" s="271"/>
      <c r="AX257" s="271"/>
      <c r="AY257" s="271"/>
    </row>
    <row r="258" spans="1:51" ht="15.75" customHeight="1" x14ac:dyDescent="0.25">
      <c r="A258" s="271"/>
      <c r="B258" s="534"/>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c r="AM258" s="271"/>
      <c r="AN258" s="271"/>
      <c r="AO258" s="271"/>
      <c r="AP258" s="271"/>
      <c r="AQ258" s="271"/>
      <c r="AR258" s="271"/>
      <c r="AS258" s="271"/>
      <c r="AT258" s="271"/>
      <c r="AU258" s="271"/>
      <c r="AV258" s="271"/>
      <c r="AW258" s="271"/>
      <c r="AX258" s="271"/>
      <c r="AY258" s="271"/>
    </row>
    <row r="259" spans="1:51" ht="15.75" customHeight="1" x14ac:dyDescent="0.25">
      <c r="A259" s="271"/>
      <c r="B259" s="534"/>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c r="AM259" s="271"/>
      <c r="AN259" s="271"/>
      <c r="AO259" s="271"/>
      <c r="AP259" s="271"/>
      <c r="AQ259" s="271"/>
      <c r="AR259" s="271"/>
      <c r="AS259" s="271"/>
      <c r="AT259" s="271"/>
      <c r="AU259" s="271"/>
      <c r="AV259" s="271"/>
      <c r="AW259" s="271"/>
      <c r="AX259" s="271"/>
      <c r="AY259" s="271"/>
    </row>
    <row r="260" spans="1:51" ht="15.75" customHeight="1" x14ac:dyDescent="0.25">
      <c r="A260" s="271"/>
      <c r="B260" s="534"/>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c r="AM260" s="271"/>
      <c r="AN260" s="271"/>
      <c r="AO260" s="271"/>
      <c r="AP260" s="271"/>
      <c r="AQ260" s="271"/>
      <c r="AR260" s="271"/>
      <c r="AS260" s="271"/>
      <c r="AT260" s="271"/>
      <c r="AU260" s="271"/>
      <c r="AV260" s="271"/>
      <c r="AW260" s="271"/>
      <c r="AX260" s="271"/>
      <c r="AY260" s="271"/>
    </row>
    <row r="261" spans="1:51" ht="15.75" customHeight="1" x14ac:dyDescent="0.25">
      <c r="A261" s="271"/>
      <c r="B261" s="534"/>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c r="AM261" s="271"/>
      <c r="AN261" s="271"/>
      <c r="AO261" s="271"/>
      <c r="AP261" s="271"/>
      <c r="AQ261" s="271"/>
      <c r="AR261" s="271"/>
      <c r="AS261" s="271"/>
      <c r="AT261" s="271"/>
      <c r="AU261" s="271"/>
      <c r="AV261" s="271"/>
      <c r="AW261" s="271"/>
      <c r="AX261" s="271"/>
      <c r="AY261" s="271"/>
    </row>
    <row r="262" spans="1:51" ht="15.75" customHeight="1" x14ac:dyDescent="0.25">
      <c r="A262" s="271"/>
      <c r="B262" s="534"/>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c r="AM262" s="271"/>
      <c r="AN262" s="271"/>
      <c r="AO262" s="271"/>
      <c r="AP262" s="271"/>
      <c r="AQ262" s="271"/>
      <c r="AR262" s="271"/>
      <c r="AS262" s="271"/>
      <c r="AT262" s="271"/>
      <c r="AU262" s="271"/>
      <c r="AV262" s="271"/>
      <c r="AW262" s="271"/>
      <c r="AX262" s="271"/>
      <c r="AY262" s="271"/>
    </row>
    <row r="263" spans="1:51" ht="15.75" customHeight="1" x14ac:dyDescent="0.25">
      <c r="A263" s="271"/>
      <c r="B263" s="534"/>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c r="AM263" s="271"/>
      <c r="AN263" s="271"/>
      <c r="AO263" s="271"/>
      <c r="AP263" s="271"/>
      <c r="AQ263" s="271"/>
      <c r="AR263" s="271"/>
      <c r="AS263" s="271"/>
      <c r="AT263" s="271"/>
      <c r="AU263" s="271"/>
      <c r="AV263" s="271"/>
      <c r="AW263" s="271"/>
      <c r="AX263" s="271"/>
      <c r="AY263" s="271"/>
    </row>
    <row r="264" spans="1:51" ht="15.75" customHeight="1" x14ac:dyDescent="0.25">
      <c r="A264" s="271"/>
      <c r="B264" s="534"/>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c r="AM264" s="271"/>
      <c r="AN264" s="271"/>
      <c r="AO264" s="271"/>
      <c r="AP264" s="271"/>
      <c r="AQ264" s="271"/>
      <c r="AR264" s="271"/>
      <c r="AS264" s="271"/>
      <c r="AT264" s="271"/>
      <c r="AU264" s="271"/>
      <c r="AV264" s="271"/>
      <c r="AW264" s="271"/>
      <c r="AX264" s="271"/>
      <c r="AY264" s="271"/>
    </row>
    <row r="265" spans="1:51" ht="15.75" customHeight="1" x14ac:dyDescent="0.25">
      <c r="A265" s="271"/>
      <c r="B265" s="534"/>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c r="AL265" s="271"/>
      <c r="AM265" s="271"/>
      <c r="AN265" s="271"/>
      <c r="AO265" s="271"/>
      <c r="AP265" s="271"/>
      <c r="AQ265" s="271"/>
      <c r="AR265" s="271"/>
      <c r="AS265" s="271"/>
      <c r="AT265" s="271"/>
      <c r="AU265" s="271"/>
      <c r="AV265" s="271"/>
      <c r="AW265" s="271"/>
      <c r="AX265" s="271"/>
      <c r="AY265" s="271"/>
    </row>
    <row r="266" spans="1:51" ht="15.75" customHeight="1" x14ac:dyDescent="0.25">
      <c r="A266" s="271"/>
      <c r="B266" s="534"/>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c r="AL266" s="271"/>
      <c r="AM266" s="271"/>
      <c r="AN266" s="271"/>
      <c r="AO266" s="271"/>
      <c r="AP266" s="271"/>
      <c r="AQ266" s="271"/>
      <c r="AR266" s="271"/>
      <c r="AS266" s="271"/>
      <c r="AT266" s="271"/>
      <c r="AU266" s="271"/>
      <c r="AV266" s="271"/>
      <c r="AW266" s="271"/>
      <c r="AX266" s="271"/>
      <c r="AY266" s="271"/>
    </row>
    <row r="267" spans="1:51" ht="15.75" customHeight="1" x14ac:dyDescent="0.25">
      <c r="A267" s="271"/>
      <c r="B267" s="534"/>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c r="AL267" s="271"/>
      <c r="AM267" s="271"/>
      <c r="AN267" s="271"/>
      <c r="AO267" s="271"/>
      <c r="AP267" s="271"/>
      <c r="AQ267" s="271"/>
      <c r="AR267" s="271"/>
      <c r="AS267" s="271"/>
      <c r="AT267" s="271"/>
      <c r="AU267" s="271"/>
      <c r="AV267" s="271"/>
      <c r="AW267" s="271"/>
      <c r="AX267" s="271"/>
      <c r="AY267" s="271"/>
    </row>
    <row r="268" spans="1:51" ht="15.75" customHeight="1" x14ac:dyDescent="0.25">
      <c r="A268" s="271"/>
      <c r="B268" s="534"/>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c r="AL268" s="271"/>
      <c r="AM268" s="271"/>
      <c r="AN268" s="271"/>
      <c r="AO268" s="271"/>
      <c r="AP268" s="271"/>
      <c r="AQ268" s="271"/>
      <c r="AR268" s="271"/>
      <c r="AS268" s="271"/>
      <c r="AT268" s="271"/>
      <c r="AU268" s="271"/>
      <c r="AV268" s="271"/>
      <c r="AW268" s="271"/>
      <c r="AX268" s="271"/>
      <c r="AY268" s="271"/>
    </row>
    <row r="269" spans="1:51" ht="15.75" customHeight="1" x14ac:dyDescent="0.25">
      <c r="A269" s="271"/>
      <c r="B269" s="534"/>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c r="AM269" s="271"/>
      <c r="AN269" s="271"/>
      <c r="AO269" s="271"/>
      <c r="AP269" s="271"/>
      <c r="AQ269" s="271"/>
      <c r="AR269" s="271"/>
      <c r="AS269" s="271"/>
      <c r="AT269" s="271"/>
      <c r="AU269" s="271"/>
      <c r="AV269" s="271"/>
      <c r="AW269" s="271"/>
      <c r="AX269" s="271"/>
      <c r="AY269" s="271"/>
    </row>
    <row r="270" spans="1:51" ht="15.75" customHeight="1" x14ac:dyDescent="0.25">
      <c r="A270" s="271"/>
      <c r="B270" s="534"/>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c r="AM270" s="271"/>
      <c r="AN270" s="271"/>
      <c r="AO270" s="271"/>
      <c r="AP270" s="271"/>
      <c r="AQ270" s="271"/>
      <c r="AR270" s="271"/>
      <c r="AS270" s="271"/>
      <c r="AT270" s="271"/>
      <c r="AU270" s="271"/>
      <c r="AV270" s="271"/>
      <c r="AW270" s="271"/>
      <c r="AX270" s="271"/>
      <c r="AY270" s="271"/>
    </row>
    <row r="271" spans="1:51" ht="15.75" customHeight="1" x14ac:dyDescent="0.25">
      <c r="A271" s="271"/>
      <c r="B271" s="534"/>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c r="AL271" s="271"/>
      <c r="AM271" s="271"/>
      <c r="AN271" s="271"/>
      <c r="AO271" s="271"/>
      <c r="AP271" s="271"/>
      <c r="AQ271" s="271"/>
      <c r="AR271" s="271"/>
      <c r="AS271" s="271"/>
      <c r="AT271" s="271"/>
      <c r="AU271" s="271"/>
      <c r="AV271" s="271"/>
      <c r="AW271" s="271"/>
      <c r="AX271" s="271"/>
      <c r="AY271" s="271"/>
    </row>
    <row r="272" spans="1:51" ht="15.75" customHeight="1" x14ac:dyDescent="0.25">
      <c r="A272" s="271"/>
      <c r="B272" s="534"/>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c r="AL272" s="271"/>
      <c r="AM272" s="271"/>
      <c r="AN272" s="271"/>
      <c r="AO272" s="271"/>
      <c r="AP272" s="271"/>
      <c r="AQ272" s="271"/>
      <c r="AR272" s="271"/>
      <c r="AS272" s="271"/>
      <c r="AT272" s="271"/>
      <c r="AU272" s="271"/>
      <c r="AV272" s="271"/>
      <c r="AW272" s="271"/>
      <c r="AX272" s="271"/>
      <c r="AY272" s="271"/>
    </row>
    <row r="273" spans="1:51" ht="15.75" customHeight="1" x14ac:dyDescent="0.25">
      <c r="A273" s="271"/>
      <c r="B273" s="534"/>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c r="AM273" s="271"/>
      <c r="AN273" s="271"/>
      <c r="AO273" s="271"/>
      <c r="AP273" s="271"/>
      <c r="AQ273" s="271"/>
      <c r="AR273" s="271"/>
      <c r="AS273" s="271"/>
      <c r="AT273" s="271"/>
      <c r="AU273" s="271"/>
      <c r="AV273" s="271"/>
      <c r="AW273" s="271"/>
      <c r="AX273" s="271"/>
      <c r="AY273" s="271"/>
    </row>
    <row r="274" spans="1:51" ht="15.75" customHeight="1" x14ac:dyDescent="0.25">
      <c r="A274" s="271"/>
      <c r="B274" s="534"/>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c r="AL274" s="271"/>
      <c r="AM274" s="271"/>
      <c r="AN274" s="271"/>
      <c r="AO274" s="271"/>
      <c r="AP274" s="271"/>
      <c r="AQ274" s="271"/>
      <c r="AR274" s="271"/>
      <c r="AS274" s="271"/>
      <c r="AT274" s="271"/>
      <c r="AU274" s="271"/>
      <c r="AV274" s="271"/>
      <c r="AW274" s="271"/>
      <c r="AX274" s="271"/>
      <c r="AY274" s="271"/>
    </row>
    <row r="275" spans="1:51" ht="15.75" customHeight="1" x14ac:dyDescent="0.25">
      <c r="A275" s="271"/>
      <c r="B275" s="534"/>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c r="AL275" s="271"/>
      <c r="AM275" s="271"/>
      <c r="AN275" s="271"/>
      <c r="AO275" s="271"/>
      <c r="AP275" s="271"/>
      <c r="AQ275" s="271"/>
      <c r="AR275" s="271"/>
      <c r="AS275" s="271"/>
      <c r="AT275" s="271"/>
      <c r="AU275" s="271"/>
      <c r="AV275" s="271"/>
      <c r="AW275" s="271"/>
      <c r="AX275" s="271"/>
      <c r="AY275" s="271"/>
    </row>
    <row r="276" spans="1:51" ht="15.75" customHeight="1" x14ac:dyDescent="0.25">
      <c r="A276" s="271"/>
      <c r="B276" s="534"/>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c r="AM276" s="271"/>
      <c r="AN276" s="271"/>
      <c r="AO276" s="271"/>
      <c r="AP276" s="271"/>
      <c r="AQ276" s="271"/>
      <c r="AR276" s="271"/>
      <c r="AS276" s="271"/>
      <c r="AT276" s="271"/>
      <c r="AU276" s="271"/>
      <c r="AV276" s="271"/>
      <c r="AW276" s="271"/>
      <c r="AX276" s="271"/>
      <c r="AY276" s="271"/>
    </row>
    <row r="277" spans="1:51" ht="15.75" customHeight="1" x14ac:dyDescent="0.25">
      <c r="A277" s="271"/>
      <c r="B277" s="534"/>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c r="AM277" s="271"/>
      <c r="AN277" s="271"/>
      <c r="AO277" s="271"/>
      <c r="AP277" s="271"/>
      <c r="AQ277" s="271"/>
      <c r="AR277" s="271"/>
      <c r="AS277" s="271"/>
      <c r="AT277" s="271"/>
      <c r="AU277" s="271"/>
      <c r="AV277" s="271"/>
      <c r="AW277" s="271"/>
      <c r="AX277" s="271"/>
      <c r="AY277" s="271"/>
    </row>
    <row r="278" spans="1:51" ht="15.75" customHeight="1" x14ac:dyDescent="0.25">
      <c r="A278" s="271"/>
      <c r="B278" s="534"/>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c r="AL278" s="271"/>
      <c r="AM278" s="271"/>
      <c r="AN278" s="271"/>
      <c r="AO278" s="271"/>
      <c r="AP278" s="271"/>
      <c r="AQ278" s="271"/>
      <c r="AR278" s="271"/>
      <c r="AS278" s="271"/>
      <c r="AT278" s="271"/>
      <c r="AU278" s="271"/>
      <c r="AV278" s="271"/>
      <c r="AW278" s="271"/>
      <c r="AX278" s="271"/>
      <c r="AY278" s="271"/>
    </row>
    <row r="279" spans="1:51" ht="15.75" customHeight="1" x14ac:dyDescent="0.25">
      <c r="A279" s="271"/>
      <c r="B279" s="534"/>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c r="AM279" s="271"/>
      <c r="AN279" s="271"/>
      <c r="AO279" s="271"/>
      <c r="AP279" s="271"/>
      <c r="AQ279" s="271"/>
      <c r="AR279" s="271"/>
      <c r="AS279" s="271"/>
      <c r="AT279" s="271"/>
      <c r="AU279" s="271"/>
      <c r="AV279" s="271"/>
      <c r="AW279" s="271"/>
      <c r="AX279" s="271"/>
      <c r="AY279" s="271"/>
    </row>
    <row r="280" spans="1:51" ht="15.75" customHeight="1" x14ac:dyDescent="0.25">
      <c r="A280" s="271"/>
      <c r="B280" s="534"/>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c r="AL280" s="271"/>
      <c r="AM280" s="271"/>
      <c r="AN280" s="271"/>
      <c r="AO280" s="271"/>
      <c r="AP280" s="271"/>
      <c r="AQ280" s="271"/>
      <c r="AR280" s="271"/>
      <c r="AS280" s="271"/>
      <c r="AT280" s="271"/>
      <c r="AU280" s="271"/>
      <c r="AV280" s="271"/>
      <c r="AW280" s="271"/>
      <c r="AX280" s="271"/>
      <c r="AY280" s="271"/>
    </row>
    <row r="281" spans="1:51" ht="15.75" customHeight="1" x14ac:dyDescent="0.25">
      <c r="A281" s="271"/>
      <c r="B281" s="534"/>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c r="AL281" s="271"/>
      <c r="AM281" s="271"/>
      <c r="AN281" s="271"/>
      <c r="AO281" s="271"/>
      <c r="AP281" s="271"/>
      <c r="AQ281" s="271"/>
      <c r="AR281" s="271"/>
      <c r="AS281" s="271"/>
      <c r="AT281" s="271"/>
      <c r="AU281" s="271"/>
      <c r="AV281" s="271"/>
      <c r="AW281" s="271"/>
      <c r="AX281" s="271"/>
      <c r="AY281" s="271"/>
    </row>
    <row r="282" spans="1:51" ht="15.75" customHeight="1" x14ac:dyDescent="0.25">
      <c r="A282" s="271"/>
      <c r="B282" s="534"/>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c r="AL282" s="271"/>
      <c r="AM282" s="271"/>
      <c r="AN282" s="271"/>
      <c r="AO282" s="271"/>
      <c r="AP282" s="271"/>
      <c r="AQ282" s="271"/>
      <c r="AR282" s="271"/>
      <c r="AS282" s="271"/>
      <c r="AT282" s="271"/>
      <c r="AU282" s="271"/>
      <c r="AV282" s="271"/>
      <c r="AW282" s="271"/>
      <c r="AX282" s="271"/>
      <c r="AY282" s="271"/>
    </row>
    <row r="283" spans="1:51" ht="15.75" customHeight="1" x14ac:dyDescent="0.25">
      <c r="A283" s="271"/>
      <c r="B283" s="534"/>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c r="AL283" s="271"/>
      <c r="AM283" s="271"/>
      <c r="AN283" s="271"/>
      <c r="AO283" s="271"/>
      <c r="AP283" s="271"/>
      <c r="AQ283" s="271"/>
      <c r="AR283" s="271"/>
      <c r="AS283" s="271"/>
      <c r="AT283" s="271"/>
      <c r="AU283" s="271"/>
      <c r="AV283" s="271"/>
      <c r="AW283" s="271"/>
      <c r="AX283" s="271"/>
      <c r="AY283" s="271"/>
    </row>
    <row r="284" spans="1:51" ht="15.75" customHeight="1" x14ac:dyDescent="0.25">
      <c r="A284" s="271"/>
      <c r="B284" s="534"/>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c r="AL284" s="271"/>
      <c r="AM284" s="271"/>
      <c r="AN284" s="271"/>
      <c r="AO284" s="271"/>
      <c r="AP284" s="271"/>
      <c r="AQ284" s="271"/>
      <c r="AR284" s="271"/>
      <c r="AS284" s="271"/>
      <c r="AT284" s="271"/>
      <c r="AU284" s="271"/>
      <c r="AV284" s="271"/>
      <c r="AW284" s="271"/>
      <c r="AX284" s="271"/>
      <c r="AY284" s="271"/>
    </row>
    <row r="285" spans="1:51" ht="15.75" customHeight="1" x14ac:dyDescent="0.25">
      <c r="A285" s="271"/>
      <c r="B285" s="534"/>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c r="AL285" s="271"/>
      <c r="AM285" s="271"/>
      <c r="AN285" s="271"/>
      <c r="AO285" s="271"/>
      <c r="AP285" s="271"/>
      <c r="AQ285" s="271"/>
      <c r="AR285" s="271"/>
      <c r="AS285" s="271"/>
      <c r="AT285" s="271"/>
      <c r="AU285" s="271"/>
      <c r="AV285" s="271"/>
      <c r="AW285" s="271"/>
      <c r="AX285" s="271"/>
      <c r="AY285" s="271"/>
    </row>
    <row r="286" spans="1:51" ht="15.75" customHeight="1" x14ac:dyDescent="0.25">
      <c r="A286" s="271"/>
      <c r="B286" s="534"/>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c r="AL286" s="271"/>
      <c r="AM286" s="271"/>
      <c r="AN286" s="271"/>
      <c r="AO286" s="271"/>
      <c r="AP286" s="271"/>
      <c r="AQ286" s="271"/>
      <c r="AR286" s="271"/>
      <c r="AS286" s="271"/>
      <c r="AT286" s="271"/>
      <c r="AU286" s="271"/>
      <c r="AV286" s="271"/>
      <c r="AW286" s="271"/>
      <c r="AX286" s="271"/>
      <c r="AY286" s="271"/>
    </row>
    <row r="287" spans="1:51" ht="15.75" customHeight="1" x14ac:dyDescent="0.25">
      <c r="A287" s="271"/>
      <c r="B287" s="534"/>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c r="AL287" s="271"/>
      <c r="AM287" s="271"/>
      <c r="AN287" s="271"/>
      <c r="AO287" s="271"/>
      <c r="AP287" s="271"/>
      <c r="AQ287" s="271"/>
      <c r="AR287" s="271"/>
      <c r="AS287" s="271"/>
      <c r="AT287" s="271"/>
      <c r="AU287" s="271"/>
      <c r="AV287" s="271"/>
      <c r="AW287" s="271"/>
      <c r="AX287" s="271"/>
      <c r="AY287" s="271"/>
    </row>
    <row r="288" spans="1:51" ht="15.75" customHeight="1" x14ac:dyDescent="0.25">
      <c r="A288" s="271"/>
      <c r="B288" s="534"/>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c r="AL288" s="271"/>
      <c r="AM288" s="271"/>
      <c r="AN288" s="271"/>
      <c r="AO288" s="271"/>
      <c r="AP288" s="271"/>
      <c r="AQ288" s="271"/>
      <c r="AR288" s="271"/>
      <c r="AS288" s="271"/>
      <c r="AT288" s="271"/>
      <c r="AU288" s="271"/>
      <c r="AV288" s="271"/>
      <c r="AW288" s="271"/>
      <c r="AX288" s="271"/>
      <c r="AY288" s="271"/>
    </row>
    <row r="289" spans="1:51" ht="15.75" customHeight="1" x14ac:dyDescent="0.25">
      <c r="A289" s="271"/>
      <c r="B289" s="534"/>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c r="AL289" s="271"/>
      <c r="AM289" s="271"/>
      <c r="AN289" s="271"/>
      <c r="AO289" s="271"/>
      <c r="AP289" s="271"/>
      <c r="AQ289" s="271"/>
      <c r="AR289" s="271"/>
      <c r="AS289" s="271"/>
      <c r="AT289" s="271"/>
      <c r="AU289" s="271"/>
      <c r="AV289" s="271"/>
      <c r="AW289" s="271"/>
      <c r="AX289" s="271"/>
      <c r="AY289" s="271"/>
    </row>
    <row r="290" spans="1:51" ht="15.75" customHeight="1" x14ac:dyDescent="0.25">
      <c r="A290" s="271"/>
      <c r="B290" s="534"/>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c r="AM290" s="271"/>
      <c r="AN290" s="271"/>
      <c r="AO290" s="271"/>
      <c r="AP290" s="271"/>
      <c r="AQ290" s="271"/>
      <c r="AR290" s="271"/>
      <c r="AS290" s="271"/>
      <c r="AT290" s="271"/>
      <c r="AU290" s="271"/>
      <c r="AV290" s="271"/>
      <c r="AW290" s="271"/>
      <c r="AX290" s="271"/>
      <c r="AY290" s="271"/>
    </row>
    <row r="291" spans="1:51" ht="15.75" customHeight="1" x14ac:dyDescent="0.25">
      <c r="A291" s="271"/>
      <c r="B291" s="534"/>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c r="AM291" s="271"/>
      <c r="AN291" s="271"/>
      <c r="AO291" s="271"/>
      <c r="AP291" s="271"/>
      <c r="AQ291" s="271"/>
      <c r="AR291" s="271"/>
      <c r="AS291" s="271"/>
      <c r="AT291" s="271"/>
      <c r="AU291" s="271"/>
      <c r="AV291" s="271"/>
      <c r="AW291" s="271"/>
      <c r="AX291" s="271"/>
      <c r="AY291" s="271"/>
    </row>
    <row r="292" spans="1:51" ht="15.75" customHeight="1" x14ac:dyDescent="0.25">
      <c r="A292" s="271"/>
      <c r="B292" s="534"/>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c r="AL292" s="271"/>
      <c r="AM292" s="271"/>
      <c r="AN292" s="271"/>
      <c r="AO292" s="271"/>
      <c r="AP292" s="271"/>
      <c r="AQ292" s="271"/>
      <c r="AR292" s="271"/>
      <c r="AS292" s="271"/>
      <c r="AT292" s="271"/>
      <c r="AU292" s="271"/>
      <c r="AV292" s="271"/>
      <c r="AW292" s="271"/>
      <c r="AX292" s="271"/>
      <c r="AY292" s="271"/>
    </row>
    <row r="293" spans="1:51" ht="15.75" customHeight="1" x14ac:dyDescent="0.25">
      <c r="A293" s="271"/>
      <c r="B293" s="534"/>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c r="AL293" s="271"/>
      <c r="AM293" s="271"/>
      <c r="AN293" s="271"/>
      <c r="AO293" s="271"/>
      <c r="AP293" s="271"/>
      <c r="AQ293" s="271"/>
      <c r="AR293" s="271"/>
      <c r="AS293" s="271"/>
      <c r="AT293" s="271"/>
      <c r="AU293" s="271"/>
      <c r="AV293" s="271"/>
      <c r="AW293" s="271"/>
      <c r="AX293" s="271"/>
      <c r="AY293" s="271"/>
    </row>
    <row r="294" spans="1:51" ht="15.75" customHeight="1" x14ac:dyDescent="0.25">
      <c r="A294" s="271"/>
      <c r="B294" s="534"/>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c r="AL294" s="271"/>
      <c r="AM294" s="271"/>
      <c r="AN294" s="271"/>
      <c r="AO294" s="271"/>
      <c r="AP294" s="271"/>
      <c r="AQ294" s="271"/>
      <c r="AR294" s="271"/>
      <c r="AS294" s="271"/>
      <c r="AT294" s="271"/>
      <c r="AU294" s="271"/>
      <c r="AV294" s="271"/>
      <c r="AW294" s="271"/>
      <c r="AX294" s="271"/>
      <c r="AY294" s="271"/>
    </row>
    <row r="295" spans="1:51" ht="15.75" customHeight="1" x14ac:dyDescent="0.25">
      <c r="A295" s="271"/>
      <c r="B295" s="534"/>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c r="AL295" s="271"/>
      <c r="AM295" s="271"/>
      <c r="AN295" s="271"/>
      <c r="AO295" s="271"/>
      <c r="AP295" s="271"/>
      <c r="AQ295" s="271"/>
      <c r="AR295" s="271"/>
      <c r="AS295" s="271"/>
      <c r="AT295" s="271"/>
      <c r="AU295" s="271"/>
      <c r="AV295" s="271"/>
      <c r="AW295" s="271"/>
      <c r="AX295" s="271"/>
      <c r="AY295" s="271"/>
    </row>
    <row r="296" spans="1:51" ht="15.75" customHeight="1" x14ac:dyDescent="0.25">
      <c r="A296" s="271"/>
      <c r="B296" s="534"/>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c r="AL296" s="271"/>
      <c r="AM296" s="271"/>
      <c r="AN296" s="271"/>
      <c r="AO296" s="271"/>
      <c r="AP296" s="271"/>
      <c r="AQ296" s="271"/>
      <c r="AR296" s="271"/>
      <c r="AS296" s="271"/>
      <c r="AT296" s="271"/>
      <c r="AU296" s="271"/>
      <c r="AV296" s="271"/>
      <c r="AW296" s="271"/>
      <c r="AX296" s="271"/>
      <c r="AY296" s="271"/>
    </row>
    <row r="297" spans="1:51" ht="15.75" customHeight="1" x14ac:dyDescent="0.25">
      <c r="A297" s="271"/>
      <c r="B297" s="534"/>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c r="AL297" s="271"/>
      <c r="AM297" s="271"/>
      <c r="AN297" s="271"/>
      <c r="AO297" s="271"/>
      <c r="AP297" s="271"/>
      <c r="AQ297" s="271"/>
      <c r="AR297" s="271"/>
      <c r="AS297" s="271"/>
      <c r="AT297" s="271"/>
      <c r="AU297" s="271"/>
      <c r="AV297" s="271"/>
      <c r="AW297" s="271"/>
      <c r="AX297" s="271"/>
      <c r="AY297" s="271"/>
    </row>
    <row r="298" spans="1:51" ht="15.75" customHeight="1" x14ac:dyDescent="0.25">
      <c r="A298" s="271"/>
      <c r="B298" s="534"/>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c r="AL298" s="271"/>
      <c r="AM298" s="271"/>
      <c r="AN298" s="271"/>
      <c r="AO298" s="271"/>
      <c r="AP298" s="271"/>
      <c r="AQ298" s="271"/>
      <c r="AR298" s="271"/>
      <c r="AS298" s="271"/>
      <c r="AT298" s="271"/>
      <c r="AU298" s="271"/>
      <c r="AV298" s="271"/>
      <c r="AW298" s="271"/>
      <c r="AX298" s="271"/>
      <c r="AY298" s="271"/>
    </row>
    <row r="299" spans="1:51" ht="15.75" customHeight="1" x14ac:dyDescent="0.25">
      <c r="A299" s="271"/>
      <c r="B299" s="534"/>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c r="AL299" s="271"/>
      <c r="AM299" s="271"/>
      <c r="AN299" s="271"/>
      <c r="AO299" s="271"/>
      <c r="AP299" s="271"/>
      <c r="AQ299" s="271"/>
      <c r="AR299" s="271"/>
      <c r="AS299" s="271"/>
      <c r="AT299" s="271"/>
      <c r="AU299" s="271"/>
      <c r="AV299" s="271"/>
      <c r="AW299" s="271"/>
      <c r="AX299" s="271"/>
      <c r="AY299" s="271"/>
    </row>
    <row r="300" spans="1:51" ht="15.75" customHeight="1" x14ac:dyDescent="0.25">
      <c r="A300" s="271"/>
      <c r="B300" s="534"/>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c r="AL300" s="271"/>
      <c r="AM300" s="271"/>
      <c r="AN300" s="271"/>
      <c r="AO300" s="271"/>
      <c r="AP300" s="271"/>
      <c r="AQ300" s="271"/>
      <c r="AR300" s="271"/>
      <c r="AS300" s="271"/>
      <c r="AT300" s="271"/>
      <c r="AU300" s="271"/>
      <c r="AV300" s="271"/>
      <c r="AW300" s="271"/>
      <c r="AX300" s="271"/>
      <c r="AY300" s="271"/>
    </row>
    <row r="301" spans="1:51" ht="15.75" customHeight="1" x14ac:dyDescent="0.25">
      <c r="A301" s="271"/>
      <c r="B301" s="534"/>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c r="AL301" s="271"/>
      <c r="AM301" s="271"/>
      <c r="AN301" s="271"/>
      <c r="AO301" s="271"/>
      <c r="AP301" s="271"/>
      <c r="AQ301" s="271"/>
      <c r="AR301" s="271"/>
      <c r="AS301" s="271"/>
      <c r="AT301" s="271"/>
      <c r="AU301" s="271"/>
      <c r="AV301" s="271"/>
      <c r="AW301" s="271"/>
      <c r="AX301" s="271"/>
      <c r="AY301" s="271"/>
    </row>
    <row r="302" spans="1:51" ht="15.75" customHeight="1" x14ac:dyDescent="0.25">
      <c r="A302" s="271"/>
      <c r="B302" s="534"/>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c r="AL302" s="271"/>
      <c r="AM302" s="271"/>
      <c r="AN302" s="271"/>
      <c r="AO302" s="271"/>
      <c r="AP302" s="271"/>
      <c r="AQ302" s="271"/>
      <c r="AR302" s="271"/>
      <c r="AS302" s="271"/>
      <c r="AT302" s="271"/>
      <c r="AU302" s="271"/>
      <c r="AV302" s="271"/>
      <c r="AW302" s="271"/>
      <c r="AX302" s="271"/>
      <c r="AY302" s="271"/>
    </row>
    <row r="303" spans="1:51" ht="15.75" customHeight="1" x14ac:dyDescent="0.25">
      <c r="A303" s="271"/>
      <c r="B303" s="534"/>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c r="AL303" s="271"/>
      <c r="AM303" s="271"/>
      <c r="AN303" s="271"/>
      <c r="AO303" s="271"/>
      <c r="AP303" s="271"/>
      <c r="AQ303" s="271"/>
      <c r="AR303" s="271"/>
      <c r="AS303" s="271"/>
      <c r="AT303" s="271"/>
      <c r="AU303" s="271"/>
      <c r="AV303" s="271"/>
      <c r="AW303" s="271"/>
      <c r="AX303" s="271"/>
      <c r="AY303" s="271"/>
    </row>
    <row r="304" spans="1:51" ht="15.75" customHeight="1" x14ac:dyDescent="0.25">
      <c r="A304" s="271"/>
      <c r="B304" s="534"/>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c r="AL304" s="271"/>
      <c r="AM304" s="271"/>
      <c r="AN304" s="271"/>
      <c r="AO304" s="271"/>
      <c r="AP304" s="271"/>
      <c r="AQ304" s="271"/>
      <c r="AR304" s="271"/>
      <c r="AS304" s="271"/>
      <c r="AT304" s="271"/>
      <c r="AU304" s="271"/>
      <c r="AV304" s="271"/>
      <c r="AW304" s="271"/>
      <c r="AX304" s="271"/>
      <c r="AY304" s="271"/>
    </row>
    <row r="305" spans="1:51" ht="15.75" customHeight="1" x14ac:dyDescent="0.25">
      <c r="A305" s="271"/>
      <c r="B305" s="534"/>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c r="AL305" s="271"/>
      <c r="AM305" s="271"/>
      <c r="AN305" s="271"/>
      <c r="AO305" s="271"/>
      <c r="AP305" s="271"/>
      <c r="AQ305" s="271"/>
      <c r="AR305" s="271"/>
      <c r="AS305" s="271"/>
      <c r="AT305" s="271"/>
      <c r="AU305" s="271"/>
      <c r="AV305" s="271"/>
      <c r="AW305" s="271"/>
      <c r="AX305" s="271"/>
      <c r="AY305" s="271"/>
    </row>
    <row r="306" spans="1:51" ht="15.75" customHeight="1" x14ac:dyDescent="0.25">
      <c r="A306" s="271"/>
      <c r="B306" s="534"/>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c r="AM306" s="271"/>
      <c r="AN306" s="271"/>
      <c r="AO306" s="271"/>
      <c r="AP306" s="271"/>
      <c r="AQ306" s="271"/>
      <c r="AR306" s="271"/>
      <c r="AS306" s="271"/>
      <c r="AT306" s="271"/>
      <c r="AU306" s="271"/>
      <c r="AV306" s="271"/>
      <c r="AW306" s="271"/>
      <c r="AX306" s="271"/>
      <c r="AY306" s="271"/>
    </row>
    <row r="307" spans="1:51" ht="15.75" customHeight="1" x14ac:dyDescent="0.25">
      <c r="A307" s="271"/>
      <c r="B307" s="534"/>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c r="AL307" s="271"/>
      <c r="AM307" s="271"/>
      <c r="AN307" s="271"/>
      <c r="AO307" s="271"/>
      <c r="AP307" s="271"/>
      <c r="AQ307" s="271"/>
      <c r="AR307" s="271"/>
      <c r="AS307" s="271"/>
      <c r="AT307" s="271"/>
      <c r="AU307" s="271"/>
      <c r="AV307" s="271"/>
      <c r="AW307" s="271"/>
      <c r="AX307" s="271"/>
      <c r="AY307" s="271"/>
    </row>
    <row r="308" spans="1:51" ht="15.75" customHeight="1" x14ac:dyDescent="0.25">
      <c r="A308" s="271"/>
      <c r="B308" s="534"/>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c r="AL308" s="271"/>
      <c r="AM308" s="271"/>
      <c r="AN308" s="271"/>
      <c r="AO308" s="271"/>
      <c r="AP308" s="271"/>
      <c r="AQ308" s="271"/>
      <c r="AR308" s="271"/>
      <c r="AS308" s="271"/>
      <c r="AT308" s="271"/>
      <c r="AU308" s="271"/>
      <c r="AV308" s="271"/>
      <c r="AW308" s="271"/>
      <c r="AX308" s="271"/>
      <c r="AY308" s="271"/>
    </row>
    <row r="309" spans="1:51" ht="15.75" customHeight="1" x14ac:dyDescent="0.25">
      <c r="A309" s="271"/>
      <c r="B309" s="534"/>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c r="AM309" s="271"/>
      <c r="AN309" s="271"/>
      <c r="AO309" s="271"/>
      <c r="AP309" s="271"/>
      <c r="AQ309" s="271"/>
      <c r="AR309" s="271"/>
      <c r="AS309" s="271"/>
      <c r="AT309" s="271"/>
      <c r="AU309" s="271"/>
      <c r="AV309" s="271"/>
      <c r="AW309" s="271"/>
      <c r="AX309" s="271"/>
      <c r="AY309" s="271"/>
    </row>
    <row r="310" spans="1:51" ht="15.75" customHeight="1" x14ac:dyDescent="0.25">
      <c r="A310" s="271"/>
      <c r="B310" s="534"/>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c r="AL310" s="271"/>
      <c r="AM310" s="271"/>
      <c r="AN310" s="271"/>
      <c r="AO310" s="271"/>
      <c r="AP310" s="271"/>
      <c r="AQ310" s="271"/>
      <c r="AR310" s="271"/>
      <c r="AS310" s="271"/>
      <c r="AT310" s="271"/>
      <c r="AU310" s="271"/>
      <c r="AV310" s="271"/>
      <c r="AW310" s="271"/>
      <c r="AX310" s="271"/>
      <c r="AY310" s="271"/>
    </row>
    <row r="311" spans="1:51" ht="15.75" customHeight="1" x14ac:dyDescent="0.25">
      <c r="A311" s="271"/>
      <c r="B311" s="534"/>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c r="AL311" s="271"/>
      <c r="AM311" s="271"/>
      <c r="AN311" s="271"/>
      <c r="AO311" s="271"/>
      <c r="AP311" s="271"/>
      <c r="AQ311" s="271"/>
      <c r="AR311" s="271"/>
      <c r="AS311" s="271"/>
      <c r="AT311" s="271"/>
      <c r="AU311" s="271"/>
      <c r="AV311" s="271"/>
      <c r="AW311" s="271"/>
      <c r="AX311" s="271"/>
      <c r="AY311" s="271"/>
    </row>
    <row r="312" spans="1:51" ht="15.75" customHeight="1" x14ac:dyDescent="0.25">
      <c r="A312" s="271"/>
      <c r="B312" s="534"/>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c r="AL312" s="271"/>
      <c r="AM312" s="271"/>
      <c r="AN312" s="271"/>
      <c r="AO312" s="271"/>
      <c r="AP312" s="271"/>
      <c r="AQ312" s="271"/>
      <c r="AR312" s="271"/>
      <c r="AS312" s="271"/>
      <c r="AT312" s="271"/>
      <c r="AU312" s="271"/>
      <c r="AV312" s="271"/>
      <c r="AW312" s="271"/>
      <c r="AX312" s="271"/>
      <c r="AY312" s="271"/>
    </row>
    <row r="313" spans="1:51" ht="15.75" customHeight="1" x14ac:dyDescent="0.25">
      <c r="A313" s="271"/>
      <c r="B313" s="534"/>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c r="AM313" s="271"/>
      <c r="AN313" s="271"/>
      <c r="AO313" s="271"/>
      <c r="AP313" s="271"/>
      <c r="AQ313" s="271"/>
      <c r="AR313" s="271"/>
      <c r="AS313" s="271"/>
      <c r="AT313" s="271"/>
      <c r="AU313" s="271"/>
      <c r="AV313" s="271"/>
      <c r="AW313" s="271"/>
      <c r="AX313" s="271"/>
      <c r="AY313" s="271"/>
    </row>
    <row r="314" spans="1:51" ht="15.75" customHeight="1" x14ac:dyDescent="0.25">
      <c r="A314" s="271"/>
      <c r="B314" s="534"/>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c r="AL314" s="271"/>
      <c r="AM314" s="271"/>
      <c r="AN314" s="271"/>
      <c r="AO314" s="271"/>
      <c r="AP314" s="271"/>
      <c r="AQ314" s="271"/>
      <c r="AR314" s="271"/>
      <c r="AS314" s="271"/>
      <c r="AT314" s="271"/>
      <c r="AU314" s="271"/>
      <c r="AV314" s="271"/>
      <c r="AW314" s="271"/>
      <c r="AX314" s="271"/>
      <c r="AY314" s="271"/>
    </row>
    <row r="315" spans="1:51" ht="15.75" customHeight="1" x14ac:dyDescent="0.25">
      <c r="A315" s="271"/>
      <c r="B315" s="534"/>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c r="AM315" s="271"/>
      <c r="AN315" s="271"/>
      <c r="AO315" s="271"/>
      <c r="AP315" s="271"/>
      <c r="AQ315" s="271"/>
      <c r="AR315" s="271"/>
      <c r="AS315" s="271"/>
      <c r="AT315" s="271"/>
      <c r="AU315" s="271"/>
      <c r="AV315" s="271"/>
      <c r="AW315" s="271"/>
      <c r="AX315" s="271"/>
      <c r="AY315" s="271"/>
    </row>
    <row r="316" spans="1:51" ht="15.75" customHeight="1" x14ac:dyDescent="0.25">
      <c r="A316" s="271"/>
      <c r="B316" s="534"/>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c r="AL316" s="271"/>
      <c r="AM316" s="271"/>
      <c r="AN316" s="271"/>
      <c r="AO316" s="271"/>
      <c r="AP316" s="271"/>
      <c r="AQ316" s="271"/>
      <c r="AR316" s="271"/>
      <c r="AS316" s="271"/>
      <c r="AT316" s="271"/>
      <c r="AU316" s="271"/>
      <c r="AV316" s="271"/>
      <c r="AW316" s="271"/>
      <c r="AX316" s="271"/>
      <c r="AY316" s="271"/>
    </row>
    <row r="317" spans="1:51" ht="15.75" customHeight="1" x14ac:dyDescent="0.25">
      <c r="A317" s="271"/>
      <c r="B317" s="534"/>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c r="AM317" s="271"/>
      <c r="AN317" s="271"/>
      <c r="AO317" s="271"/>
      <c r="AP317" s="271"/>
      <c r="AQ317" s="271"/>
      <c r="AR317" s="271"/>
      <c r="AS317" s="271"/>
      <c r="AT317" s="271"/>
      <c r="AU317" s="271"/>
      <c r="AV317" s="271"/>
      <c r="AW317" s="271"/>
      <c r="AX317" s="271"/>
      <c r="AY317" s="271"/>
    </row>
    <row r="318" spans="1:51" ht="15.75" customHeight="1" x14ac:dyDescent="0.25">
      <c r="A318" s="271"/>
      <c r="B318" s="534"/>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c r="AL318" s="271"/>
      <c r="AM318" s="271"/>
      <c r="AN318" s="271"/>
      <c r="AO318" s="271"/>
      <c r="AP318" s="271"/>
      <c r="AQ318" s="271"/>
      <c r="AR318" s="271"/>
      <c r="AS318" s="271"/>
      <c r="AT318" s="271"/>
      <c r="AU318" s="271"/>
      <c r="AV318" s="271"/>
      <c r="AW318" s="271"/>
      <c r="AX318" s="271"/>
      <c r="AY318" s="271"/>
    </row>
    <row r="319" spans="1:51" ht="15.75" customHeight="1" x14ac:dyDescent="0.25">
      <c r="A319" s="271"/>
      <c r="B319" s="534"/>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c r="AM319" s="271"/>
      <c r="AN319" s="271"/>
      <c r="AO319" s="271"/>
      <c r="AP319" s="271"/>
      <c r="AQ319" s="271"/>
      <c r="AR319" s="271"/>
      <c r="AS319" s="271"/>
      <c r="AT319" s="271"/>
      <c r="AU319" s="271"/>
      <c r="AV319" s="271"/>
      <c r="AW319" s="271"/>
      <c r="AX319" s="271"/>
      <c r="AY319" s="271"/>
    </row>
    <row r="320" spans="1:51" ht="15.75" customHeight="1" x14ac:dyDescent="0.25">
      <c r="A320" s="271"/>
      <c r="B320" s="534"/>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c r="AL320" s="271"/>
      <c r="AM320" s="271"/>
      <c r="AN320" s="271"/>
      <c r="AO320" s="271"/>
      <c r="AP320" s="271"/>
      <c r="AQ320" s="271"/>
      <c r="AR320" s="271"/>
      <c r="AS320" s="271"/>
      <c r="AT320" s="271"/>
      <c r="AU320" s="271"/>
      <c r="AV320" s="271"/>
      <c r="AW320" s="271"/>
      <c r="AX320" s="271"/>
      <c r="AY320" s="271"/>
    </row>
    <row r="321" spans="1:51" ht="15.75" customHeight="1" x14ac:dyDescent="0.25">
      <c r="A321" s="271"/>
      <c r="B321" s="534"/>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c r="AM321" s="271"/>
      <c r="AN321" s="271"/>
      <c r="AO321" s="271"/>
      <c r="AP321" s="271"/>
      <c r="AQ321" s="271"/>
      <c r="AR321" s="271"/>
      <c r="AS321" s="271"/>
      <c r="AT321" s="271"/>
      <c r="AU321" s="271"/>
      <c r="AV321" s="271"/>
      <c r="AW321" s="271"/>
      <c r="AX321" s="271"/>
      <c r="AY321" s="271"/>
    </row>
    <row r="322" spans="1:51" ht="15.75" customHeight="1" x14ac:dyDescent="0.25">
      <c r="A322" s="271"/>
      <c r="B322" s="534"/>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c r="AL322" s="271"/>
      <c r="AM322" s="271"/>
      <c r="AN322" s="271"/>
      <c r="AO322" s="271"/>
      <c r="AP322" s="271"/>
      <c r="AQ322" s="271"/>
      <c r="AR322" s="271"/>
      <c r="AS322" s="271"/>
      <c r="AT322" s="271"/>
      <c r="AU322" s="271"/>
      <c r="AV322" s="271"/>
      <c r="AW322" s="271"/>
      <c r="AX322" s="271"/>
      <c r="AY322" s="271"/>
    </row>
    <row r="323" spans="1:51" ht="15.75" customHeight="1" x14ac:dyDescent="0.25">
      <c r="A323" s="271"/>
      <c r="B323" s="534"/>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c r="AM323" s="271"/>
      <c r="AN323" s="271"/>
      <c r="AO323" s="271"/>
      <c r="AP323" s="271"/>
      <c r="AQ323" s="271"/>
      <c r="AR323" s="271"/>
      <c r="AS323" s="271"/>
      <c r="AT323" s="271"/>
      <c r="AU323" s="271"/>
      <c r="AV323" s="271"/>
      <c r="AW323" s="271"/>
      <c r="AX323" s="271"/>
      <c r="AY323" s="271"/>
    </row>
    <row r="324" spans="1:51" ht="15.75" customHeight="1" x14ac:dyDescent="0.25">
      <c r="A324" s="271"/>
      <c r="B324" s="534"/>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c r="AL324" s="271"/>
      <c r="AM324" s="271"/>
      <c r="AN324" s="271"/>
      <c r="AO324" s="271"/>
      <c r="AP324" s="271"/>
      <c r="AQ324" s="271"/>
      <c r="AR324" s="271"/>
      <c r="AS324" s="271"/>
      <c r="AT324" s="271"/>
      <c r="AU324" s="271"/>
      <c r="AV324" s="271"/>
      <c r="AW324" s="271"/>
      <c r="AX324" s="271"/>
      <c r="AY324" s="271"/>
    </row>
    <row r="325" spans="1:51" ht="15.75" customHeight="1" x14ac:dyDescent="0.25">
      <c r="A325" s="271"/>
      <c r="B325" s="534"/>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c r="AL325" s="271"/>
      <c r="AM325" s="271"/>
      <c r="AN325" s="271"/>
      <c r="AO325" s="271"/>
      <c r="AP325" s="271"/>
      <c r="AQ325" s="271"/>
      <c r="AR325" s="271"/>
      <c r="AS325" s="271"/>
      <c r="AT325" s="271"/>
      <c r="AU325" s="271"/>
      <c r="AV325" s="271"/>
      <c r="AW325" s="271"/>
      <c r="AX325" s="271"/>
      <c r="AY325" s="271"/>
    </row>
    <row r="326" spans="1:51" ht="15.75" customHeight="1" x14ac:dyDescent="0.25">
      <c r="A326" s="271"/>
      <c r="B326" s="534"/>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c r="AM326" s="271"/>
      <c r="AN326" s="271"/>
      <c r="AO326" s="271"/>
      <c r="AP326" s="271"/>
      <c r="AQ326" s="271"/>
      <c r="AR326" s="271"/>
      <c r="AS326" s="271"/>
      <c r="AT326" s="271"/>
      <c r="AU326" s="271"/>
      <c r="AV326" s="271"/>
      <c r="AW326" s="271"/>
      <c r="AX326" s="271"/>
      <c r="AY326" s="271"/>
    </row>
    <row r="327" spans="1:51" ht="15.75" customHeight="1" x14ac:dyDescent="0.25">
      <c r="A327" s="271"/>
      <c r="B327" s="534"/>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c r="AL327" s="271"/>
      <c r="AM327" s="271"/>
      <c r="AN327" s="271"/>
      <c r="AO327" s="271"/>
      <c r="AP327" s="271"/>
      <c r="AQ327" s="271"/>
      <c r="AR327" s="271"/>
      <c r="AS327" s="271"/>
      <c r="AT327" s="271"/>
      <c r="AU327" s="271"/>
      <c r="AV327" s="271"/>
      <c r="AW327" s="271"/>
      <c r="AX327" s="271"/>
      <c r="AY327" s="271"/>
    </row>
    <row r="328" spans="1:51" ht="15.75" customHeight="1" x14ac:dyDescent="0.25">
      <c r="A328" s="271"/>
      <c r="B328" s="534"/>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c r="AM328" s="271"/>
      <c r="AN328" s="271"/>
      <c r="AO328" s="271"/>
      <c r="AP328" s="271"/>
      <c r="AQ328" s="271"/>
      <c r="AR328" s="271"/>
      <c r="AS328" s="271"/>
      <c r="AT328" s="271"/>
      <c r="AU328" s="271"/>
      <c r="AV328" s="271"/>
      <c r="AW328" s="271"/>
      <c r="AX328" s="271"/>
      <c r="AY328" s="271"/>
    </row>
    <row r="329" spans="1:51" ht="15.75" customHeight="1" x14ac:dyDescent="0.25">
      <c r="A329" s="271"/>
      <c r="B329" s="534"/>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c r="AL329" s="271"/>
      <c r="AM329" s="271"/>
      <c r="AN329" s="271"/>
      <c r="AO329" s="271"/>
      <c r="AP329" s="271"/>
      <c r="AQ329" s="271"/>
      <c r="AR329" s="271"/>
      <c r="AS329" s="271"/>
      <c r="AT329" s="271"/>
      <c r="AU329" s="271"/>
      <c r="AV329" s="271"/>
      <c r="AW329" s="271"/>
      <c r="AX329" s="271"/>
      <c r="AY329" s="271"/>
    </row>
    <row r="330" spans="1:51" ht="15.75" customHeight="1" x14ac:dyDescent="0.25">
      <c r="A330" s="271"/>
      <c r="B330" s="534"/>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c r="AL330" s="271"/>
      <c r="AM330" s="271"/>
      <c r="AN330" s="271"/>
      <c r="AO330" s="271"/>
      <c r="AP330" s="271"/>
      <c r="AQ330" s="271"/>
      <c r="AR330" s="271"/>
      <c r="AS330" s="271"/>
      <c r="AT330" s="271"/>
      <c r="AU330" s="271"/>
      <c r="AV330" s="271"/>
      <c r="AW330" s="271"/>
      <c r="AX330" s="271"/>
      <c r="AY330" s="271"/>
    </row>
    <row r="331" spans="1:51" ht="15.75" customHeight="1" x14ac:dyDescent="0.25">
      <c r="A331" s="271"/>
      <c r="B331" s="534"/>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c r="AM331" s="271"/>
      <c r="AN331" s="271"/>
      <c r="AO331" s="271"/>
      <c r="AP331" s="271"/>
      <c r="AQ331" s="271"/>
      <c r="AR331" s="271"/>
      <c r="AS331" s="271"/>
      <c r="AT331" s="271"/>
      <c r="AU331" s="271"/>
      <c r="AV331" s="271"/>
      <c r="AW331" s="271"/>
      <c r="AX331" s="271"/>
      <c r="AY331" s="271"/>
    </row>
    <row r="332" spans="1:51" ht="15.75" customHeight="1" x14ac:dyDescent="0.25">
      <c r="A332" s="271"/>
      <c r="B332" s="534"/>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c r="AL332" s="271"/>
      <c r="AM332" s="271"/>
      <c r="AN332" s="271"/>
      <c r="AO332" s="271"/>
      <c r="AP332" s="271"/>
      <c r="AQ332" s="271"/>
      <c r="AR332" s="271"/>
      <c r="AS332" s="271"/>
      <c r="AT332" s="271"/>
      <c r="AU332" s="271"/>
      <c r="AV332" s="271"/>
      <c r="AW332" s="271"/>
      <c r="AX332" s="271"/>
      <c r="AY332" s="271"/>
    </row>
    <row r="333" spans="1:51" ht="15.75" customHeight="1" x14ac:dyDescent="0.25">
      <c r="A333" s="271"/>
      <c r="B333" s="534"/>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c r="AM333" s="271"/>
      <c r="AN333" s="271"/>
      <c r="AO333" s="271"/>
      <c r="AP333" s="271"/>
      <c r="AQ333" s="271"/>
      <c r="AR333" s="271"/>
      <c r="AS333" s="271"/>
      <c r="AT333" s="271"/>
      <c r="AU333" s="271"/>
      <c r="AV333" s="271"/>
      <c r="AW333" s="271"/>
      <c r="AX333" s="271"/>
      <c r="AY333" s="271"/>
    </row>
    <row r="334" spans="1:51" ht="15.75" customHeight="1" x14ac:dyDescent="0.25">
      <c r="A334" s="271"/>
      <c r="B334" s="534"/>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c r="AL334" s="271"/>
      <c r="AM334" s="271"/>
      <c r="AN334" s="271"/>
      <c r="AO334" s="271"/>
      <c r="AP334" s="271"/>
      <c r="AQ334" s="271"/>
      <c r="AR334" s="271"/>
      <c r="AS334" s="271"/>
      <c r="AT334" s="271"/>
      <c r="AU334" s="271"/>
      <c r="AV334" s="271"/>
      <c r="AW334" s="271"/>
      <c r="AX334" s="271"/>
      <c r="AY334" s="271"/>
    </row>
    <row r="335" spans="1:51" ht="15.75" customHeight="1" x14ac:dyDescent="0.25">
      <c r="A335" s="271"/>
      <c r="B335" s="534"/>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c r="AL335" s="271"/>
      <c r="AM335" s="271"/>
      <c r="AN335" s="271"/>
      <c r="AO335" s="271"/>
      <c r="AP335" s="271"/>
      <c r="AQ335" s="271"/>
      <c r="AR335" s="271"/>
      <c r="AS335" s="271"/>
      <c r="AT335" s="271"/>
      <c r="AU335" s="271"/>
      <c r="AV335" s="271"/>
      <c r="AW335" s="271"/>
      <c r="AX335" s="271"/>
      <c r="AY335" s="271"/>
    </row>
    <row r="336" spans="1:51" ht="15.75" customHeight="1" x14ac:dyDescent="0.25">
      <c r="A336" s="271"/>
      <c r="B336" s="534"/>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c r="AL336" s="271"/>
      <c r="AM336" s="271"/>
      <c r="AN336" s="271"/>
      <c r="AO336" s="271"/>
      <c r="AP336" s="271"/>
      <c r="AQ336" s="271"/>
      <c r="AR336" s="271"/>
      <c r="AS336" s="271"/>
      <c r="AT336" s="271"/>
      <c r="AU336" s="271"/>
      <c r="AV336" s="271"/>
      <c r="AW336" s="271"/>
      <c r="AX336" s="271"/>
      <c r="AY336" s="271"/>
    </row>
    <row r="337" spans="1:51" ht="15.75" customHeight="1" x14ac:dyDescent="0.25">
      <c r="A337" s="271"/>
      <c r="B337" s="534"/>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c r="AL337" s="271"/>
      <c r="AM337" s="271"/>
      <c r="AN337" s="271"/>
      <c r="AO337" s="271"/>
      <c r="AP337" s="271"/>
      <c r="AQ337" s="271"/>
      <c r="AR337" s="271"/>
      <c r="AS337" s="271"/>
      <c r="AT337" s="271"/>
      <c r="AU337" s="271"/>
      <c r="AV337" s="271"/>
      <c r="AW337" s="271"/>
      <c r="AX337" s="271"/>
      <c r="AY337" s="271"/>
    </row>
    <row r="338" spans="1:51" ht="15.75" customHeight="1" x14ac:dyDescent="0.25">
      <c r="A338" s="271"/>
      <c r="B338" s="534"/>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c r="AL338" s="271"/>
      <c r="AM338" s="271"/>
      <c r="AN338" s="271"/>
      <c r="AO338" s="271"/>
      <c r="AP338" s="271"/>
      <c r="AQ338" s="271"/>
      <c r="AR338" s="271"/>
      <c r="AS338" s="271"/>
      <c r="AT338" s="271"/>
      <c r="AU338" s="271"/>
      <c r="AV338" s="271"/>
      <c r="AW338" s="271"/>
      <c r="AX338" s="271"/>
      <c r="AY338" s="271"/>
    </row>
    <row r="339" spans="1:51" ht="15.75" customHeight="1" x14ac:dyDescent="0.25">
      <c r="A339" s="271"/>
      <c r="B339" s="534"/>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c r="AL339" s="271"/>
      <c r="AM339" s="271"/>
      <c r="AN339" s="271"/>
      <c r="AO339" s="271"/>
      <c r="AP339" s="271"/>
      <c r="AQ339" s="271"/>
      <c r="AR339" s="271"/>
      <c r="AS339" s="271"/>
      <c r="AT339" s="271"/>
      <c r="AU339" s="271"/>
      <c r="AV339" s="271"/>
      <c r="AW339" s="271"/>
      <c r="AX339" s="271"/>
      <c r="AY339" s="271"/>
    </row>
    <row r="340" spans="1:51" ht="15.75" customHeight="1" x14ac:dyDescent="0.25">
      <c r="A340" s="271"/>
      <c r="B340" s="534"/>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c r="AL340" s="271"/>
      <c r="AM340" s="271"/>
      <c r="AN340" s="271"/>
      <c r="AO340" s="271"/>
      <c r="AP340" s="271"/>
      <c r="AQ340" s="271"/>
      <c r="AR340" s="271"/>
      <c r="AS340" s="271"/>
      <c r="AT340" s="271"/>
      <c r="AU340" s="271"/>
      <c r="AV340" s="271"/>
      <c r="AW340" s="271"/>
      <c r="AX340" s="271"/>
      <c r="AY340" s="271"/>
    </row>
    <row r="341" spans="1:51" ht="15.75" customHeight="1" x14ac:dyDescent="0.25">
      <c r="A341" s="271"/>
      <c r="B341" s="534"/>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c r="AL341" s="271"/>
      <c r="AM341" s="271"/>
      <c r="AN341" s="271"/>
      <c r="AO341" s="271"/>
      <c r="AP341" s="271"/>
      <c r="AQ341" s="271"/>
      <c r="AR341" s="271"/>
      <c r="AS341" s="271"/>
      <c r="AT341" s="271"/>
      <c r="AU341" s="271"/>
      <c r="AV341" s="271"/>
      <c r="AW341" s="271"/>
      <c r="AX341" s="271"/>
      <c r="AY341" s="271"/>
    </row>
    <row r="342" spans="1:51" ht="15.75" customHeight="1" x14ac:dyDescent="0.25">
      <c r="A342" s="271"/>
      <c r="B342" s="534"/>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c r="AL342" s="271"/>
      <c r="AM342" s="271"/>
      <c r="AN342" s="271"/>
      <c r="AO342" s="271"/>
      <c r="AP342" s="271"/>
      <c r="AQ342" s="271"/>
      <c r="AR342" s="271"/>
      <c r="AS342" s="271"/>
      <c r="AT342" s="271"/>
      <c r="AU342" s="271"/>
      <c r="AV342" s="271"/>
      <c r="AW342" s="271"/>
      <c r="AX342" s="271"/>
      <c r="AY342" s="271"/>
    </row>
    <row r="343" spans="1:51" ht="15.75" customHeight="1" x14ac:dyDescent="0.25">
      <c r="A343" s="271"/>
      <c r="B343" s="534"/>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c r="AL343" s="271"/>
      <c r="AM343" s="271"/>
      <c r="AN343" s="271"/>
      <c r="AO343" s="271"/>
      <c r="AP343" s="271"/>
      <c r="AQ343" s="271"/>
      <c r="AR343" s="271"/>
      <c r="AS343" s="271"/>
      <c r="AT343" s="271"/>
      <c r="AU343" s="271"/>
      <c r="AV343" s="271"/>
      <c r="AW343" s="271"/>
      <c r="AX343" s="271"/>
      <c r="AY343" s="271"/>
    </row>
    <row r="344" spans="1:51" ht="15.75" customHeight="1" x14ac:dyDescent="0.25">
      <c r="A344" s="271"/>
      <c r="B344" s="534"/>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c r="AL344" s="271"/>
      <c r="AM344" s="271"/>
      <c r="AN344" s="271"/>
      <c r="AO344" s="271"/>
      <c r="AP344" s="271"/>
      <c r="AQ344" s="271"/>
      <c r="AR344" s="271"/>
      <c r="AS344" s="271"/>
      <c r="AT344" s="271"/>
      <c r="AU344" s="271"/>
      <c r="AV344" s="271"/>
      <c r="AW344" s="271"/>
      <c r="AX344" s="271"/>
      <c r="AY344" s="271"/>
    </row>
    <row r="345" spans="1:51" ht="15.75" customHeight="1" x14ac:dyDescent="0.25">
      <c r="A345" s="271"/>
      <c r="B345" s="534"/>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c r="AL345" s="271"/>
      <c r="AM345" s="271"/>
      <c r="AN345" s="271"/>
      <c r="AO345" s="271"/>
      <c r="AP345" s="271"/>
      <c r="AQ345" s="271"/>
      <c r="AR345" s="271"/>
      <c r="AS345" s="271"/>
      <c r="AT345" s="271"/>
      <c r="AU345" s="271"/>
      <c r="AV345" s="271"/>
      <c r="AW345" s="271"/>
      <c r="AX345" s="271"/>
      <c r="AY345" s="271"/>
    </row>
    <row r="346" spans="1:51" ht="15.75" customHeight="1" x14ac:dyDescent="0.25">
      <c r="A346" s="271"/>
      <c r="B346" s="534"/>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c r="AL346" s="271"/>
      <c r="AM346" s="271"/>
      <c r="AN346" s="271"/>
      <c r="AO346" s="271"/>
      <c r="AP346" s="271"/>
      <c r="AQ346" s="271"/>
      <c r="AR346" s="271"/>
      <c r="AS346" s="271"/>
      <c r="AT346" s="271"/>
      <c r="AU346" s="271"/>
      <c r="AV346" s="271"/>
      <c r="AW346" s="271"/>
      <c r="AX346" s="271"/>
      <c r="AY346" s="271"/>
    </row>
    <row r="347" spans="1:51" ht="15.75" customHeight="1" x14ac:dyDescent="0.25">
      <c r="A347" s="271"/>
      <c r="B347" s="534"/>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c r="AL347" s="271"/>
      <c r="AM347" s="271"/>
      <c r="AN347" s="271"/>
      <c r="AO347" s="271"/>
      <c r="AP347" s="271"/>
      <c r="AQ347" s="271"/>
      <c r="AR347" s="271"/>
      <c r="AS347" s="271"/>
      <c r="AT347" s="271"/>
      <c r="AU347" s="271"/>
      <c r="AV347" s="271"/>
      <c r="AW347" s="271"/>
      <c r="AX347" s="271"/>
      <c r="AY347" s="271"/>
    </row>
    <row r="348" spans="1:51" ht="15.75" customHeight="1" x14ac:dyDescent="0.25">
      <c r="A348" s="271"/>
      <c r="B348" s="534"/>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c r="AL348" s="271"/>
      <c r="AM348" s="271"/>
      <c r="AN348" s="271"/>
      <c r="AO348" s="271"/>
      <c r="AP348" s="271"/>
      <c r="AQ348" s="271"/>
      <c r="AR348" s="271"/>
      <c r="AS348" s="271"/>
      <c r="AT348" s="271"/>
      <c r="AU348" s="271"/>
      <c r="AV348" s="271"/>
      <c r="AW348" s="271"/>
      <c r="AX348" s="271"/>
      <c r="AY348" s="271"/>
    </row>
    <row r="349" spans="1:51" ht="15.75" customHeight="1" x14ac:dyDescent="0.25">
      <c r="A349" s="271"/>
      <c r="B349" s="534"/>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c r="AL349" s="271"/>
      <c r="AM349" s="271"/>
      <c r="AN349" s="271"/>
      <c r="AO349" s="271"/>
      <c r="AP349" s="271"/>
      <c r="AQ349" s="271"/>
      <c r="AR349" s="271"/>
      <c r="AS349" s="271"/>
      <c r="AT349" s="271"/>
      <c r="AU349" s="271"/>
      <c r="AV349" s="271"/>
      <c r="AW349" s="271"/>
      <c r="AX349" s="271"/>
      <c r="AY349" s="271"/>
    </row>
    <row r="350" spans="1:51" ht="15.75" customHeight="1" x14ac:dyDescent="0.25">
      <c r="A350" s="271"/>
      <c r="B350" s="534"/>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c r="AL350" s="271"/>
      <c r="AM350" s="271"/>
      <c r="AN350" s="271"/>
      <c r="AO350" s="271"/>
      <c r="AP350" s="271"/>
      <c r="AQ350" s="271"/>
      <c r="AR350" s="271"/>
      <c r="AS350" s="271"/>
      <c r="AT350" s="271"/>
      <c r="AU350" s="271"/>
      <c r="AV350" s="271"/>
      <c r="AW350" s="271"/>
      <c r="AX350" s="271"/>
      <c r="AY350" s="271"/>
    </row>
    <row r="351" spans="1:51" ht="15.75" customHeight="1" x14ac:dyDescent="0.25">
      <c r="A351" s="271"/>
      <c r="B351" s="534"/>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c r="AL351" s="271"/>
      <c r="AM351" s="271"/>
      <c r="AN351" s="271"/>
      <c r="AO351" s="271"/>
      <c r="AP351" s="271"/>
      <c r="AQ351" s="271"/>
      <c r="AR351" s="271"/>
      <c r="AS351" s="271"/>
      <c r="AT351" s="271"/>
      <c r="AU351" s="271"/>
      <c r="AV351" s="271"/>
      <c r="AW351" s="271"/>
      <c r="AX351" s="271"/>
      <c r="AY351" s="271"/>
    </row>
    <row r="352" spans="1:51" ht="15.75" customHeight="1" x14ac:dyDescent="0.25">
      <c r="A352" s="271"/>
      <c r="B352" s="534"/>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c r="AL352" s="271"/>
      <c r="AM352" s="271"/>
      <c r="AN352" s="271"/>
      <c r="AO352" s="271"/>
      <c r="AP352" s="271"/>
      <c r="AQ352" s="271"/>
      <c r="AR352" s="271"/>
      <c r="AS352" s="271"/>
      <c r="AT352" s="271"/>
      <c r="AU352" s="271"/>
      <c r="AV352" s="271"/>
      <c r="AW352" s="271"/>
      <c r="AX352" s="271"/>
      <c r="AY352" s="271"/>
    </row>
    <row r="353" spans="1:51" ht="15.75" customHeight="1" x14ac:dyDescent="0.25">
      <c r="A353" s="271"/>
      <c r="B353" s="534"/>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c r="AL353" s="271"/>
      <c r="AM353" s="271"/>
      <c r="AN353" s="271"/>
      <c r="AO353" s="271"/>
      <c r="AP353" s="271"/>
      <c r="AQ353" s="271"/>
      <c r="AR353" s="271"/>
      <c r="AS353" s="271"/>
      <c r="AT353" s="271"/>
      <c r="AU353" s="271"/>
      <c r="AV353" s="271"/>
      <c r="AW353" s="271"/>
      <c r="AX353" s="271"/>
      <c r="AY353" s="271"/>
    </row>
    <row r="354" spans="1:51" ht="15.75" customHeight="1" x14ac:dyDescent="0.25">
      <c r="A354" s="271"/>
      <c r="B354" s="534"/>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c r="AL354" s="271"/>
      <c r="AM354" s="271"/>
      <c r="AN354" s="271"/>
      <c r="AO354" s="271"/>
      <c r="AP354" s="271"/>
      <c r="AQ354" s="271"/>
      <c r="AR354" s="271"/>
      <c r="AS354" s="271"/>
      <c r="AT354" s="271"/>
      <c r="AU354" s="271"/>
      <c r="AV354" s="271"/>
      <c r="AW354" s="271"/>
      <c r="AX354" s="271"/>
      <c r="AY354" s="271"/>
    </row>
    <row r="355" spans="1:51" ht="15.75" customHeight="1" x14ac:dyDescent="0.25">
      <c r="A355" s="271"/>
      <c r="B355" s="534"/>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c r="AL355" s="271"/>
      <c r="AM355" s="271"/>
      <c r="AN355" s="271"/>
      <c r="AO355" s="271"/>
      <c r="AP355" s="271"/>
      <c r="AQ355" s="271"/>
      <c r="AR355" s="271"/>
      <c r="AS355" s="271"/>
      <c r="AT355" s="271"/>
      <c r="AU355" s="271"/>
      <c r="AV355" s="271"/>
      <c r="AW355" s="271"/>
      <c r="AX355" s="271"/>
      <c r="AY355" s="271"/>
    </row>
    <row r="356" spans="1:51" ht="15.75" customHeight="1" x14ac:dyDescent="0.25">
      <c r="A356" s="271"/>
      <c r="B356" s="534"/>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c r="AL356" s="271"/>
      <c r="AM356" s="271"/>
      <c r="AN356" s="271"/>
      <c r="AO356" s="271"/>
      <c r="AP356" s="271"/>
      <c r="AQ356" s="271"/>
      <c r="AR356" s="271"/>
      <c r="AS356" s="271"/>
      <c r="AT356" s="271"/>
      <c r="AU356" s="271"/>
      <c r="AV356" s="271"/>
      <c r="AW356" s="271"/>
      <c r="AX356" s="271"/>
      <c r="AY356" s="271"/>
    </row>
    <row r="357" spans="1:51" ht="15.75" customHeight="1" x14ac:dyDescent="0.25">
      <c r="A357" s="271"/>
      <c r="B357" s="534"/>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c r="AL357" s="271"/>
      <c r="AM357" s="271"/>
      <c r="AN357" s="271"/>
      <c r="AO357" s="271"/>
      <c r="AP357" s="271"/>
      <c r="AQ357" s="271"/>
      <c r="AR357" s="271"/>
      <c r="AS357" s="271"/>
      <c r="AT357" s="271"/>
      <c r="AU357" s="271"/>
      <c r="AV357" s="271"/>
      <c r="AW357" s="271"/>
      <c r="AX357" s="271"/>
      <c r="AY357" s="271"/>
    </row>
    <row r="358" spans="1:51" ht="15.75" customHeight="1" x14ac:dyDescent="0.25">
      <c r="A358" s="271"/>
      <c r="B358" s="534"/>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c r="AL358" s="271"/>
      <c r="AM358" s="271"/>
      <c r="AN358" s="271"/>
      <c r="AO358" s="271"/>
      <c r="AP358" s="271"/>
      <c r="AQ358" s="271"/>
      <c r="AR358" s="271"/>
      <c r="AS358" s="271"/>
      <c r="AT358" s="271"/>
      <c r="AU358" s="271"/>
      <c r="AV358" s="271"/>
      <c r="AW358" s="271"/>
      <c r="AX358" s="271"/>
      <c r="AY358" s="271"/>
    </row>
    <row r="359" spans="1:51" ht="15.75" customHeight="1" x14ac:dyDescent="0.25">
      <c r="A359" s="271"/>
      <c r="B359" s="534"/>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c r="AL359" s="271"/>
      <c r="AM359" s="271"/>
      <c r="AN359" s="271"/>
      <c r="AO359" s="271"/>
      <c r="AP359" s="271"/>
      <c r="AQ359" s="271"/>
      <c r="AR359" s="271"/>
      <c r="AS359" s="271"/>
      <c r="AT359" s="271"/>
      <c r="AU359" s="271"/>
      <c r="AV359" s="271"/>
      <c r="AW359" s="271"/>
      <c r="AX359" s="271"/>
      <c r="AY359" s="271"/>
    </row>
    <row r="360" spans="1:51" ht="15.75" customHeight="1" x14ac:dyDescent="0.25">
      <c r="A360" s="271"/>
      <c r="B360" s="534"/>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c r="AL360" s="271"/>
      <c r="AM360" s="271"/>
      <c r="AN360" s="271"/>
      <c r="AO360" s="271"/>
      <c r="AP360" s="271"/>
      <c r="AQ360" s="271"/>
      <c r="AR360" s="271"/>
      <c r="AS360" s="271"/>
      <c r="AT360" s="271"/>
      <c r="AU360" s="271"/>
      <c r="AV360" s="271"/>
      <c r="AW360" s="271"/>
      <c r="AX360" s="271"/>
      <c r="AY360" s="271"/>
    </row>
    <row r="361" spans="1:51" ht="15.75" customHeight="1" x14ac:dyDescent="0.25">
      <c r="A361" s="271"/>
      <c r="B361" s="534"/>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c r="AL361" s="271"/>
      <c r="AM361" s="271"/>
      <c r="AN361" s="271"/>
      <c r="AO361" s="271"/>
      <c r="AP361" s="271"/>
      <c r="AQ361" s="271"/>
      <c r="AR361" s="271"/>
      <c r="AS361" s="271"/>
      <c r="AT361" s="271"/>
      <c r="AU361" s="271"/>
      <c r="AV361" s="271"/>
      <c r="AW361" s="271"/>
      <c r="AX361" s="271"/>
      <c r="AY361" s="271"/>
    </row>
    <row r="362" spans="1:51" ht="15.75" customHeight="1" x14ac:dyDescent="0.25">
      <c r="A362" s="271"/>
      <c r="B362" s="534"/>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c r="AL362" s="271"/>
      <c r="AM362" s="271"/>
      <c r="AN362" s="271"/>
      <c r="AO362" s="271"/>
      <c r="AP362" s="271"/>
      <c r="AQ362" s="271"/>
      <c r="AR362" s="271"/>
      <c r="AS362" s="271"/>
      <c r="AT362" s="271"/>
      <c r="AU362" s="271"/>
      <c r="AV362" s="271"/>
      <c r="AW362" s="271"/>
      <c r="AX362" s="271"/>
      <c r="AY362" s="271"/>
    </row>
    <row r="363" spans="1:51" ht="15.75" customHeight="1" x14ac:dyDescent="0.25">
      <c r="A363" s="271"/>
      <c r="B363" s="534"/>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c r="AL363" s="271"/>
      <c r="AM363" s="271"/>
      <c r="AN363" s="271"/>
      <c r="AO363" s="271"/>
      <c r="AP363" s="271"/>
      <c r="AQ363" s="271"/>
      <c r="AR363" s="271"/>
      <c r="AS363" s="271"/>
      <c r="AT363" s="271"/>
      <c r="AU363" s="271"/>
      <c r="AV363" s="271"/>
      <c r="AW363" s="271"/>
      <c r="AX363" s="271"/>
      <c r="AY363" s="271"/>
    </row>
    <row r="364" spans="1:51" ht="15.75" customHeight="1" x14ac:dyDescent="0.25">
      <c r="A364" s="271"/>
      <c r="B364" s="534"/>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c r="AL364" s="271"/>
      <c r="AM364" s="271"/>
      <c r="AN364" s="271"/>
      <c r="AO364" s="271"/>
      <c r="AP364" s="271"/>
      <c r="AQ364" s="271"/>
      <c r="AR364" s="271"/>
      <c r="AS364" s="271"/>
      <c r="AT364" s="271"/>
      <c r="AU364" s="271"/>
      <c r="AV364" s="271"/>
      <c r="AW364" s="271"/>
      <c r="AX364" s="271"/>
      <c r="AY364" s="271"/>
    </row>
    <row r="365" spans="1:51" ht="15.75" customHeight="1" x14ac:dyDescent="0.25">
      <c r="A365" s="271"/>
      <c r="B365" s="534"/>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c r="AL365" s="271"/>
      <c r="AM365" s="271"/>
      <c r="AN365" s="271"/>
      <c r="AO365" s="271"/>
      <c r="AP365" s="271"/>
      <c r="AQ365" s="271"/>
      <c r="AR365" s="271"/>
      <c r="AS365" s="271"/>
      <c r="AT365" s="271"/>
      <c r="AU365" s="271"/>
      <c r="AV365" s="271"/>
      <c r="AW365" s="271"/>
      <c r="AX365" s="271"/>
      <c r="AY365" s="271"/>
    </row>
    <row r="366" spans="1:51" ht="15.75" customHeight="1" x14ac:dyDescent="0.25">
      <c r="A366" s="271"/>
      <c r="B366" s="534"/>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c r="AL366" s="271"/>
      <c r="AM366" s="271"/>
      <c r="AN366" s="271"/>
      <c r="AO366" s="271"/>
      <c r="AP366" s="271"/>
      <c r="AQ366" s="271"/>
      <c r="AR366" s="271"/>
      <c r="AS366" s="271"/>
      <c r="AT366" s="271"/>
      <c r="AU366" s="271"/>
      <c r="AV366" s="271"/>
      <c r="AW366" s="271"/>
      <c r="AX366" s="271"/>
      <c r="AY366" s="271"/>
    </row>
    <row r="367" spans="1:51" ht="15.75" customHeight="1" x14ac:dyDescent="0.25">
      <c r="A367" s="271"/>
      <c r="B367" s="534"/>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c r="AL367" s="271"/>
      <c r="AM367" s="271"/>
      <c r="AN367" s="271"/>
      <c r="AO367" s="271"/>
      <c r="AP367" s="271"/>
      <c r="AQ367" s="271"/>
      <c r="AR367" s="271"/>
      <c r="AS367" s="271"/>
      <c r="AT367" s="271"/>
      <c r="AU367" s="271"/>
      <c r="AV367" s="271"/>
      <c r="AW367" s="271"/>
      <c r="AX367" s="271"/>
      <c r="AY367" s="271"/>
    </row>
    <row r="368" spans="1:51" ht="15.75" customHeight="1" x14ac:dyDescent="0.25">
      <c r="A368" s="271"/>
      <c r="B368" s="534"/>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c r="AL368" s="271"/>
      <c r="AM368" s="271"/>
      <c r="AN368" s="271"/>
      <c r="AO368" s="271"/>
      <c r="AP368" s="271"/>
      <c r="AQ368" s="271"/>
      <c r="AR368" s="271"/>
      <c r="AS368" s="271"/>
      <c r="AT368" s="271"/>
      <c r="AU368" s="271"/>
      <c r="AV368" s="271"/>
      <c r="AW368" s="271"/>
      <c r="AX368" s="271"/>
      <c r="AY368" s="271"/>
    </row>
    <row r="369" spans="1:51" ht="15.75" customHeight="1" x14ac:dyDescent="0.25">
      <c r="A369" s="271"/>
      <c r="B369" s="534"/>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c r="AL369" s="271"/>
      <c r="AM369" s="271"/>
      <c r="AN369" s="271"/>
      <c r="AO369" s="271"/>
      <c r="AP369" s="271"/>
      <c r="AQ369" s="271"/>
      <c r="AR369" s="271"/>
      <c r="AS369" s="271"/>
      <c r="AT369" s="271"/>
      <c r="AU369" s="271"/>
      <c r="AV369" s="271"/>
      <c r="AW369" s="271"/>
      <c r="AX369" s="271"/>
      <c r="AY369" s="271"/>
    </row>
    <row r="370" spans="1:51" ht="15.75" customHeight="1" x14ac:dyDescent="0.25">
      <c r="A370" s="271"/>
      <c r="B370" s="534"/>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c r="AL370" s="271"/>
      <c r="AM370" s="271"/>
      <c r="AN370" s="271"/>
      <c r="AO370" s="271"/>
      <c r="AP370" s="271"/>
      <c r="AQ370" s="271"/>
      <c r="AR370" s="271"/>
      <c r="AS370" s="271"/>
      <c r="AT370" s="271"/>
      <c r="AU370" s="271"/>
      <c r="AV370" s="271"/>
      <c r="AW370" s="271"/>
      <c r="AX370" s="271"/>
      <c r="AY370" s="271"/>
    </row>
    <row r="371" spans="1:51" ht="15.75" customHeight="1" x14ac:dyDescent="0.25">
      <c r="A371" s="271"/>
      <c r="B371" s="534"/>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c r="AL371" s="271"/>
      <c r="AM371" s="271"/>
      <c r="AN371" s="271"/>
      <c r="AO371" s="271"/>
      <c r="AP371" s="271"/>
      <c r="AQ371" s="271"/>
      <c r="AR371" s="271"/>
      <c r="AS371" s="271"/>
      <c r="AT371" s="271"/>
      <c r="AU371" s="271"/>
      <c r="AV371" s="271"/>
      <c r="AW371" s="271"/>
      <c r="AX371" s="271"/>
      <c r="AY371" s="271"/>
    </row>
    <row r="372" spans="1:51" ht="15.75" customHeight="1" x14ac:dyDescent="0.25">
      <c r="A372" s="271"/>
      <c r="B372" s="534"/>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c r="AL372" s="271"/>
      <c r="AM372" s="271"/>
      <c r="AN372" s="271"/>
      <c r="AO372" s="271"/>
      <c r="AP372" s="271"/>
      <c r="AQ372" s="271"/>
      <c r="AR372" s="271"/>
      <c r="AS372" s="271"/>
      <c r="AT372" s="271"/>
      <c r="AU372" s="271"/>
      <c r="AV372" s="271"/>
      <c r="AW372" s="271"/>
      <c r="AX372" s="271"/>
      <c r="AY372" s="271"/>
    </row>
    <row r="373" spans="1:51" ht="15.75" customHeight="1" x14ac:dyDescent="0.25">
      <c r="A373" s="271"/>
      <c r="B373" s="534"/>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c r="AL373" s="271"/>
      <c r="AM373" s="271"/>
      <c r="AN373" s="271"/>
      <c r="AO373" s="271"/>
      <c r="AP373" s="271"/>
      <c r="AQ373" s="271"/>
      <c r="AR373" s="271"/>
      <c r="AS373" s="271"/>
      <c r="AT373" s="271"/>
      <c r="AU373" s="271"/>
      <c r="AV373" s="271"/>
      <c r="AW373" s="271"/>
      <c r="AX373" s="271"/>
      <c r="AY373" s="271"/>
    </row>
    <row r="374" spans="1:51" ht="15.75" customHeight="1" x14ac:dyDescent="0.25">
      <c r="A374" s="271"/>
      <c r="B374" s="534"/>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c r="AL374" s="271"/>
      <c r="AM374" s="271"/>
      <c r="AN374" s="271"/>
      <c r="AO374" s="271"/>
      <c r="AP374" s="271"/>
      <c r="AQ374" s="271"/>
      <c r="AR374" s="271"/>
      <c r="AS374" s="271"/>
      <c r="AT374" s="271"/>
      <c r="AU374" s="271"/>
      <c r="AV374" s="271"/>
      <c r="AW374" s="271"/>
      <c r="AX374" s="271"/>
      <c r="AY374" s="271"/>
    </row>
    <row r="375" spans="1:51" ht="15.75" customHeight="1" x14ac:dyDescent="0.25">
      <c r="A375" s="271"/>
      <c r="B375" s="534"/>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c r="AL375" s="271"/>
      <c r="AM375" s="271"/>
      <c r="AN375" s="271"/>
      <c r="AO375" s="271"/>
      <c r="AP375" s="271"/>
      <c r="AQ375" s="271"/>
      <c r="AR375" s="271"/>
      <c r="AS375" s="271"/>
      <c r="AT375" s="271"/>
      <c r="AU375" s="271"/>
      <c r="AV375" s="271"/>
      <c r="AW375" s="271"/>
      <c r="AX375" s="271"/>
      <c r="AY375" s="271"/>
    </row>
    <row r="376" spans="1:51" ht="15.75" customHeight="1" x14ac:dyDescent="0.25">
      <c r="A376" s="271"/>
      <c r="B376" s="534"/>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c r="AL376" s="271"/>
      <c r="AM376" s="271"/>
      <c r="AN376" s="271"/>
      <c r="AO376" s="271"/>
      <c r="AP376" s="271"/>
      <c r="AQ376" s="271"/>
      <c r="AR376" s="271"/>
      <c r="AS376" s="271"/>
      <c r="AT376" s="271"/>
      <c r="AU376" s="271"/>
      <c r="AV376" s="271"/>
      <c r="AW376" s="271"/>
      <c r="AX376" s="271"/>
      <c r="AY376" s="271"/>
    </row>
    <row r="377" spans="1:51" ht="15.75" customHeight="1" x14ac:dyDescent="0.25">
      <c r="A377" s="271"/>
      <c r="B377" s="534"/>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c r="AL377" s="271"/>
      <c r="AM377" s="271"/>
      <c r="AN377" s="271"/>
      <c r="AO377" s="271"/>
      <c r="AP377" s="271"/>
      <c r="AQ377" s="271"/>
      <c r="AR377" s="271"/>
      <c r="AS377" s="271"/>
      <c r="AT377" s="271"/>
      <c r="AU377" s="271"/>
      <c r="AV377" s="271"/>
      <c r="AW377" s="271"/>
      <c r="AX377" s="271"/>
      <c r="AY377" s="271"/>
    </row>
    <row r="378" spans="1:51" ht="15.75" customHeight="1" x14ac:dyDescent="0.25">
      <c r="A378" s="271"/>
      <c r="B378" s="534"/>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c r="AL378" s="271"/>
      <c r="AM378" s="271"/>
      <c r="AN378" s="271"/>
      <c r="AO378" s="271"/>
      <c r="AP378" s="271"/>
      <c r="AQ378" s="271"/>
      <c r="AR378" s="271"/>
      <c r="AS378" s="271"/>
      <c r="AT378" s="271"/>
      <c r="AU378" s="271"/>
      <c r="AV378" s="271"/>
      <c r="AW378" s="271"/>
      <c r="AX378" s="271"/>
      <c r="AY378" s="271"/>
    </row>
    <row r="379" spans="1:51" ht="15.75" customHeight="1" x14ac:dyDescent="0.25">
      <c r="A379" s="271"/>
      <c r="B379" s="534"/>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c r="AL379" s="271"/>
      <c r="AM379" s="271"/>
      <c r="AN379" s="271"/>
      <c r="AO379" s="271"/>
      <c r="AP379" s="271"/>
      <c r="AQ379" s="271"/>
      <c r="AR379" s="271"/>
      <c r="AS379" s="271"/>
      <c r="AT379" s="271"/>
      <c r="AU379" s="271"/>
      <c r="AV379" s="271"/>
      <c r="AW379" s="271"/>
      <c r="AX379" s="271"/>
      <c r="AY379" s="271"/>
    </row>
    <row r="380" spans="1:51" ht="15.75" customHeight="1" x14ac:dyDescent="0.25">
      <c r="A380" s="271"/>
      <c r="B380" s="534"/>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c r="AL380" s="271"/>
      <c r="AM380" s="271"/>
      <c r="AN380" s="271"/>
      <c r="AO380" s="271"/>
      <c r="AP380" s="271"/>
      <c r="AQ380" s="271"/>
      <c r="AR380" s="271"/>
      <c r="AS380" s="271"/>
      <c r="AT380" s="271"/>
      <c r="AU380" s="271"/>
      <c r="AV380" s="271"/>
      <c r="AW380" s="271"/>
      <c r="AX380" s="271"/>
      <c r="AY380" s="271"/>
    </row>
    <row r="381" spans="1:51" ht="15.75" customHeight="1" x14ac:dyDescent="0.25">
      <c r="A381" s="271"/>
      <c r="B381" s="534"/>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c r="AL381" s="271"/>
      <c r="AM381" s="271"/>
      <c r="AN381" s="271"/>
      <c r="AO381" s="271"/>
      <c r="AP381" s="271"/>
      <c r="AQ381" s="271"/>
      <c r="AR381" s="271"/>
      <c r="AS381" s="271"/>
      <c r="AT381" s="271"/>
      <c r="AU381" s="271"/>
      <c r="AV381" s="271"/>
      <c r="AW381" s="271"/>
      <c r="AX381" s="271"/>
      <c r="AY381" s="271"/>
    </row>
    <row r="382" spans="1:51" ht="15.75" customHeight="1" x14ac:dyDescent="0.25">
      <c r="A382" s="271"/>
      <c r="B382" s="534"/>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c r="AL382" s="271"/>
      <c r="AM382" s="271"/>
      <c r="AN382" s="271"/>
      <c r="AO382" s="271"/>
      <c r="AP382" s="271"/>
      <c r="AQ382" s="271"/>
      <c r="AR382" s="271"/>
      <c r="AS382" s="271"/>
      <c r="AT382" s="271"/>
      <c r="AU382" s="271"/>
      <c r="AV382" s="271"/>
      <c r="AW382" s="271"/>
      <c r="AX382" s="271"/>
      <c r="AY382" s="271"/>
    </row>
    <row r="383" spans="1:51" ht="15.75" customHeight="1" x14ac:dyDescent="0.25">
      <c r="A383" s="271"/>
      <c r="B383" s="534"/>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c r="AL383" s="271"/>
      <c r="AM383" s="271"/>
      <c r="AN383" s="271"/>
      <c r="AO383" s="271"/>
      <c r="AP383" s="271"/>
      <c r="AQ383" s="271"/>
      <c r="AR383" s="271"/>
      <c r="AS383" s="271"/>
      <c r="AT383" s="271"/>
      <c r="AU383" s="271"/>
      <c r="AV383" s="271"/>
      <c r="AW383" s="271"/>
      <c r="AX383" s="271"/>
      <c r="AY383" s="271"/>
    </row>
    <row r="384" spans="1:51" ht="15.75" customHeight="1" x14ac:dyDescent="0.25">
      <c r="A384" s="271"/>
      <c r="B384" s="534"/>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c r="AL384" s="271"/>
      <c r="AM384" s="271"/>
      <c r="AN384" s="271"/>
      <c r="AO384" s="271"/>
      <c r="AP384" s="271"/>
      <c r="AQ384" s="271"/>
      <c r="AR384" s="271"/>
      <c r="AS384" s="271"/>
      <c r="AT384" s="271"/>
      <c r="AU384" s="271"/>
      <c r="AV384" s="271"/>
      <c r="AW384" s="271"/>
      <c r="AX384" s="271"/>
      <c r="AY384" s="271"/>
    </row>
    <row r="385" spans="1:51" ht="15.75" customHeight="1" x14ac:dyDescent="0.25">
      <c r="A385" s="271"/>
      <c r="B385" s="534"/>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c r="AL385" s="271"/>
      <c r="AM385" s="271"/>
      <c r="AN385" s="271"/>
      <c r="AO385" s="271"/>
      <c r="AP385" s="271"/>
      <c r="AQ385" s="271"/>
      <c r="AR385" s="271"/>
      <c r="AS385" s="271"/>
      <c r="AT385" s="271"/>
      <c r="AU385" s="271"/>
      <c r="AV385" s="271"/>
      <c r="AW385" s="271"/>
      <c r="AX385" s="271"/>
      <c r="AY385" s="271"/>
    </row>
    <row r="386" spans="1:51" ht="15.75" customHeight="1" x14ac:dyDescent="0.25">
      <c r="A386" s="271"/>
      <c r="B386" s="534"/>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c r="AL386" s="271"/>
      <c r="AM386" s="271"/>
      <c r="AN386" s="271"/>
      <c r="AO386" s="271"/>
      <c r="AP386" s="271"/>
      <c r="AQ386" s="271"/>
      <c r="AR386" s="271"/>
      <c r="AS386" s="271"/>
      <c r="AT386" s="271"/>
      <c r="AU386" s="271"/>
      <c r="AV386" s="271"/>
      <c r="AW386" s="271"/>
      <c r="AX386" s="271"/>
      <c r="AY386" s="271"/>
    </row>
    <row r="387" spans="1:51" ht="15.75" customHeight="1" x14ac:dyDescent="0.25">
      <c r="A387" s="271"/>
      <c r="B387" s="534"/>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c r="AL387" s="271"/>
      <c r="AM387" s="271"/>
      <c r="AN387" s="271"/>
      <c r="AO387" s="271"/>
      <c r="AP387" s="271"/>
      <c r="AQ387" s="271"/>
      <c r="AR387" s="271"/>
      <c r="AS387" s="271"/>
      <c r="AT387" s="271"/>
      <c r="AU387" s="271"/>
      <c r="AV387" s="271"/>
      <c r="AW387" s="271"/>
      <c r="AX387" s="271"/>
      <c r="AY387" s="271"/>
    </row>
    <row r="388" spans="1:51" ht="15.75" customHeight="1" x14ac:dyDescent="0.25">
      <c r="A388" s="271"/>
      <c r="B388" s="534"/>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c r="AM388" s="271"/>
      <c r="AN388" s="271"/>
      <c r="AO388" s="271"/>
      <c r="AP388" s="271"/>
      <c r="AQ388" s="271"/>
      <c r="AR388" s="271"/>
      <c r="AS388" s="271"/>
      <c r="AT388" s="271"/>
      <c r="AU388" s="271"/>
      <c r="AV388" s="271"/>
      <c r="AW388" s="271"/>
      <c r="AX388" s="271"/>
      <c r="AY388" s="271"/>
    </row>
    <row r="389" spans="1:51" ht="15.75" customHeight="1" x14ac:dyDescent="0.25">
      <c r="A389" s="271"/>
      <c r="B389" s="534"/>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c r="AL389" s="271"/>
      <c r="AM389" s="271"/>
      <c r="AN389" s="271"/>
      <c r="AO389" s="271"/>
      <c r="AP389" s="271"/>
      <c r="AQ389" s="271"/>
      <c r="AR389" s="271"/>
      <c r="AS389" s="271"/>
      <c r="AT389" s="271"/>
      <c r="AU389" s="271"/>
      <c r="AV389" s="271"/>
      <c r="AW389" s="271"/>
      <c r="AX389" s="271"/>
      <c r="AY389" s="271"/>
    </row>
    <row r="390" spans="1:51" ht="15.75" customHeight="1" x14ac:dyDescent="0.25">
      <c r="A390" s="271"/>
      <c r="B390" s="534"/>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c r="AL390" s="271"/>
      <c r="AM390" s="271"/>
      <c r="AN390" s="271"/>
      <c r="AO390" s="271"/>
      <c r="AP390" s="271"/>
      <c r="AQ390" s="271"/>
      <c r="AR390" s="271"/>
      <c r="AS390" s="271"/>
      <c r="AT390" s="271"/>
      <c r="AU390" s="271"/>
      <c r="AV390" s="271"/>
      <c r="AW390" s="271"/>
      <c r="AX390" s="271"/>
      <c r="AY390" s="271"/>
    </row>
    <row r="391" spans="1:51" ht="15.75" customHeight="1" x14ac:dyDescent="0.25">
      <c r="A391" s="271"/>
      <c r="B391" s="534"/>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c r="AL391" s="271"/>
      <c r="AM391" s="271"/>
      <c r="AN391" s="271"/>
      <c r="AO391" s="271"/>
      <c r="AP391" s="271"/>
      <c r="AQ391" s="271"/>
      <c r="AR391" s="271"/>
      <c r="AS391" s="271"/>
      <c r="AT391" s="271"/>
      <c r="AU391" s="271"/>
      <c r="AV391" s="271"/>
      <c r="AW391" s="271"/>
      <c r="AX391" s="271"/>
      <c r="AY391" s="271"/>
    </row>
    <row r="392" spans="1:51" ht="15.75" customHeight="1" x14ac:dyDescent="0.25">
      <c r="A392" s="271"/>
      <c r="B392" s="534"/>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c r="AL392" s="271"/>
      <c r="AM392" s="271"/>
      <c r="AN392" s="271"/>
      <c r="AO392" s="271"/>
      <c r="AP392" s="271"/>
      <c r="AQ392" s="271"/>
      <c r="AR392" s="271"/>
      <c r="AS392" s="271"/>
      <c r="AT392" s="271"/>
      <c r="AU392" s="271"/>
      <c r="AV392" s="271"/>
      <c r="AW392" s="271"/>
      <c r="AX392" s="271"/>
      <c r="AY392" s="271"/>
    </row>
    <row r="393" spans="1:51" ht="15.75" customHeight="1" x14ac:dyDescent="0.25">
      <c r="A393" s="271"/>
      <c r="B393" s="534"/>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c r="AL393" s="271"/>
      <c r="AM393" s="271"/>
      <c r="AN393" s="271"/>
      <c r="AO393" s="271"/>
      <c r="AP393" s="271"/>
      <c r="AQ393" s="271"/>
      <c r="AR393" s="271"/>
      <c r="AS393" s="271"/>
      <c r="AT393" s="271"/>
      <c r="AU393" s="271"/>
      <c r="AV393" s="271"/>
      <c r="AW393" s="271"/>
      <c r="AX393" s="271"/>
      <c r="AY393" s="271"/>
    </row>
    <row r="394" spans="1:51" ht="15.75" customHeight="1" x14ac:dyDescent="0.25">
      <c r="A394" s="271"/>
      <c r="B394" s="534"/>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c r="AL394" s="271"/>
      <c r="AM394" s="271"/>
      <c r="AN394" s="271"/>
      <c r="AO394" s="271"/>
      <c r="AP394" s="271"/>
      <c r="AQ394" s="271"/>
      <c r="AR394" s="271"/>
      <c r="AS394" s="271"/>
      <c r="AT394" s="271"/>
      <c r="AU394" s="271"/>
      <c r="AV394" s="271"/>
      <c r="AW394" s="271"/>
      <c r="AX394" s="271"/>
      <c r="AY394" s="271"/>
    </row>
    <row r="395" spans="1:51" ht="15.75" customHeight="1" x14ac:dyDescent="0.25">
      <c r="A395" s="271"/>
      <c r="B395" s="534"/>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c r="AL395" s="271"/>
      <c r="AM395" s="271"/>
      <c r="AN395" s="271"/>
      <c r="AO395" s="271"/>
      <c r="AP395" s="271"/>
      <c r="AQ395" s="271"/>
      <c r="AR395" s="271"/>
      <c r="AS395" s="271"/>
      <c r="AT395" s="271"/>
      <c r="AU395" s="271"/>
      <c r="AV395" s="271"/>
      <c r="AW395" s="271"/>
      <c r="AX395" s="271"/>
      <c r="AY395" s="271"/>
    </row>
    <row r="396" spans="1:51" ht="15.75" customHeight="1" x14ac:dyDescent="0.25">
      <c r="A396" s="271"/>
      <c r="B396" s="534"/>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c r="AL396" s="271"/>
      <c r="AM396" s="271"/>
      <c r="AN396" s="271"/>
      <c r="AO396" s="271"/>
      <c r="AP396" s="271"/>
      <c r="AQ396" s="271"/>
      <c r="AR396" s="271"/>
      <c r="AS396" s="271"/>
      <c r="AT396" s="271"/>
      <c r="AU396" s="271"/>
      <c r="AV396" s="271"/>
      <c r="AW396" s="271"/>
      <c r="AX396" s="271"/>
      <c r="AY396" s="271"/>
    </row>
    <row r="397" spans="1:51" ht="15.75" customHeight="1" x14ac:dyDescent="0.25">
      <c r="A397" s="271"/>
      <c r="B397" s="534"/>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c r="AL397" s="271"/>
      <c r="AM397" s="271"/>
      <c r="AN397" s="271"/>
      <c r="AO397" s="271"/>
      <c r="AP397" s="271"/>
      <c r="AQ397" s="271"/>
      <c r="AR397" s="271"/>
      <c r="AS397" s="271"/>
      <c r="AT397" s="271"/>
      <c r="AU397" s="271"/>
      <c r="AV397" s="271"/>
      <c r="AW397" s="271"/>
      <c r="AX397" s="271"/>
      <c r="AY397" s="271"/>
    </row>
    <row r="398" spans="1:51" ht="15.75" customHeight="1" x14ac:dyDescent="0.25">
      <c r="A398" s="271"/>
      <c r="B398" s="534"/>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c r="AL398" s="271"/>
      <c r="AM398" s="271"/>
      <c r="AN398" s="271"/>
      <c r="AO398" s="271"/>
      <c r="AP398" s="271"/>
      <c r="AQ398" s="271"/>
      <c r="AR398" s="271"/>
      <c r="AS398" s="271"/>
      <c r="AT398" s="271"/>
      <c r="AU398" s="271"/>
      <c r="AV398" s="271"/>
      <c r="AW398" s="271"/>
      <c r="AX398" s="271"/>
      <c r="AY398" s="271"/>
    </row>
    <row r="399" spans="1:51" ht="15.75" customHeight="1" x14ac:dyDescent="0.25">
      <c r="A399" s="271"/>
      <c r="B399" s="534"/>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c r="AL399" s="271"/>
      <c r="AM399" s="271"/>
      <c r="AN399" s="271"/>
      <c r="AO399" s="271"/>
      <c r="AP399" s="271"/>
      <c r="AQ399" s="271"/>
      <c r="AR399" s="271"/>
      <c r="AS399" s="271"/>
      <c r="AT399" s="271"/>
      <c r="AU399" s="271"/>
      <c r="AV399" s="271"/>
      <c r="AW399" s="271"/>
      <c r="AX399" s="271"/>
      <c r="AY399" s="271"/>
    </row>
    <row r="400" spans="1:51" ht="15.75" customHeight="1" x14ac:dyDescent="0.25">
      <c r="A400" s="271"/>
      <c r="B400" s="534"/>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c r="AL400" s="271"/>
      <c r="AM400" s="271"/>
      <c r="AN400" s="271"/>
      <c r="AO400" s="271"/>
      <c r="AP400" s="271"/>
      <c r="AQ400" s="271"/>
      <c r="AR400" s="271"/>
      <c r="AS400" s="271"/>
      <c r="AT400" s="271"/>
      <c r="AU400" s="271"/>
      <c r="AV400" s="271"/>
      <c r="AW400" s="271"/>
      <c r="AX400" s="271"/>
      <c r="AY400" s="271"/>
    </row>
    <row r="401" spans="1:51" ht="15.75" customHeight="1" x14ac:dyDescent="0.25">
      <c r="A401" s="271"/>
      <c r="B401" s="534"/>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c r="AL401" s="271"/>
      <c r="AM401" s="271"/>
      <c r="AN401" s="271"/>
      <c r="AO401" s="271"/>
      <c r="AP401" s="271"/>
      <c r="AQ401" s="271"/>
      <c r="AR401" s="271"/>
      <c r="AS401" s="271"/>
      <c r="AT401" s="271"/>
      <c r="AU401" s="271"/>
      <c r="AV401" s="271"/>
      <c r="AW401" s="271"/>
      <c r="AX401" s="271"/>
      <c r="AY401" s="271"/>
    </row>
    <row r="402" spans="1:51" ht="15.75" customHeight="1" x14ac:dyDescent="0.25">
      <c r="A402" s="271"/>
      <c r="B402" s="534"/>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c r="AL402" s="271"/>
      <c r="AM402" s="271"/>
      <c r="AN402" s="271"/>
      <c r="AO402" s="271"/>
      <c r="AP402" s="271"/>
      <c r="AQ402" s="271"/>
      <c r="AR402" s="271"/>
      <c r="AS402" s="271"/>
      <c r="AT402" s="271"/>
      <c r="AU402" s="271"/>
      <c r="AV402" s="271"/>
      <c r="AW402" s="271"/>
      <c r="AX402" s="271"/>
      <c r="AY402" s="271"/>
    </row>
    <row r="403" spans="1:51" ht="15.75" customHeight="1" x14ac:dyDescent="0.25">
      <c r="A403" s="271"/>
      <c r="B403" s="534"/>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c r="AL403" s="271"/>
      <c r="AM403" s="271"/>
      <c r="AN403" s="271"/>
      <c r="AO403" s="271"/>
      <c r="AP403" s="271"/>
      <c r="AQ403" s="271"/>
      <c r="AR403" s="271"/>
      <c r="AS403" s="271"/>
      <c r="AT403" s="271"/>
      <c r="AU403" s="271"/>
      <c r="AV403" s="271"/>
      <c r="AW403" s="271"/>
      <c r="AX403" s="271"/>
      <c r="AY403" s="271"/>
    </row>
    <row r="404" spans="1:51" ht="15.75" customHeight="1" x14ac:dyDescent="0.25">
      <c r="A404" s="271"/>
      <c r="B404" s="534"/>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c r="AL404" s="271"/>
      <c r="AM404" s="271"/>
      <c r="AN404" s="271"/>
      <c r="AO404" s="271"/>
      <c r="AP404" s="271"/>
      <c r="AQ404" s="271"/>
      <c r="AR404" s="271"/>
      <c r="AS404" s="271"/>
      <c r="AT404" s="271"/>
      <c r="AU404" s="271"/>
      <c r="AV404" s="271"/>
      <c r="AW404" s="271"/>
      <c r="AX404" s="271"/>
      <c r="AY404" s="271"/>
    </row>
    <row r="405" spans="1:51" ht="15.75" customHeight="1" x14ac:dyDescent="0.25">
      <c r="A405" s="271"/>
      <c r="B405" s="534"/>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c r="AL405" s="271"/>
      <c r="AM405" s="271"/>
      <c r="AN405" s="271"/>
      <c r="AO405" s="271"/>
      <c r="AP405" s="271"/>
      <c r="AQ405" s="271"/>
      <c r="AR405" s="271"/>
      <c r="AS405" s="271"/>
      <c r="AT405" s="271"/>
      <c r="AU405" s="271"/>
      <c r="AV405" s="271"/>
      <c r="AW405" s="271"/>
      <c r="AX405" s="271"/>
      <c r="AY405" s="271"/>
    </row>
    <row r="406" spans="1:51" ht="15.75" customHeight="1" x14ac:dyDescent="0.25">
      <c r="A406" s="271"/>
      <c r="B406" s="534"/>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c r="AL406" s="271"/>
      <c r="AM406" s="271"/>
      <c r="AN406" s="271"/>
      <c r="AO406" s="271"/>
      <c r="AP406" s="271"/>
      <c r="AQ406" s="271"/>
      <c r="AR406" s="271"/>
      <c r="AS406" s="271"/>
      <c r="AT406" s="271"/>
      <c r="AU406" s="271"/>
      <c r="AV406" s="271"/>
      <c r="AW406" s="271"/>
      <c r="AX406" s="271"/>
      <c r="AY406" s="271"/>
    </row>
    <row r="407" spans="1:51" ht="15.75" customHeight="1" x14ac:dyDescent="0.25">
      <c r="A407" s="271"/>
      <c r="B407" s="534"/>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c r="AL407" s="271"/>
      <c r="AM407" s="271"/>
      <c r="AN407" s="271"/>
      <c r="AO407" s="271"/>
      <c r="AP407" s="271"/>
      <c r="AQ407" s="271"/>
      <c r="AR407" s="271"/>
      <c r="AS407" s="271"/>
      <c r="AT407" s="271"/>
      <c r="AU407" s="271"/>
      <c r="AV407" s="271"/>
      <c r="AW407" s="271"/>
      <c r="AX407" s="271"/>
      <c r="AY407" s="271"/>
    </row>
    <row r="408" spans="1:51" ht="15.75" customHeight="1" x14ac:dyDescent="0.25">
      <c r="A408" s="271"/>
      <c r="B408" s="534"/>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c r="AL408" s="271"/>
      <c r="AM408" s="271"/>
      <c r="AN408" s="271"/>
      <c r="AO408" s="271"/>
      <c r="AP408" s="271"/>
      <c r="AQ408" s="271"/>
      <c r="AR408" s="271"/>
      <c r="AS408" s="271"/>
      <c r="AT408" s="271"/>
      <c r="AU408" s="271"/>
      <c r="AV408" s="271"/>
      <c r="AW408" s="271"/>
      <c r="AX408" s="271"/>
      <c r="AY408" s="271"/>
    </row>
    <row r="409" spans="1:51" ht="15.75" customHeight="1" x14ac:dyDescent="0.25">
      <c r="A409" s="271"/>
      <c r="B409" s="534"/>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c r="AL409" s="271"/>
      <c r="AM409" s="271"/>
      <c r="AN409" s="271"/>
      <c r="AO409" s="271"/>
      <c r="AP409" s="271"/>
      <c r="AQ409" s="271"/>
      <c r="AR409" s="271"/>
      <c r="AS409" s="271"/>
      <c r="AT409" s="271"/>
      <c r="AU409" s="271"/>
      <c r="AV409" s="271"/>
      <c r="AW409" s="271"/>
      <c r="AX409" s="271"/>
      <c r="AY409" s="271"/>
    </row>
    <row r="410" spans="1:51" ht="15.75" customHeight="1" x14ac:dyDescent="0.25">
      <c r="A410" s="271"/>
      <c r="B410" s="534"/>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c r="AL410" s="271"/>
      <c r="AM410" s="271"/>
      <c r="AN410" s="271"/>
      <c r="AO410" s="271"/>
      <c r="AP410" s="271"/>
      <c r="AQ410" s="271"/>
      <c r="AR410" s="271"/>
      <c r="AS410" s="271"/>
      <c r="AT410" s="271"/>
      <c r="AU410" s="271"/>
      <c r="AV410" s="271"/>
      <c r="AW410" s="271"/>
      <c r="AX410" s="271"/>
      <c r="AY410" s="271"/>
    </row>
    <row r="411" spans="1:51" ht="15.75" customHeight="1" x14ac:dyDescent="0.25">
      <c r="A411" s="271"/>
      <c r="B411" s="534"/>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c r="AL411" s="271"/>
      <c r="AM411" s="271"/>
      <c r="AN411" s="271"/>
      <c r="AO411" s="271"/>
      <c r="AP411" s="271"/>
      <c r="AQ411" s="271"/>
      <c r="AR411" s="271"/>
      <c r="AS411" s="271"/>
      <c r="AT411" s="271"/>
      <c r="AU411" s="271"/>
      <c r="AV411" s="271"/>
      <c r="AW411" s="271"/>
      <c r="AX411" s="271"/>
      <c r="AY411" s="271"/>
    </row>
    <row r="412" spans="1:51" ht="15.75" customHeight="1" x14ac:dyDescent="0.25">
      <c r="A412" s="271"/>
      <c r="B412" s="534"/>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c r="AL412" s="271"/>
      <c r="AM412" s="271"/>
      <c r="AN412" s="271"/>
      <c r="AO412" s="271"/>
      <c r="AP412" s="271"/>
      <c r="AQ412" s="271"/>
      <c r="AR412" s="271"/>
      <c r="AS412" s="271"/>
      <c r="AT412" s="271"/>
      <c r="AU412" s="271"/>
      <c r="AV412" s="271"/>
      <c r="AW412" s="271"/>
      <c r="AX412" s="271"/>
      <c r="AY412" s="271"/>
    </row>
    <row r="413" spans="1:51" ht="15.75" customHeight="1" x14ac:dyDescent="0.25">
      <c r="A413" s="271"/>
      <c r="B413" s="534"/>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c r="AL413" s="271"/>
      <c r="AM413" s="271"/>
      <c r="AN413" s="271"/>
      <c r="AO413" s="271"/>
      <c r="AP413" s="271"/>
      <c r="AQ413" s="271"/>
      <c r="AR413" s="271"/>
      <c r="AS413" s="271"/>
      <c r="AT413" s="271"/>
      <c r="AU413" s="271"/>
      <c r="AV413" s="271"/>
      <c r="AW413" s="271"/>
      <c r="AX413" s="271"/>
      <c r="AY413" s="271"/>
    </row>
    <row r="414" spans="1:51" ht="15.75" customHeight="1" x14ac:dyDescent="0.25">
      <c r="A414" s="271"/>
      <c r="B414" s="534"/>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c r="AL414" s="271"/>
      <c r="AM414" s="271"/>
      <c r="AN414" s="271"/>
      <c r="AO414" s="271"/>
      <c r="AP414" s="271"/>
      <c r="AQ414" s="271"/>
      <c r="AR414" s="271"/>
      <c r="AS414" s="271"/>
      <c r="AT414" s="271"/>
      <c r="AU414" s="271"/>
      <c r="AV414" s="271"/>
      <c r="AW414" s="271"/>
      <c r="AX414" s="271"/>
      <c r="AY414" s="271"/>
    </row>
    <row r="415" spans="1:51" ht="15.75" customHeight="1" x14ac:dyDescent="0.25">
      <c r="A415" s="271"/>
      <c r="B415" s="534"/>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c r="AL415" s="271"/>
      <c r="AM415" s="271"/>
      <c r="AN415" s="271"/>
      <c r="AO415" s="271"/>
      <c r="AP415" s="271"/>
      <c r="AQ415" s="271"/>
      <c r="AR415" s="271"/>
      <c r="AS415" s="271"/>
      <c r="AT415" s="271"/>
      <c r="AU415" s="271"/>
      <c r="AV415" s="271"/>
      <c r="AW415" s="271"/>
      <c r="AX415" s="271"/>
      <c r="AY415" s="271"/>
    </row>
    <row r="416" spans="1:51" ht="15.75" customHeight="1" x14ac:dyDescent="0.25">
      <c r="A416" s="271"/>
      <c r="B416" s="534"/>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c r="AL416" s="271"/>
      <c r="AM416" s="271"/>
      <c r="AN416" s="271"/>
      <c r="AO416" s="271"/>
      <c r="AP416" s="271"/>
      <c r="AQ416" s="271"/>
      <c r="AR416" s="271"/>
      <c r="AS416" s="271"/>
      <c r="AT416" s="271"/>
      <c r="AU416" s="271"/>
      <c r="AV416" s="271"/>
      <c r="AW416" s="271"/>
      <c r="AX416" s="271"/>
      <c r="AY416" s="271"/>
    </row>
    <row r="417" spans="1:51" ht="15.75" customHeight="1" x14ac:dyDescent="0.25">
      <c r="A417" s="271"/>
      <c r="B417" s="534"/>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c r="AL417" s="271"/>
      <c r="AM417" s="271"/>
      <c r="AN417" s="271"/>
      <c r="AO417" s="271"/>
      <c r="AP417" s="271"/>
      <c r="AQ417" s="271"/>
      <c r="AR417" s="271"/>
      <c r="AS417" s="271"/>
      <c r="AT417" s="271"/>
      <c r="AU417" s="271"/>
      <c r="AV417" s="271"/>
      <c r="AW417" s="271"/>
      <c r="AX417" s="271"/>
      <c r="AY417" s="271"/>
    </row>
    <row r="418" spans="1:51" ht="15.75" customHeight="1" x14ac:dyDescent="0.25">
      <c r="A418" s="271"/>
      <c r="B418" s="534"/>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c r="AL418" s="271"/>
      <c r="AM418" s="271"/>
      <c r="AN418" s="271"/>
      <c r="AO418" s="271"/>
      <c r="AP418" s="271"/>
      <c r="AQ418" s="271"/>
      <c r="AR418" s="271"/>
      <c r="AS418" s="271"/>
      <c r="AT418" s="271"/>
      <c r="AU418" s="271"/>
      <c r="AV418" s="271"/>
      <c r="AW418" s="271"/>
      <c r="AX418" s="271"/>
      <c r="AY418" s="271"/>
    </row>
    <row r="419" spans="1:51" ht="15.75" customHeight="1" x14ac:dyDescent="0.25">
      <c r="A419" s="271"/>
      <c r="B419" s="534"/>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c r="AL419" s="271"/>
      <c r="AM419" s="271"/>
      <c r="AN419" s="271"/>
      <c r="AO419" s="271"/>
      <c r="AP419" s="271"/>
      <c r="AQ419" s="271"/>
      <c r="AR419" s="271"/>
      <c r="AS419" s="271"/>
      <c r="AT419" s="271"/>
      <c r="AU419" s="271"/>
      <c r="AV419" s="271"/>
      <c r="AW419" s="271"/>
      <c r="AX419" s="271"/>
      <c r="AY419" s="271"/>
    </row>
    <row r="420" spans="1:51" ht="15.75" customHeight="1" x14ac:dyDescent="0.25">
      <c r="A420" s="271"/>
      <c r="B420" s="534"/>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c r="AL420" s="271"/>
      <c r="AM420" s="271"/>
      <c r="AN420" s="271"/>
      <c r="AO420" s="271"/>
      <c r="AP420" s="271"/>
      <c r="AQ420" s="271"/>
      <c r="AR420" s="271"/>
      <c r="AS420" s="271"/>
      <c r="AT420" s="271"/>
      <c r="AU420" s="271"/>
      <c r="AV420" s="271"/>
      <c r="AW420" s="271"/>
      <c r="AX420" s="271"/>
      <c r="AY420" s="271"/>
    </row>
    <row r="421" spans="1:51" ht="15.75" customHeight="1" x14ac:dyDescent="0.25">
      <c r="A421" s="271"/>
      <c r="B421" s="534"/>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c r="AL421" s="271"/>
      <c r="AM421" s="271"/>
      <c r="AN421" s="271"/>
      <c r="AO421" s="271"/>
      <c r="AP421" s="271"/>
      <c r="AQ421" s="271"/>
      <c r="AR421" s="271"/>
      <c r="AS421" s="271"/>
      <c r="AT421" s="271"/>
      <c r="AU421" s="271"/>
      <c r="AV421" s="271"/>
      <c r="AW421" s="271"/>
      <c r="AX421" s="271"/>
      <c r="AY421" s="271"/>
    </row>
    <row r="422" spans="1:51" ht="15.75" customHeight="1" x14ac:dyDescent="0.25">
      <c r="A422" s="271"/>
      <c r="B422" s="534"/>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c r="AL422" s="271"/>
      <c r="AM422" s="271"/>
      <c r="AN422" s="271"/>
      <c r="AO422" s="271"/>
      <c r="AP422" s="271"/>
      <c r="AQ422" s="271"/>
      <c r="AR422" s="271"/>
      <c r="AS422" s="271"/>
      <c r="AT422" s="271"/>
      <c r="AU422" s="271"/>
      <c r="AV422" s="271"/>
      <c r="AW422" s="271"/>
      <c r="AX422" s="271"/>
      <c r="AY422" s="271"/>
    </row>
    <row r="423" spans="1:51" ht="15.75" customHeight="1" x14ac:dyDescent="0.25">
      <c r="A423" s="271"/>
      <c r="B423" s="534"/>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c r="AL423" s="271"/>
      <c r="AM423" s="271"/>
      <c r="AN423" s="271"/>
      <c r="AO423" s="271"/>
      <c r="AP423" s="271"/>
      <c r="AQ423" s="271"/>
      <c r="AR423" s="271"/>
      <c r="AS423" s="271"/>
      <c r="AT423" s="271"/>
      <c r="AU423" s="271"/>
      <c r="AV423" s="271"/>
      <c r="AW423" s="271"/>
      <c r="AX423" s="271"/>
      <c r="AY423" s="271"/>
    </row>
    <row r="424" spans="1:51" ht="15.75" customHeight="1" x14ac:dyDescent="0.25">
      <c r="A424" s="271"/>
      <c r="B424" s="534"/>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c r="AL424" s="271"/>
      <c r="AM424" s="271"/>
      <c r="AN424" s="271"/>
      <c r="AO424" s="271"/>
      <c r="AP424" s="271"/>
      <c r="AQ424" s="271"/>
      <c r="AR424" s="271"/>
      <c r="AS424" s="271"/>
      <c r="AT424" s="271"/>
      <c r="AU424" s="271"/>
      <c r="AV424" s="271"/>
      <c r="AW424" s="271"/>
      <c r="AX424" s="271"/>
      <c r="AY424" s="271"/>
    </row>
    <row r="425" spans="1:51" ht="15.75" customHeight="1" x14ac:dyDescent="0.25">
      <c r="A425" s="271"/>
      <c r="B425" s="534"/>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c r="AL425" s="271"/>
      <c r="AM425" s="271"/>
      <c r="AN425" s="271"/>
      <c r="AO425" s="271"/>
      <c r="AP425" s="271"/>
      <c r="AQ425" s="271"/>
      <c r="AR425" s="271"/>
      <c r="AS425" s="271"/>
      <c r="AT425" s="271"/>
      <c r="AU425" s="271"/>
      <c r="AV425" s="271"/>
      <c r="AW425" s="271"/>
      <c r="AX425" s="271"/>
      <c r="AY425" s="271"/>
    </row>
    <row r="426" spans="1:51" ht="15.75" customHeight="1" x14ac:dyDescent="0.25">
      <c r="A426" s="271"/>
      <c r="B426" s="534"/>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c r="AL426" s="271"/>
      <c r="AM426" s="271"/>
      <c r="AN426" s="271"/>
      <c r="AO426" s="271"/>
      <c r="AP426" s="271"/>
      <c r="AQ426" s="271"/>
      <c r="AR426" s="271"/>
      <c r="AS426" s="271"/>
      <c r="AT426" s="271"/>
      <c r="AU426" s="271"/>
      <c r="AV426" s="271"/>
      <c r="AW426" s="271"/>
      <c r="AX426" s="271"/>
      <c r="AY426" s="271"/>
    </row>
    <row r="427" spans="1:51" ht="15.75" customHeight="1" x14ac:dyDescent="0.25">
      <c r="A427" s="271"/>
      <c r="B427" s="534"/>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c r="AL427" s="271"/>
      <c r="AM427" s="271"/>
      <c r="AN427" s="271"/>
      <c r="AO427" s="271"/>
      <c r="AP427" s="271"/>
      <c r="AQ427" s="271"/>
      <c r="AR427" s="271"/>
      <c r="AS427" s="271"/>
      <c r="AT427" s="271"/>
      <c r="AU427" s="271"/>
      <c r="AV427" s="271"/>
      <c r="AW427" s="271"/>
      <c r="AX427" s="271"/>
      <c r="AY427" s="271"/>
    </row>
    <row r="428" spans="1:51" ht="15.75" customHeight="1" x14ac:dyDescent="0.25">
      <c r="A428" s="271"/>
      <c r="B428" s="534"/>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c r="AL428" s="271"/>
      <c r="AM428" s="271"/>
      <c r="AN428" s="271"/>
      <c r="AO428" s="271"/>
      <c r="AP428" s="271"/>
      <c r="AQ428" s="271"/>
      <c r="AR428" s="271"/>
      <c r="AS428" s="271"/>
      <c r="AT428" s="271"/>
      <c r="AU428" s="271"/>
      <c r="AV428" s="271"/>
      <c r="AW428" s="271"/>
      <c r="AX428" s="271"/>
      <c r="AY428" s="271"/>
    </row>
    <row r="429" spans="1:51" ht="15.75" customHeight="1" x14ac:dyDescent="0.25">
      <c r="A429" s="271"/>
      <c r="B429" s="534"/>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c r="AL429" s="271"/>
      <c r="AM429" s="271"/>
      <c r="AN429" s="271"/>
      <c r="AO429" s="271"/>
      <c r="AP429" s="271"/>
      <c r="AQ429" s="271"/>
      <c r="AR429" s="271"/>
      <c r="AS429" s="271"/>
      <c r="AT429" s="271"/>
      <c r="AU429" s="271"/>
      <c r="AV429" s="271"/>
      <c r="AW429" s="271"/>
      <c r="AX429" s="271"/>
      <c r="AY429" s="271"/>
    </row>
    <row r="430" spans="1:51" ht="15.75" customHeight="1" x14ac:dyDescent="0.25">
      <c r="A430" s="271"/>
      <c r="B430" s="534"/>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c r="AL430" s="271"/>
      <c r="AM430" s="271"/>
      <c r="AN430" s="271"/>
      <c r="AO430" s="271"/>
      <c r="AP430" s="271"/>
      <c r="AQ430" s="271"/>
      <c r="AR430" s="271"/>
      <c r="AS430" s="271"/>
      <c r="AT430" s="271"/>
      <c r="AU430" s="271"/>
      <c r="AV430" s="271"/>
      <c r="AW430" s="271"/>
      <c r="AX430" s="271"/>
      <c r="AY430" s="271"/>
    </row>
    <row r="431" spans="1:51" ht="15.75" customHeight="1" x14ac:dyDescent="0.25">
      <c r="A431" s="271"/>
      <c r="B431" s="534"/>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c r="AL431" s="271"/>
      <c r="AM431" s="271"/>
      <c r="AN431" s="271"/>
      <c r="AO431" s="271"/>
      <c r="AP431" s="271"/>
      <c r="AQ431" s="271"/>
      <c r="AR431" s="271"/>
      <c r="AS431" s="271"/>
      <c r="AT431" s="271"/>
      <c r="AU431" s="271"/>
      <c r="AV431" s="271"/>
      <c r="AW431" s="271"/>
      <c r="AX431" s="271"/>
      <c r="AY431" s="271"/>
    </row>
    <row r="432" spans="1:51" ht="15.75" customHeight="1" x14ac:dyDescent="0.25">
      <c r="A432" s="271"/>
      <c r="B432" s="534"/>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c r="AL432" s="271"/>
      <c r="AM432" s="271"/>
      <c r="AN432" s="271"/>
      <c r="AO432" s="271"/>
      <c r="AP432" s="271"/>
      <c r="AQ432" s="271"/>
      <c r="AR432" s="271"/>
      <c r="AS432" s="271"/>
      <c r="AT432" s="271"/>
      <c r="AU432" s="271"/>
      <c r="AV432" s="271"/>
      <c r="AW432" s="271"/>
      <c r="AX432" s="271"/>
      <c r="AY432" s="271"/>
    </row>
    <row r="433" spans="1:51" ht="15.75" customHeight="1" x14ac:dyDescent="0.25">
      <c r="A433" s="271"/>
      <c r="B433" s="534"/>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c r="AL433" s="271"/>
      <c r="AM433" s="271"/>
      <c r="AN433" s="271"/>
      <c r="AO433" s="271"/>
      <c r="AP433" s="271"/>
      <c r="AQ433" s="271"/>
      <c r="AR433" s="271"/>
      <c r="AS433" s="271"/>
      <c r="AT433" s="271"/>
      <c r="AU433" s="271"/>
      <c r="AV433" s="271"/>
      <c r="AW433" s="271"/>
      <c r="AX433" s="271"/>
      <c r="AY433" s="271"/>
    </row>
    <row r="434" spans="1:51" ht="15.75" customHeight="1" x14ac:dyDescent="0.25">
      <c r="A434" s="271"/>
      <c r="B434" s="534"/>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c r="AM434" s="271"/>
      <c r="AN434" s="271"/>
      <c r="AO434" s="271"/>
      <c r="AP434" s="271"/>
      <c r="AQ434" s="271"/>
      <c r="AR434" s="271"/>
      <c r="AS434" s="271"/>
      <c r="AT434" s="271"/>
      <c r="AU434" s="271"/>
      <c r="AV434" s="271"/>
      <c r="AW434" s="271"/>
      <c r="AX434" s="271"/>
      <c r="AY434" s="271"/>
    </row>
    <row r="435" spans="1:51" ht="15.75" customHeight="1" x14ac:dyDescent="0.25">
      <c r="A435" s="271"/>
      <c r="B435" s="534"/>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c r="AL435" s="271"/>
      <c r="AM435" s="271"/>
      <c r="AN435" s="271"/>
      <c r="AO435" s="271"/>
      <c r="AP435" s="271"/>
      <c r="AQ435" s="271"/>
      <c r="AR435" s="271"/>
      <c r="AS435" s="271"/>
      <c r="AT435" s="271"/>
      <c r="AU435" s="271"/>
      <c r="AV435" s="271"/>
      <c r="AW435" s="271"/>
      <c r="AX435" s="271"/>
      <c r="AY435" s="271"/>
    </row>
    <row r="436" spans="1:51" ht="15.75" customHeight="1" x14ac:dyDescent="0.25">
      <c r="A436" s="271"/>
      <c r="B436" s="534"/>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c r="AL436" s="271"/>
      <c r="AM436" s="271"/>
      <c r="AN436" s="271"/>
      <c r="AO436" s="271"/>
      <c r="AP436" s="271"/>
      <c r="AQ436" s="271"/>
      <c r="AR436" s="271"/>
      <c r="AS436" s="271"/>
      <c r="AT436" s="271"/>
      <c r="AU436" s="271"/>
      <c r="AV436" s="271"/>
      <c r="AW436" s="271"/>
      <c r="AX436" s="271"/>
      <c r="AY436" s="271"/>
    </row>
    <row r="437" spans="1:51" ht="15.75" customHeight="1" x14ac:dyDescent="0.25">
      <c r="A437" s="271"/>
      <c r="B437" s="534"/>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c r="AL437" s="271"/>
      <c r="AM437" s="271"/>
      <c r="AN437" s="271"/>
      <c r="AO437" s="271"/>
      <c r="AP437" s="271"/>
      <c r="AQ437" s="271"/>
      <c r="AR437" s="271"/>
      <c r="AS437" s="271"/>
      <c r="AT437" s="271"/>
      <c r="AU437" s="271"/>
      <c r="AV437" s="271"/>
      <c r="AW437" s="271"/>
      <c r="AX437" s="271"/>
      <c r="AY437" s="271"/>
    </row>
    <row r="438" spans="1:51" ht="15.75" customHeight="1" x14ac:dyDescent="0.25">
      <c r="A438" s="271"/>
      <c r="B438" s="534"/>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c r="AL438" s="271"/>
      <c r="AM438" s="271"/>
      <c r="AN438" s="271"/>
      <c r="AO438" s="271"/>
      <c r="AP438" s="271"/>
      <c r="AQ438" s="271"/>
      <c r="AR438" s="271"/>
      <c r="AS438" s="271"/>
      <c r="AT438" s="271"/>
      <c r="AU438" s="271"/>
      <c r="AV438" s="271"/>
      <c r="AW438" s="271"/>
      <c r="AX438" s="271"/>
      <c r="AY438" s="271"/>
    </row>
    <row r="439" spans="1:51" ht="15.75" customHeight="1" x14ac:dyDescent="0.25">
      <c r="A439" s="271"/>
      <c r="B439" s="534"/>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c r="AL439" s="271"/>
      <c r="AM439" s="271"/>
      <c r="AN439" s="271"/>
      <c r="AO439" s="271"/>
      <c r="AP439" s="271"/>
      <c r="AQ439" s="271"/>
      <c r="AR439" s="271"/>
      <c r="AS439" s="271"/>
      <c r="AT439" s="271"/>
      <c r="AU439" s="271"/>
      <c r="AV439" s="271"/>
      <c r="AW439" s="271"/>
      <c r="AX439" s="271"/>
      <c r="AY439" s="271"/>
    </row>
    <row r="440" spans="1:51" ht="15.75" customHeight="1" x14ac:dyDescent="0.25">
      <c r="A440" s="271"/>
      <c r="B440" s="534"/>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c r="AL440" s="271"/>
      <c r="AM440" s="271"/>
      <c r="AN440" s="271"/>
      <c r="AO440" s="271"/>
      <c r="AP440" s="271"/>
      <c r="AQ440" s="271"/>
      <c r="AR440" s="271"/>
      <c r="AS440" s="271"/>
      <c r="AT440" s="271"/>
      <c r="AU440" s="271"/>
      <c r="AV440" s="271"/>
      <c r="AW440" s="271"/>
      <c r="AX440" s="271"/>
      <c r="AY440" s="271"/>
    </row>
    <row r="441" spans="1:51" ht="15.75" customHeight="1" x14ac:dyDescent="0.25">
      <c r="A441" s="271"/>
      <c r="B441" s="534"/>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c r="AL441" s="271"/>
      <c r="AM441" s="271"/>
      <c r="AN441" s="271"/>
      <c r="AO441" s="271"/>
      <c r="AP441" s="271"/>
      <c r="AQ441" s="271"/>
      <c r="AR441" s="271"/>
      <c r="AS441" s="271"/>
      <c r="AT441" s="271"/>
      <c r="AU441" s="271"/>
      <c r="AV441" s="271"/>
      <c r="AW441" s="271"/>
      <c r="AX441" s="271"/>
      <c r="AY441" s="271"/>
    </row>
    <row r="442" spans="1:51" ht="15.75" customHeight="1" x14ac:dyDescent="0.25">
      <c r="A442" s="271"/>
      <c r="B442" s="534"/>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c r="AL442" s="271"/>
      <c r="AM442" s="271"/>
      <c r="AN442" s="271"/>
      <c r="AO442" s="271"/>
      <c r="AP442" s="271"/>
      <c r="AQ442" s="271"/>
      <c r="AR442" s="271"/>
      <c r="AS442" s="271"/>
      <c r="AT442" s="271"/>
      <c r="AU442" s="271"/>
      <c r="AV442" s="271"/>
      <c r="AW442" s="271"/>
      <c r="AX442" s="271"/>
      <c r="AY442" s="271"/>
    </row>
    <row r="443" spans="1:51" ht="15.75" customHeight="1" x14ac:dyDescent="0.25">
      <c r="A443" s="271"/>
      <c r="B443" s="534"/>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c r="AL443" s="271"/>
      <c r="AM443" s="271"/>
      <c r="AN443" s="271"/>
      <c r="AO443" s="271"/>
      <c r="AP443" s="271"/>
      <c r="AQ443" s="271"/>
      <c r="AR443" s="271"/>
      <c r="AS443" s="271"/>
      <c r="AT443" s="271"/>
      <c r="AU443" s="271"/>
      <c r="AV443" s="271"/>
      <c r="AW443" s="271"/>
      <c r="AX443" s="271"/>
      <c r="AY443" s="271"/>
    </row>
    <row r="444" spans="1:51" ht="15.75" customHeight="1" x14ac:dyDescent="0.25">
      <c r="A444" s="271"/>
      <c r="B444" s="534"/>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c r="AL444" s="271"/>
      <c r="AM444" s="271"/>
      <c r="AN444" s="271"/>
      <c r="AO444" s="271"/>
      <c r="AP444" s="271"/>
      <c r="AQ444" s="271"/>
      <c r="AR444" s="271"/>
      <c r="AS444" s="271"/>
      <c r="AT444" s="271"/>
      <c r="AU444" s="271"/>
      <c r="AV444" s="271"/>
      <c r="AW444" s="271"/>
      <c r="AX444" s="271"/>
      <c r="AY444" s="271"/>
    </row>
    <row r="445" spans="1:51" ht="15.75" customHeight="1" x14ac:dyDescent="0.25">
      <c r="A445" s="271"/>
      <c r="B445" s="534"/>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c r="AL445" s="271"/>
      <c r="AM445" s="271"/>
      <c r="AN445" s="271"/>
      <c r="AO445" s="271"/>
      <c r="AP445" s="271"/>
      <c r="AQ445" s="271"/>
      <c r="AR445" s="271"/>
      <c r="AS445" s="271"/>
      <c r="AT445" s="271"/>
      <c r="AU445" s="271"/>
      <c r="AV445" s="271"/>
      <c r="AW445" s="271"/>
      <c r="AX445" s="271"/>
      <c r="AY445" s="271"/>
    </row>
    <row r="446" spans="1:51" ht="15.75" customHeight="1" x14ac:dyDescent="0.25">
      <c r="A446" s="271"/>
      <c r="B446" s="534"/>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c r="AL446" s="271"/>
      <c r="AM446" s="271"/>
      <c r="AN446" s="271"/>
      <c r="AO446" s="271"/>
      <c r="AP446" s="271"/>
      <c r="AQ446" s="271"/>
      <c r="AR446" s="271"/>
      <c r="AS446" s="271"/>
      <c r="AT446" s="271"/>
      <c r="AU446" s="271"/>
      <c r="AV446" s="271"/>
      <c r="AW446" s="271"/>
      <c r="AX446" s="271"/>
      <c r="AY446" s="271"/>
    </row>
    <row r="447" spans="1:51" ht="15.75" customHeight="1" x14ac:dyDescent="0.25">
      <c r="A447" s="271"/>
      <c r="B447" s="534"/>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c r="AL447" s="271"/>
      <c r="AM447" s="271"/>
      <c r="AN447" s="271"/>
      <c r="AO447" s="271"/>
      <c r="AP447" s="271"/>
      <c r="AQ447" s="271"/>
      <c r="AR447" s="271"/>
      <c r="AS447" s="271"/>
      <c r="AT447" s="271"/>
      <c r="AU447" s="271"/>
      <c r="AV447" s="271"/>
      <c r="AW447" s="271"/>
      <c r="AX447" s="271"/>
      <c r="AY447" s="271"/>
    </row>
    <row r="448" spans="1:51" ht="15.75" customHeight="1" x14ac:dyDescent="0.25">
      <c r="A448" s="271"/>
      <c r="B448" s="534"/>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c r="AL448" s="271"/>
      <c r="AM448" s="271"/>
      <c r="AN448" s="271"/>
      <c r="AO448" s="271"/>
      <c r="AP448" s="271"/>
      <c r="AQ448" s="271"/>
      <c r="AR448" s="271"/>
      <c r="AS448" s="271"/>
      <c r="AT448" s="271"/>
      <c r="AU448" s="271"/>
      <c r="AV448" s="271"/>
      <c r="AW448" s="271"/>
      <c r="AX448" s="271"/>
      <c r="AY448" s="271"/>
    </row>
    <row r="449" spans="1:51" ht="15.75" customHeight="1" x14ac:dyDescent="0.25">
      <c r="A449" s="271"/>
      <c r="B449" s="534"/>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c r="AL449" s="271"/>
      <c r="AM449" s="271"/>
      <c r="AN449" s="271"/>
      <c r="AO449" s="271"/>
      <c r="AP449" s="271"/>
      <c r="AQ449" s="271"/>
      <c r="AR449" s="271"/>
      <c r="AS449" s="271"/>
      <c r="AT449" s="271"/>
      <c r="AU449" s="271"/>
      <c r="AV449" s="271"/>
      <c r="AW449" s="271"/>
      <c r="AX449" s="271"/>
      <c r="AY449" s="271"/>
    </row>
    <row r="450" spans="1:51" ht="15.75" customHeight="1" x14ac:dyDescent="0.25">
      <c r="A450" s="271"/>
      <c r="B450" s="534"/>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c r="AM450" s="271"/>
      <c r="AN450" s="271"/>
      <c r="AO450" s="271"/>
      <c r="AP450" s="271"/>
      <c r="AQ450" s="271"/>
      <c r="AR450" s="271"/>
      <c r="AS450" s="271"/>
      <c r="AT450" s="271"/>
      <c r="AU450" s="271"/>
      <c r="AV450" s="271"/>
      <c r="AW450" s="271"/>
      <c r="AX450" s="271"/>
      <c r="AY450" s="271"/>
    </row>
    <row r="451" spans="1:51" ht="15.75" customHeight="1" x14ac:dyDescent="0.25">
      <c r="A451" s="271"/>
      <c r="B451" s="534"/>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c r="AL451" s="271"/>
      <c r="AM451" s="271"/>
      <c r="AN451" s="271"/>
      <c r="AO451" s="271"/>
      <c r="AP451" s="271"/>
      <c r="AQ451" s="271"/>
      <c r="AR451" s="271"/>
      <c r="AS451" s="271"/>
      <c r="AT451" s="271"/>
      <c r="AU451" s="271"/>
      <c r="AV451" s="271"/>
      <c r="AW451" s="271"/>
      <c r="AX451" s="271"/>
      <c r="AY451" s="271"/>
    </row>
    <row r="452" spans="1:51" ht="15.75" customHeight="1" x14ac:dyDescent="0.25">
      <c r="A452" s="271"/>
      <c r="B452" s="534"/>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c r="AL452" s="271"/>
      <c r="AM452" s="271"/>
      <c r="AN452" s="271"/>
      <c r="AO452" s="271"/>
      <c r="AP452" s="271"/>
      <c r="AQ452" s="271"/>
      <c r="AR452" s="271"/>
      <c r="AS452" s="271"/>
      <c r="AT452" s="271"/>
      <c r="AU452" s="271"/>
      <c r="AV452" s="271"/>
      <c r="AW452" s="271"/>
      <c r="AX452" s="271"/>
      <c r="AY452" s="271"/>
    </row>
    <row r="453" spans="1:51" ht="15.75" customHeight="1" x14ac:dyDescent="0.25">
      <c r="A453" s="271"/>
      <c r="B453" s="534"/>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c r="AL453" s="271"/>
      <c r="AM453" s="271"/>
      <c r="AN453" s="271"/>
      <c r="AO453" s="271"/>
      <c r="AP453" s="271"/>
      <c r="AQ453" s="271"/>
      <c r="AR453" s="271"/>
      <c r="AS453" s="271"/>
      <c r="AT453" s="271"/>
      <c r="AU453" s="271"/>
      <c r="AV453" s="271"/>
      <c r="AW453" s="271"/>
      <c r="AX453" s="271"/>
      <c r="AY453" s="271"/>
    </row>
    <row r="454" spans="1:51" ht="15.75" customHeight="1" x14ac:dyDescent="0.25">
      <c r="A454" s="271"/>
      <c r="B454" s="534"/>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c r="AL454" s="271"/>
      <c r="AM454" s="271"/>
      <c r="AN454" s="271"/>
      <c r="AO454" s="271"/>
      <c r="AP454" s="271"/>
      <c r="AQ454" s="271"/>
      <c r="AR454" s="271"/>
      <c r="AS454" s="271"/>
      <c r="AT454" s="271"/>
      <c r="AU454" s="271"/>
      <c r="AV454" s="271"/>
      <c r="AW454" s="271"/>
      <c r="AX454" s="271"/>
      <c r="AY454" s="271"/>
    </row>
    <row r="455" spans="1:51" ht="15.75" customHeight="1" x14ac:dyDescent="0.25">
      <c r="A455" s="271"/>
      <c r="B455" s="534"/>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c r="AL455" s="271"/>
      <c r="AM455" s="271"/>
      <c r="AN455" s="271"/>
      <c r="AO455" s="271"/>
      <c r="AP455" s="271"/>
      <c r="AQ455" s="271"/>
      <c r="AR455" s="271"/>
      <c r="AS455" s="271"/>
      <c r="AT455" s="271"/>
      <c r="AU455" s="271"/>
      <c r="AV455" s="271"/>
      <c r="AW455" s="271"/>
      <c r="AX455" s="271"/>
      <c r="AY455" s="271"/>
    </row>
    <row r="456" spans="1:51" ht="15.75" customHeight="1" x14ac:dyDescent="0.25">
      <c r="A456" s="271"/>
      <c r="B456" s="534"/>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c r="AL456" s="271"/>
      <c r="AM456" s="271"/>
      <c r="AN456" s="271"/>
      <c r="AO456" s="271"/>
      <c r="AP456" s="271"/>
      <c r="AQ456" s="271"/>
      <c r="AR456" s="271"/>
      <c r="AS456" s="271"/>
      <c r="AT456" s="271"/>
      <c r="AU456" s="271"/>
      <c r="AV456" s="271"/>
      <c r="AW456" s="271"/>
      <c r="AX456" s="271"/>
      <c r="AY456" s="271"/>
    </row>
    <row r="457" spans="1:51" ht="15.75" customHeight="1" x14ac:dyDescent="0.25">
      <c r="A457" s="271"/>
      <c r="B457" s="534"/>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c r="AL457" s="271"/>
      <c r="AM457" s="271"/>
      <c r="AN457" s="271"/>
      <c r="AO457" s="271"/>
      <c r="AP457" s="271"/>
      <c r="AQ457" s="271"/>
      <c r="AR457" s="271"/>
      <c r="AS457" s="271"/>
      <c r="AT457" s="271"/>
      <c r="AU457" s="271"/>
      <c r="AV457" s="271"/>
      <c r="AW457" s="271"/>
      <c r="AX457" s="271"/>
      <c r="AY457" s="271"/>
    </row>
    <row r="458" spans="1:51" ht="15.75" customHeight="1" x14ac:dyDescent="0.25">
      <c r="A458" s="271"/>
      <c r="B458" s="534"/>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c r="AL458" s="271"/>
      <c r="AM458" s="271"/>
      <c r="AN458" s="271"/>
      <c r="AO458" s="271"/>
      <c r="AP458" s="271"/>
      <c r="AQ458" s="271"/>
      <c r="AR458" s="271"/>
      <c r="AS458" s="271"/>
      <c r="AT458" s="271"/>
      <c r="AU458" s="271"/>
      <c r="AV458" s="271"/>
      <c r="AW458" s="271"/>
      <c r="AX458" s="271"/>
      <c r="AY458" s="271"/>
    </row>
    <row r="459" spans="1:51" ht="15.75" customHeight="1" x14ac:dyDescent="0.25">
      <c r="A459" s="271"/>
      <c r="B459" s="534"/>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c r="AL459" s="271"/>
      <c r="AM459" s="271"/>
      <c r="AN459" s="271"/>
      <c r="AO459" s="271"/>
      <c r="AP459" s="271"/>
      <c r="AQ459" s="271"/>
      <c r="AR459" s="271"/>
      <c r="AS459" s="271"/>
      <c r="AT459" s="271"/>
      <c r="AU459" s="271"/>
      <c r="AV459" s="271"/>
      <c r="AW459" s="271"/>
      <c r="AX459" s="271"/>
      <c r="AY459" s="271"/>
    </row>
    <row r="460" spans="1:51" ht="15.75" customHeight="1" x14ac:dyDescent="0.25">
      <c r="A460" s="271"/>
      <c r="B460" s="534"/>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c r="AL460" s="271"/>
      <c r="AM460" s="271"/>
      <c r="AN460" s="271"/>
      <c r="AO460" s="271"/>
      <c r="AP460" s="271"/>
      <c r="AQ460" s="271"/>
      <c r="AR460" s="271"/>
      <c r="AS460" s="271"/>
      <c r="AT460" s="271"/>
      <c r="AU460" s="271"/>
      <c r="AV460" s="271"/>
      <c r="AW460" s="271"/>
      <c r="AX460" s="271"/>
      <c r="AY460" s="271"/>
    </row>
    <row r="461" spans="1:51" ht="15.75" customHeight="1" x14ac:dyDescent="0.25">
      <c r="A461" s="271"/>
      <c r="B461" s="534"/>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c r="AL461" s="271"/>
      <c r="AM461" s="271"/>
      <c r="AN461" s="271"/>
      <c r="AO461" s="271"/>
      <c r="AP461" s="271"/>
      <c r="AQ461" s="271"/>
      <c r="AR461" s="271"/>
      <c r="AS461" s="271"/>
      <c r="AT461" s="271"/>
      <c r="AU461" s="271"/>
      <c r="AV461" s="271"/>
      <c r="AW461" s="271"/>
      <c r="AX461" s="271"/>
      <c r="AY461" s="271"/>
    </row>
    <row r="462" spans="1:51" ht="15.75" customHeight="1" x14ac:dyDescent="0.25">
      <c r="A462" s="271"/>
      <c r="B462" s="534"/>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c r="AL462" s="271"/>
      <c r="AM462" s="271"/>
      <c r="AN462" s="271"/>
      <c r="AO462" s="271"/>
      <c r="AP462" s="271"/>
      <c r="AQ462" s="271"/>
      <c r="AR462" s="271"/>
      <c r="AS462" s="271"/>
      <c r="AT462" s="271"/>
      <c r="AU462" s="271"/>
      <c r="AV462" s="271"/>
      <c r="AW462" s="271"/>
      <c r="AX462" s="271"/>
      <c r="AY462" s="271"/>
    </row>
    <row r="463" spans="1:51" ht="15.75" customHeight="1" x14ac:dyDescent="0.25">
      <c r="A463" s="271"/>
      <c r="B463" s="534"/>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c r="AL463" s="271"/>
      <c r="AM463" s="271"/>
      <c r="AN463" s="271"/>
      <c r="AO463" s="271"/>
      <c r="AP463" s="271"/>
      <c r="AQ463" s="271"/>
      <c r="AR463" s="271"/>
      <c r="AS463" s="271"/>
      <c r="AT463" s="271"/>
      <c r="AU463" s="271"/>
      <c r="AV463" s="271"/>
      <c r="AW463" s="271"/>
      <c r="AX463" s="271"/>
      <c r="AY463" s="271"/>
    </row>
    <row r="464" spans="1:51" ht="15.75" customHeight="1" x14ac:dyDescent="0.25">
      <c r="A464" s="271"/>
      <c r="B464" s="534"/>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c r="AL464" s="271"/>
      <c r="AM464" s="271"/>
      <c r="AN464" s="271"/>
      <c r="AO464" s="271"/>
      <c r="AP464" s="271"/>
      <c r="AQ464" s="271"/>
      <c r="AR464" s="271"/>
      <c r="AS464" s="271"/>
      <c r="AT464" s="271"/>
      <c r="AU464" s="271"/>
      <c r="AV464" s="271"/>
      <c r="AW464" s="271"/>
      <c r="AX464" s="271"/>
      <c r="AY464" s="271"/>
    </row>
    <row r="465" spans="1:51" ht="15.75" customHeight="1" x14ac:dyDescent="0.25">
      <c r="A465" s="271"/>
      <c r="B465" s="534"/>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c r="AL465" s="271"/>
      <c r="AM465" s="271"/>
      <c r="AN465" s="271"/>
      <c r="AO465" s="271"/>
      <c r="AP465" s="271"/>
      <c r="AQ465" s="271"/>
      <c r="AR465" s="271"/>
      <c r="AS465" s="271"/>
      <c r="AT465" s="271"/>
      <c r="AU465" s="271"/>
      <c r="AV465" s="271"/>
      <c r="AW465" s="271"/>
      <c r="AX465" s="271"/>
      <c r="AY465" s="271"/>
    </row>
    <row r="466" spans="1:51" ht="15.75" customHeight="1" x14ac:dyDescent="0.25">
      <c r="A466" s="271"/>
      <c r="B466" s="534"/>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c r="AL466" s="271"/>
      <c r="AM466" s="271"/>
      <c r="AN466" s="271"/>
      <c r="AO466" s="271"/>
      <c r="AP466" s="271"/>
      <c r="AQ466" s="271"/>
      <c r="AR466" s="271"/>
      <c r="AS466" s="271"/>
      <c r="AT466" s="271"/>
      <c r="AU466" s="271"/>
      <c r="AV466" s="271"/>
      <c r="AW466" s="271"/>
      <c r="AX466" s="271"/>
      <c r="AY466" s="271"/>
    </row>
    <row r="467" spans="1:51" ht="15.75" customHeight="1" x14ac:dyDescent="0.25">
      <c r="A467" s="271"/>
      <c r="B467" s="534"/>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c r="AL467" s="271"/>
      <c r="AM467" s="271"/>
      <c r="AN467" s="271"/>
      <c r="AO467" s="271"/>
      <c r="AP467" s="271"/>
      <c r="AQ467" s="271"/>
      <c r="AR467" s="271"/>
      <c r="AS467" s="271"/>
      <c r="AT467" s="271"/>
      <c r="AU467" s="271"/>
      <c r="AV467" s="271"/>
      <c r="AW467" s="271"/>
      <c r="AX467" s="271"/>
      <c r="AY467" s="271"/>
    </row>
    <row r="468" spans="1:51" ht="15.75" customHeight="1" x14ac:dyDescent="0.25">
      <c r="A468" s="271"/>
      <c r="B468" s="534"/>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c r="AL468" s="271"/>
      <c r="AM468" s="271"/>
      <c r="AN468" s="271"/>
      <c r="AO468" s="271"/>
      <c r="AP468" s="271"/>
      <c r="AQ468" s="271"/>
      <c r="AR468" s="271"/>
      <c r="AS468" s="271"/>
      <c r="AT468" s="271"/>
      <c r="AU468" s="271"/>
      <c r="AV468" s="271"/>
      <c r="AW468" s="271"/>
      <c r="AX468" s="271"/>
      <c r="AY468" s="271"/>
    </row>
    <row r="469" spans="1:51" ht="15.75" customHeight="1" x14ac:dyDescent="0.25">
      <c r="A469" s="271"/>
      <c r="B469" s="534"/>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c r="AL469" s="271"/>
      <c r="AM469" s="271"/>
      <c r="AN469" s="271"/>
      <c r="AO469" s="271"/>
      <c r="AP469" s="271"/>
      <c r="AQ469" s="271"/>
      <c r="AR469" s="271"/>
      <c r="AS469" s="271"/>
      <c r="AT469" s="271"/>
      <c r="AU469" s="271"/>
      <c r="AV469" s="271"/>
      <c r="AW469" s="271"/>
      <c r="AX469" s="271"/>
      <c r="AY469" s="271"/>
    </row>
    <row r="470" spans="1:51" ht="15.75" customHeight="1" x14ac:dyDescent="0.25">
      <c r="A470" s="271"/>
      <c r="B470" s="534"/>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c r="AL470" s="271"/>
      <c r="AM470" s="271"/>
      <c r="AN470" s="271"/>
      <c r="AO470" s="271"/>
      <c r="AP470" s="271"/>
      <c r="AQ470" s="271"/>
      <c r="AR470" s="271"/>
      <c r="AS470" s="271"/>
      <c r="AT470" s="271"/>
      <c r="AU470" s="271"/>
      <c r="AV470" s="271"/>
      <c r="AW470" s="271"/>
      <c r="AX470" s="271"/>
      <c r="AY470" s="271"/>
    </row>
    <row r="471" spans="1:51" ht="15.75" customHeight="1" x14ac:dyDescent="0.25">
      <c r="A471" s="271"/>
      <c r="B471" s="534"/>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c r="AL471" s="271"/>
      <c r="AM471" s="271"/>
      <c r="AN471" s="271"/>
      <c r="AO471" s="271"/>
      <c r="AP471" s="271"/>
      <c r="AQ471" s="271"/>
      <c r="AR471" s="271"/>
      <c r="AS471" s="271"/>
      <c r="AT471" s="271"/>
      <c r="AU471" s="271"/>
      <c r="AV471" s="271"/>
      <c r="AW471" s="271"/>
      <c r="AX471" s="271"/>
      <c r="AY471" s="271"/>
    </row>
    <row r="472" spans="1:51" ht="15.75" customHeight="1" x14ac:dyDescent="0.25">
      <c r="A472" s="271"/>
      <c r="B472" s="534"/>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c r="AL472" s="271"/>
      <c r="AM472" s="271"/>
      <c r="AN472" s="271"/>
      <c r="AO472" s="271"/>
      <c r="AP472" s="271"/>
      <c r="AQ472" s="271"/>
      <c r="AR472" s="271"/>
      <c r="AS472" s="271"/>
      <c r="AT472" s="271"/>
      <c r="AU472" s="271"/>
      <c r="AV472" s="271"/>
      <c r="AW472" s="271"/>
      <c r="AX472" s="271"/>
      <c r="AY472" s="271"/>
    </row>
    <row r="473" spans="1:51" ht="15.75" customHeight="1" x14ac:dyDescent="0.25">
      <c r="A473" s="271"/>
      <c r="B473" s="534"/>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c r="AL473" s="271"/>
      <c r="AM473" s="271"/>
      <c r="AN473" s="271"/>
      <c r="AO473" s="271"/>
      <c r="AP473" s="271"/>
      <c r="AQ473" s="271"/>
      <c r="AR473" s="271"/>
      <c r="AS473" s="271"/>
      <c r="AT473" s="271"/>
      <c r="AU473" s="271"/>
      <c r="AV473" s="271"/>
      <c r="AW473" s="271"/>
      <c r="AX473" s="271"/>
      <c r="AY473" s="271"/>
    </row>
    <row r="474" spans="1:51" ht="15.75" customHeight="1" x14ac:dyDescent="0.25">
      <c r="A474" s="271"/>
      <c r="B474" s="534"/>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c r="AL474" s="271"/>
      <c r="AM474" s="271"/>
      <c r="AN474" s="271"/>
      <c r="AO474" s="271"/>
      <c r="AP474" s="271"/>
      <c r="AQ474" s="271"/>
      <c r="AR474" s="271"/>
      <c r="AS474" s="271"/>
      <c r="AT474" s="271"/>
      <c r="AU474" s="271"/>
      <c r="AV474" s="271"/>
      <c r="AW474" s="271"/>
      <c r="AX474" s="271"/>
      <c r="AY474" s="271"/>
    </row>
    <row r="475" spans="1:51" ht="15.75" customHeight="1" x14ac:dyDescent="0.25">
      <c r="A475" s="271"/>
      <c r="B475" s="534"/>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c r="AL475" s="271"/>
      <c r="AM475" s="271"/>
      <c r="AN475" s="271"/>
      <c r="AO475" s="271"/>
      <c r="AP475" s="271"/>
      <c r="AQ475" s="271"/>
      <c r="AR475" s="271"/>
      <c r="AS475" s="271"/>
      <c r="AT475" s="271"/>
      <c r="AU475" s="271"/>
      <c r="AV475" s="271"/>
      <c r="AW475" s="271"/>
      <c r="AX475" s="271"/>
      <c r="AY475" s="271"/>
    </row>
    <row r="476" spans="1:51" ht="15.75" customHeight="1" x14ac:dyDescent="0.25">
      <c r="A476" s="271"/>
      <c r="B476" s="534"/>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c r="AL476" s="271"/>
      <c r="AM476" s="271"/>
      <c r="AN476" s="271"/>
      <c r="AO476" s="271"/>
      <c r="AP476" s="271"/>
      <c r="AQ476" s="271"/>
      <c r="AR476" s="271"/>
      <c r="AS476" s="271"/>
      <c r="AT476" s="271"/>
      <c r="AU476" s="271"/>
      <c r="AV476" s="271"/>
      <c r="AW476" s="271"/>
      <c r="AX476" s="271"/>
      <c r="AY476" s="271"/>
    </row>
    <row r="477" spans="1:51" ht="15.75" customHeight="1" x14ac:dyDescent="0.25">
      <c r="A477" s="271"/>
      <c r="B477" s="534"/>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c r="AL477" s="271"/>
      <c r="AM477" s="271"/>
      <c r="AN477" s="271"/>
      <c r="AO477" s="271"/>
      <c r="AP477" s="271"/>
      <c r="AQ477" s="271"/>
      <c r="AR477" s="271"/>
      <c r="AS477" s="271"/>
      <c r="AT477" s="271"/>
      <c r="AU477" s="271"/>
      <c r="AV477" s="271"/>
      <c r="AW477" s="271"/>
      <c r="AX477" s="271"/>
      <c r="AY477" s="271"/>
    </row>
    <row r="478" spans="1:51" ht="15.75" customHeight="1" x14ac:dyDescent="0.25">
      <c r="A478" s="271"/>
      <c r="B478" s="534"/>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c r="AL478" s="271"/>
      <c r="AM478" s="271"/>
      <c r="AN478" s="271"/>
      <c r="AO478" s="271"/>
      <c r="AP478" s="271"/>
      <c r="AQ478" s="271"/>
      <c r="AR478" s="271"/>
      <c r="AS478" s="271"/>
      <c r="AT478" s="271"/>
      <c r="AU478" s="271"/>
      <c r="AV478" s="271"/>
      <c r="AW478" s="271"/>
      <c r="AX478" s="271"/>
      <c r="AY478" s="271"/>
    </row>
    <row r="479" spans="1:51" ht="15.75" customHeight="1" x14ac:dyDescent="0.25">
      <c r="A479" s="271"/>
      <c r="B479" s="534"/>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c r="AL479" s="271"/>
      <c r="AM479" s="271"/>
      <c r="AN479" s="271"/>
      <c r="AO479" s="271"/>
      <c r="AP479" s="271"/>
      <c r="AQ479" s="271"/>
      <c r="AR479" s="271"/>
      <c r="AS479" s="271"/>
      <c r="AT479" s="271"/>
      <c r="AU479" s="271"/>
      <c r="AV479" s="271"/>
      <c r="AW479" s="271"/>
      <c r="AX479" s="271"/>
      <c r="AY479" s="271"/>
    </row>
    <row r="480" spans="1:51" ht="15.75" customHeight="1" x14ac:dyDescent="0.25">
      <c r="A480" s="271"/>
      <c r="B480" s="534"/>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c r="AL480" s="271"/>
      <c r="AM480" s="271"/>
      <c r="AN480" s="271"/>
      <c r="AO480" s="271"/>
      <c r="AP480" s="271"/>
      <c r="AQ480" s="271"/>
      <c r="AR480" s="271"/>
      <c r="AS480" s="271"/>
      <c r="AT480" s="271"/>
      <c r="AU480" s="271"/>
      <c r="AV480" s="271"/>
      <c r="AW480" s="271"/>
      <c r="AX480" s="271"/>
      <c r="AY480" s="271"/>
    </row>
    <row r="481" spans="1:51" ht="15.75" customHeight="1" x14ac:dyDescent="0.25">
      <c r="A481" s="271"/>
      <c r="B481" s="534"/>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c r="AL481" s="271"/>
      <c r="AM481" s="271"/>
      <c r="AN481" s="271"/>
      <c r="AO481" s="271"/>
      <c r="AP481" s="271"/>
      <c r="AQ481" s="271"/>
      <c r="AR481" s="271"/>
      <c r="AS481" s="271"/>
      <c r="AT481" s="271"/>
      <c r="AU481" s="271"/>
      <c r="AV481" s="271"/>
      <c r="AW481" s="271"/>
      <c r="AX481" s="271"/>
      <c r="AY481" s="271"/>
    </row>
    <row r="482" spans="1:51" ht="15.75" customHeight="1" x14ac:dyDescent="0.25">
      <c r="A482" s="271"/>
      <c r="B482" s="534"/>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c r="AL482" s="271"/>
      <c r="AM482" s="271"/>
      <c r="AN482" s="271"/>
      <c r="AO482" s="271"/>
      <c r="AP482" s="271"/>
      <c r="AQ482" s="271"/>
      <c r="AR482" s="271"/>
      <c r="AS482" s="271"/>
      <c r="AT482" s="271"/>
      <c r="AU482" s="271"/>
      <c r="AV482" s="271"/>
      <c r="AW482" s="271"/>
      <c r="AX482" s="271"/>
      <c r="AY482" s="271"/>
    </row>
    <row r="483" spans="1:51" ht="15.75" customHeight="1" x14ac:dyDescent="0.25">
      <c r="A483" s="271"/>
      <c r="B483" s="534"/>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c r="AL483" s="271"/>
      <c r="AM483" s="271"/>
      <c r="AN483" s="271"/>
      <c r="AO483" s="271"/>
      <c r="AP483" s="271"/>
      <c r="AQ483" s="271"/>
      <c r="AR483" s="271"/>
      <c r="AS483" s="271"/>
      <c r="AT483" s="271"/>
      <c r="AU483" s="271"/>
      <c r="AV483" s="271"/>
      <c r="AW483" s="271"/>
      <c r="AX483" s="271"/>
      <c r="AY483" s="271"/>
    </row>
    <row r="484" spans="1:51" ht="15.75" customHeight="1" x14ac:dyDescent="0.25">
      <c r="A484" s="271"/>
      <c r="B484" s="534"/>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c r="AL484" s="271"/>
      <c r="AM484" s="271"/>
      <c r="AN484" s="271"/>
      <c r="AO484" s="271"/>
      <c r="AP484" s="271"/>
      <c r="AQ484" s="271"/>
      <c r="AR484" s="271"/>
      <c r="AS484" s="271"/>
      <c r="AT484" s="271"/>
      <c r="AU484" s="271"/>
      <c r="AV484" s="271"/>
      <c r="AW484" s="271"/>
      <c r="AX484" s="271"/>
      <c r="AY484" s="271"/>
    </row>
    <row r="485" spans="1:51" ht="15.75" customHeight="1" x14ac:dyDescent="0.25">
      <c r="A485" s="271"/>
      <c r="B485" s="534"/>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c r="AL485" s="271"/>
      <c r="AM485" s="271"/>
      <c r="AN485" s="271"/>
      <c r="AO485" s="271"/>
      <c r="AP485" s="271"/>
      <c r="AQ485" s="271"/>
      <c r="AR485" s="271"/>
      <c r="AS485" s="271"/>
      <c r="AT485" s="271"/>
      <c r="AU485" s="271"/>
      <c r="AV485" s="271"/>
      <c r="AW485" s="271"/>
      <c r="AX485" s="271"/>
      <c r="AY485" s="271"/>
    </row>
    <row r="486" spans="1:51" ht="15.75" customHeight="1" x14ac:dyDescent="0.25">
      <c r="A486" s="271"/>
      <c r="B486" s="534"/>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c r="AL486" s="271"/>
      <c r="AM486" s="271"/>
      <c r="AN486" s="271"/>
      <c r="AO486" s="271"/>
      <c r="AP486" s="271"/>
      <c r="AQ486" s="271"/>
      <c r="AR486" s="271"/>
      <c r="AS486" s="271"/>
      <c r="AT486" s="271"/>
      <c r="AU486" s="271"/>
      <c r="AV486" s="271"/>
      <c r="AW486" s="271"/>
      <c r="AX486" s="271"/>
      <c r="AY486" s="271"/>
    </row>
    <row r="487" spans="1:51" ht="15.75" customHeight="1" x14ac:dyDescent="0.25">
      <c r="A487" s="271"/>
      <c r="B487" s="534"/>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c r="AL487" s="271"/>
      <c r="AM487" s="271"/>
      <c r="AN487" s="271"/>
      <c r="AO487" s="271"/>
      <c r="AP487" s="271"/>
      <c r="AQ487" s="271"/>
      <c r="AR487" s="271"/>
      <c r="AS487" s="271"/>
      <c r="AT487" s="271"/>
      <c r="AU487" s="271"/>
      <c r="AV487" s="271"/>
      <c r="AW487" s="271"/>
      <c r="AX487" s="271"/>
      <c r="AY487" s="271"/>
    </row>
    <row r="488" spans="1:51" ht="15.75" customHeight="1" x14ac:dyDescent="0.25">
      <c r="A488" s="271"/>
      <c r="B488" s="534"/>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c r="AL488" s="271"/>
      <c r="AM488" s="271"/>
      <c r="AN488" s="271"/>
      <c r="AO488" s="271"/>
      <c r="AP488" s="271"/>
      <c r="AQ488" s="271"/>
      <c r="AR488" s="271"/>
      <c r="AS488" s="271"/>
      <c r="AT488" s="271"/>
      <c r="AU488" s="271"/>
      <c r="AV488" s="271"/>
      <c r="AW488" s="271"/>
      <c r="AX488" s="271"/>
      <c r="AY488" s="271"/>
    </row>
    <row r="489" spans="1:51" ht="15.75" customHeight="1" x14ac:dyDescent="0.25">
      <c r="A489" s="271"/>
      <c r="B489" s="534"/>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c r="AL489" s="271"/>
      <c r="AM489" s="271"/>
      <c r="AN489" s="271"/>
      <c r="AO489" s="271"/>
      <c r="AP489" s="271"/>
      <c r="AQ489" s="271"/>
      <c r="AR489" s="271"/>
      <c r="AS489" s="271"/>
      <c r="AT489" s="271"/>
      <c r="AU489" s="271"/>
      <c r="AV489" s="271"/>
      <c r="AW489" s="271"/>
      <c r="AX489" s="271"/>
      <c r="AY489" s="271"/>
    </row>
    <row r="490" spans="1:51" ht="15.75" customHeight="1" x14ac:dyDescent="0.25">
      <c r="A490" s="271"/>
      <c r="B490" s="534"/>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c r="AL490" s="271"/>
      <c r="AM490" s="271"/>
      <c r="AN490" s="271"/>
      <c r="AO490" s="271"/>
      <c r="AP490" s="271"/>
      <c r="AQ490" s="271"/>
      <c r="AR490" s="271"/>
      <c r="AS490" s="271"/>
      <c r="AT490" s="271"/>
      <c r="AU490" s="271"/>
      <c r="AV490" s="271"/>
      <c r="AW490" s="271"/>
      <c r="AX490" s="271"/>
      <c r="AY490" s="271"/>
    </row>
    <row r="491" spans="1:51" ht="15.75" customHeight="1" x14ac:dyDescent="0.25">
      <c r="A491" s="271"/>
      <c r="B491" s="534"/>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c r="AL491" s="271"/>
      <c r="AM491" s="271"/>
      <c r="AN491" s="271"/>
      <c r="AO491" s="271"/>
      <c r="AP491" s="271"/>
      <c r="AQ491" s="271"/>
      <c r="AR491" s="271"/>
      <c r="AS491" s="271"/>
      <c r="AT491" s="271"/>
      <c r="AU491" s="271"/>
      <c r="AV491" s="271"/>
      <c r="AW491" s="271"/>
      <c r="AX491" s="271"/>
      <c r="AY491" s="271"/>
    </row>
    <row r="492" spans="1:51" ht="15.75" customHeight="1" x14ac:dyDescent="0.25">
      <c r="A492" s="271"/>
      <c r="B492" s="534"/>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c r="AL492" s="271"/>
      <c r="AM492" s="271"/>
      <c r="AN492" s="271"/>
      <c r="AO492" s="271"/>
      <c r="AP492" s="271"/>
      <c r="AQ492" s="271"/>
      <c r="AR492" s="271"/>
      <c r="AS492" s="271"/>
      <c r="AT492" s="271"/>
      <c r="AU492" s="271"/>
      <c r="AV492" s="271"/>
      <c r="AW492" s="271"/>
      <c r="AX492" s="271"/>
      <c r="AY492" s="271"/>
    </row>
    <row r="493" spans="1:51" ht="15.75" customHeight="1" x14ac:dyDescent="0.25">
      <c r="A493" s="271"/>
      <c r="B493" s="534"/>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c r="AM493" s="271"/>
      <c r="AN493" s="271"/>
      <c r="AO493" s="271"/>
      <c r="AP493" s="271"/>
      <c r="AQ493" s="271"/>
      <c r="AR493" s="271"/>
      <c r="AS493" s="271"/>
      <c r="AT493" s="271"/>
      <c r="AU493" s="271"/>
      <c r="AV493" s="271"/>
      <c r="AW493" s="271"/>
      <c r="AX493" s="271"/>
      <c r="AY493" s="271"/>
    </row>
    <row r="494" spans="1:51" ht="15.75" customHeight="1" x14ac:dyDescent="0.25">
      <c r="A494" s="271"/>
      <c r="B494" s="534"/>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c r="AL494" s="271"/>
      <c r="AM494" s="271"/>
      <c r="AN494" s="271"/>
      <c r="AO494" s="271"/>
      <c r="AP494" s="271"/>
      <c r="AQ494" s="271"/>
      <c r="AR494" s="271"/>
      <c r="AS494" s="271"/>
      <c r="AT494" s="271"/>
      <c r="AU494" s="271"/>
      <c r="AV494" s="271"/>
      <c r="AW494" s="271"/>
      <c r="AX494" s="271"/>
      <c r="AY494" s="271"/>
    </row>
    <row r="495" spans="1:51" ht="15.75" customHeight="1" x14ac:dyDescent="0.25">
      <c r="A495" s="271"/>
      <c r="B495" s="534"/>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c r="AL495" s="271"/>
      <c r="AM495" s="271"/>
      <c r="AN495" s="271"/>
      <c r="AO495" s="271"/>
      <c r="AP495" s="271"/>
      <c r="AQ495" s="271"/>
      <c r="AR495" s="271"/>
      <c r="AS495" s="271"/>
      <c r="AT495" s="271"/>
      <c r="AU495" s="271"/>
      <c r="AV495" s="271"/>
      <c r="AW495" s="271"/>
      <c r="AX495" s="271"/>
      <c r="AY495" s="271"/>
    </row>
    <row r="496" spans="1:51" ht="15.75" customHeight="1" x14ac:dyDescent="0.25">
      <c r="A496" s="271"/>
      <c r="B496" s="534"/>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c r="AL496" s="271"/>
      <c r="AM496" s="271"/>
      <c r="AN496" s="271"/>
      <c r="AO496" s="271"/>
      <c r="AP496" s="271"/>
      <c r="AQ496" s="271"/>
      <c r="AR496" s="271"/>
      <c r="AS496" s="271"/>
      <c r="AT496" s="271"/>
      <c r="AU496" s="271"/>
      <c r="AV496" s="271"/>
      <c r="AW496" s="271"/>
      <c r="AX496" s="271"/>
      <c r="AY496" s="271"/>
    </row>
    <row r="497" spans="1:51" ht="15.75" customHeight="1" x14ac:dyDescent="0.25">
      <c r="A497" s="271"/>
      <c r="B497" s="534"/>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c r="AL497" s="271"/>
      <c r="AM497" s="271"/>
      <c r="AN497" s="271"/>
      <c r="AO497" s="271"/>
      <c r="AP497" s="271"/>
      <c r="AQ497" s="271"/>
      <c r="AR497" s="271"/>
      <c r="AS497" s="271"/>
      <c r="AT497" s="271"/>
      <c r="AU497" s="271"/>
      <c r="AV497" s="271"/>
      <c r="AW497" s="271"/>
      <c r="AX497" s="271"/>
      <c r="AY497" s="271"/>
    </row>
    <row r="498" spans="1:51" ht="15.75" customHeight="1" x14ac:dyDescent="0.25">
      <c r="A498" s="271"/>
      <c r="B498" s="534"/>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c r="AL498" s="271"/>
      <c r="AM498" s="271"/>
      <c r="AN498" s="271"/>
      <c r="AO498" s="271"/>
      <c r="AP498" s="271"/>
      <c r="AQ498" s="271"/>
      <c r="AR498" s="271"/>
      <c r="AS498" s="271"/>
      <c r="AT498" s="271"/>
      <c r="AU498" s="271"/>
      <c r="AV498" s="271"/>
      <c r="AW498" s="271"/>
      <c r="AX498" s="271"/>
      <c r="AY498" s="271"/>
    </row>
    <row r="499" spans="1:51" ht="15.75" customHeight="1" x14ac:dyDescent="0.25">
      <c r="A499" s="271"/>
      <c r="B499" s="534"/>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c r="AL499" s="271"/>
      <c r="AM499" s="271"/>
      <c r="AN499" s="271"/>
      <c r="AO499" s="271"/>
      <c r="AP499" s="271"/>
      <c r="AQ499" s="271"/>
      <c r="AR499" s="271"/>
      <c r="AS499" s="271"/>
      <c r="AT499" s="271"/>
      <c r="AU499" s="271"/>
      <c r="AV499" s="271"/>
      <c r="AW499" s="271"/>
      <c r="AX499" s="271"/>
      <c r="AY499" s="271"/>
    </row>
    <row r="500" spans="1:51" ht="15.75" customHeight="1" x14ac:dyDescent="0.25">
      <c r="A500" s="271"/>
      <c r="B500" s="534"/>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c r="AL500" s="271"/>
      <c r="AM500" s="271"/>
      <c r="AN500" s="271"/>
      <c r="AO500" s="271"/>
      <c r="AP500" s="271"/>
      <c r="AQ500" s="271"/>
      <c r="AR500" s="271"/>
      <c r="AS500" s="271"/>
      <c r="AT500" s="271"/>
      <c r="AU500" s="271"/>
      <c r="AV500" s="271"/>
      <c r="AW500" s="271"/>
      <c r="AX500" s="271"/>
      <c r="AY500" s="271"/>
    </row>
    <row r="501" spans="1:51" ht="15.75" customHeight="1" x14ac:dyDescent="0.25">
      <c r="A501" s="271"/>
      <c r="B501" s="534"/>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c r="AL501" s="271"/>
      <c r="AM501" s="271"/>
      <c r="AN501" s="271"/>
      <c r="AO501" s="271"/>
      <c r="AP501" s="271"/>
      <c r="AQ501" s="271"/>
      <c r="AR501" s="271"/>
      <c r="AS501" s="271"/>
      <c r="AT501" s="271"/>
      <c r="AU501" s="271"/>
      <c r="AV501" s="271"/>
      <c r="AW501" s="271"/>
      <c r="AX501" s="271"/>
      <c r="AY501" s="271"/>
    </row>
    <row r="502" spans="1:51" ht="15.75" customHeight="1" x14ac:dyDescent="0.25">
      <c r="A502" s="271"/>
      <c r="B502" s="534"/>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c r="AL502" s="271"/>
      <c r="AM502" s="271"/>
      <c r="AN502" s="271"/>
      <c r="AO502" s="271"/>
      <c r="AP502" s="271"/>
      <c r="AQ502" s="271"/>
      <c r="AR502" s="271"/>
      <c r="AS502" s="271"/>
      <c r="AT502" s="271"/>
      <c r="AU502" s="271"/>
      <c r="AV502" s="271"/>
      <c r="AW502" s="271"/>
      <c r="AX502" s="271"/>
      <c r="AY502" s="271"/>
    </row>
    <row r="503" spans="1:51" ht="15.75" customHeight="1" x14ac:dyDescent="0.25">
      <c r="A503" s="271"/>
      <c r="B503" s="534"/>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c r="AL503" s="271"/>
      <c r="AM503" s="271"/>
      <c r="AN503" s="271"/>
      <c r="AO503" s="271"/>
      <c r="AP503" s="271"/>
      <c r="AQ503" s="271"/>
      <c r="AR503" s="271"/>
      <c r="AS503" s="271"/>
      <c r="AT503" s="271"/>
      <c r="AU503" s="271"/>
      <c r="AV503" s="271"/>
      <c r="AW503" s="271"/>
      <c r="AX503" s="271"/>
      <c r="AY503" s="271"/>
    </row>
    <row r="504" spans="1:51" ht="15.75" customHeight="1" x14ac:dyDescent="0.25">
      <c r="A504" s="271"/>
      <c r="B504" s="534"/>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c r="AL504" s="271"/>
      <c r="AM504" s="271"/>
      <c r="AN504" s="271"/>
      <c r="AO504" s="271"/>
      <c r="AP504" s="271"/>
      <c r="AQ504" s="271"/>
      <c r="AR504" s="271"/>
      <c r="AS504" s="271"/>
      <c r="AT504" s="271"/>
      <c r="AU504" s="271"/>
      <c r="AV504" s="271"/>
      <c r="AW504" s="271"/>
      <c r="AX504" s="271"/>
      <c r="AY504" s="271"/>
    </row>
    <row r="505" spans="1:51" ht="15.75" customHeight="1" x14ac:dyDescent="0.25">
      <c r="A505" s="271"/>
      <c r="B505" s="534"/>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c r="AL505" s="271"/>
      <c r="AM505" s="271"/>
      <c r="AN505" s="271"/>
      <c r="AO505" s="271"/>
      <c r="AP505" s="271"/>
      <c r="AQ505" s="271"/>
      <c r="AR505" s="271"/>
      <c r="AS505" s="271"/>
      <c r="AT505" s="271"/>
      <c r="AU505" s="271"/>
      <c r="AV505" s="271"/>
      <c r="AW505" s="271"/>
      <c r="AX505" s="271"/>
      <c r="AY505" s="271"/>
    </row>
    <row r="506" spans="1:51" ht="15.75" customHeight="1" x14ac:dyDescent="0.25">
      <c r="A506" s="271"/>
      <c r="B506" s="534"/>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c r="AL506" s="271"/>
      <c r="AM506" s="271"/>
      <c r="AN506" s="271"/>
      <c r="AO506" s="271"/>
      <c r="AP506" s="271"/>
      <c r="AQ506" s="271"/>
      <c r="AR506" s="271"/>
      <c r="AS506" s="271"/>
      <c r="AT506" s="271"/>
      <c r="AU506" s="271"/>
      <c r="AV506" s="271"/>
      <c r="AW506" s="271"/>
      <c r="AX506" s="271"/>
      <c r="AY506" s="271"/>
    </row>
    <row r="507" spans="1:51" ht="15.75" customHeight="1" x14ac:dyDescent="0.25">
      <c r="A507" s="271"/>
      <c r="B507" s="534"/>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c r="AL507" s="271"/>
      <c r="AM507" s="271"/>
      <c r="AN507" s="271"/>
      <c r="AO507" s="271"/>
      <c r="AP507" s="271"/>
      <c r="AQ507" s="271"/>
      <c r="AR507" s="271"/>
      <c r="AS507" s="271"/>
      <c r="AT507" s="271"/>
      <c r="AU507" s="271"/>
      <c r="AV507" s="271"/>
      <c r="AW507" s="271"/>
      <c r="AX507" s="271"/>
      <c r="AY507" s="271"/>
    </row>
    <row r="508" spans="1:51" ht="15.75" customHeight="1" x14ac:dyDescent="0.25">
      <c r="A508" s="271"/>
      <c r="B508" s="534"/>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c r="AL508" s="271"/>
      <c r="AM508" s="271"/>
      <c r="AN508" s="271"/>
      <c r="AO508" s="271"/>
      <c r="AP508" s="271"/>
      <c r="AQ508" s="271"/>
      <c r="AR508" s="271"/>
      <c r="AS508" s="271"/>
      <c r="AT508" s="271"/>
      <c r="AU508" s="271"/>
      <c r="AV508" s="271"/>
      <c r="AW508" s="271"/>
      <c r="AX508" s="271"/>
      <c r="AY508" s="271"/>
    </row>
    <row r="509" spans="1:51" ht="15.75" customHeight="1" x14ac:dyDescent="0.25">
      <c r="A509" s="271"/>
      <c r="B509" s="534"/>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c r="AL509" s="271"/>
      <c r="AM509" s="271"/>
      <c r="AN509" s="271"/>
      <c r="AO509" s="271"/>
      <c r="AP509" s="271"/>
      <c r="AQ509" s="271"/>
      <c r="AR509" s="271"/>
      <c r="AS509" s="271"/>
      <c r="AT509" s="271"/>
      <c r="AU509" s="271"/>
      <c r="AV509" s="271"/>
      <c r="AW509" s="271"/>
      <c r="AX509" s="271"/>
      <c r="AY509" s="271"/>
    </row>
    <row r="510" spans="1:51" ht="15.75" customHeight="1" x14ac:dyDescent="0.25">
      <c r="A510" s="271"/>
      <c r="B510" s="534"/>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c r="AL510" s="271"/>
      <c r="AM510" s="271"/>
      <c r="AN510" s="271"/>
      <c r="AO510" s="271"/>
      <c r="AP510" s="271"/>
      <c r="AQ510" s="271"/>
      <c r="AR510" s="271"/>
      <c r="AS510" s="271"/>
      <c r="AT510" s="271"/>
      <c r="AU510" s="271"/>
      <c r="AV510" s="271"/>
      <c r="AW510" s="271"/>
      <c r="AX510" s="271"/>
      <c r="AY510" s="271"/>
    </row>
    <row r="511" spans="1:51" ht="15.75" customHeight="1" x14ac:dyDescent="0.25">
      <c r="A511" s="271"/>
      <c r="B511" s="534"/>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c r="AL511" s="271"/>
      <c r="AM511" s="271"/>
      <c r="AN511" s="271"/>
      <c r="AO511" s="271"/>
      <c r="AP511" s="271"/>
      <c r="AQ511" s="271"/>
      <c r="AR511" s="271"/>
      <c r="AS511" s="271"/>
      <c r="AT511" s="271"/>
      <c r="AU511" s="271"/>
      <c r="AV511" s="271"/>
      <c r="AW511" s="271"/>
      <c r="AX511" s="271"/>
      <c r="AY511" s="271"/>
    </row>
    <row r="512" spans="1:51" ht="15.75" customHeight="1" x14ac:dyDescent="0.25">
      <c r="A512" s="271"/>
      <c r="B512" s="534"/>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c r="AL512" s="271"/>
      <c r="AM512" s="271"/>
      <c r="AN512" s="271"/>
      <c r="AO512" s="271"/>
      <c r="AP512" s="271"/>
      <c r="AQ512" s="271"/>
      <c r="AR512" s="271"/>
      <c r="AS512" s="271"/>
      <c r="AT512" s="271"/>
      <c r="AU512" s="271"/>
      <c r="AV512" s="271"/>
      <c r="AW512" s="271"/>
      <c r="AX512" s="271"/>
      <c r="AY512" s="271"/>
    </row>
    <row r="513" spans="1:51" ht="15.75" customHeight="1" x14ac:dyDescent="0.25">
      <c r="A513" s="271"/>
      <c r="B513" s="534"/>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c r="AL513" s="271"/>
      <c r="AM513" s="271"/>
      <c r="AN513" s="271"/>
      <c r="AO513" s="271"/>
      <c r="AP513" s="271"/>
      <c r="AQ513" s="271"/>
      <c r="AR513" s="271"/>
      <c r="AS513" s="271"/>
      <c r="AT513" s="271"/>
      <c r="AU513" s="271"/>
      <c r="AV513" s="271"/>
      <c r="AW513" s="271"/>
      <c r="AX513" s="271"/>
      <c r="AY513" s="271"/>
    </row>
    <row r="514" spans="1:51" ht="15.75" customHeight="1" x14ac:dyDescent="0.25">
      <c r="A514" s="271"/>
      <c r="B514" s="534"/>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c r="AL514" s="271"/>
      <c r="AM514" s="271"/>
      <c r="AN514" s="271"/>
      <c r="AO514" s="271"/>
      <c r="AP514" s="271"/>
      <c r="AQ514" s="271"/>
      <c r="AR514" s="271"/>
      <c r="AS514" s="271"/>
      <c r="AT514" s="271"/>
      <c r="AU514" s="271"/>
      <c r="AV514" s="271"/>
      <c r="AW514" s="271"/>
      <c r="AX514" s="271"/>
      <c r="AY514" s="271"/>
    </row>
    <row r="515" spans="1:51" ht="15.75" customHeight="1" x14ac:dyDescent="0.25">
      <c r="A515" s="271"/>
      <c r="B515" s="534"/>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c r="AL515" s="271"/>
      <c r="AM515" s="271"/>
      <c r="AN515" s="271"/>
      <c r="AO515" s="271"/>
      <c r="AP515" s="271"/>
      <c r="AQ515" s="271"/>
      <c r="AR515" s="271"/>
      <c r="AS515" s="271"/>
      <c r="AT515" s="271"/>
      <c r="AU515" s="271"/>
      <c r="AV515" s="271"/>
      <c r="AW515" s="271"/>
      <c r="AX515" s="271"/>
      <c r="AY515" s="271"/>
    </row>
    <row r="516" spans="1:51" ht="15.75" customHeight="1" x14ac:dyDescent="0.25">
      <c r="A516" s="271"/>
      <c r="B516" s="534"/>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c r="AL516" s="271"/>
      <c r="AM516" s="271"/>
      <c r="AN516" s="271"/>
      <c r="AO516" s="271"/>
      <c r="AP516" s="271"/>
      <c r="AQ516" s="271"/>
      <c r="AR516" s="271"/>
      <c r="AS516" s="271"/>
      <c r="AT516" s="271"/>
      <c r="AU516" s="271"/>
      <c r="AV516" s="271"/>
      <c r="AW516" s="271"/>
      <c r="AX516" s="271"/>
      <c r="AY516" s="271"/>
    </row>
    <row r="517" spans="1:51" ht="15.75" customHeight="1" x14ac:dyDescent="0.25">
      <c r="A517" s="271"/>
      <c r="B517" s="534"/>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c r="AL517" s="271"/>
      <c r="AM517" s="271"/>
      <c r="AN517" s="271"/>
      <c r="AO517" s="271"/>
      <c r="AP517" s="271"/>
      <c r="AQ517" s="271"/>
      <c r="AR517" s="271"/>
      <c r="AS517" s="271"/>
      <c r="AT517" s="271"/>
      <c r="AU517" s="271"/>
      <c r="AV517" s="271"/>
      <c r="AW517" s="271"/>
      <c r="AX517" s="271"/>
      <c r="AY517" s="271"/>
    </row>
    <row r="518" spans="1:51" ht="15.75" customHeight="1" x14ac:dyDescent="0.25">
      <c r="A518" s="271"/>
      <c r="B518" s="534"/>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c r="AL518" s="271"/>
      <c r="AM518" s="271"/>
      <c r="AN518" s="271"/>
      <c r="AO518" s="271"/>
      <c r="AP518" s="271"/>
      <c r="AQ518" s="271"/>
      <c r="AR518" s="271"/>
      <c r="AS518" s="271"/>
      <c r="AT518" s="271"/>
      <c r="AU518" s="271"/>
      <c r="AV518" s="271"/>
      <c r="AW518" s="271"/>
      <c r="AX518" s="271"/>
      <c r="AY518" s="271"/>
    </row>
    <row r="519" spans="1:51" ht="15.75" customHeight="1" x14ac:dyDescent="0.25">
      <c r="A519" s="271"/>
      <c r="B519" s="534"/>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c r="AL519" s="271"/>
      <c r="AM519" s="271"/>
      <c r="AN519" s="271"/>
      <c r="AO519" s="271"/>
      <c r="AP519" s="271"/>
      <c r="AQ519" s="271"/>
      <c r="AR519" s="271"/>
      <c r="AS519" s="271"/>
      <c r="AT519" s="271"/>
      <c r="AU519" s="271"/>
      <c r="AV519" s="271"/>
      <c r="AW519" s="271"/>
      <c r="AX519" s="271"/>
      <c r="AY519" s="271"/>
    </row>
    <row r="520" spans="1:51" ht="15.75" customHeight="1" x14ac:dyDescent="0.25">
      <c r="A520" s="271"/>
      <c r="B520" s="534"/>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c r="AL520" s="271"/>
      <c r="AM520" s="271"/>
      <c r="AN520" s="271"/>
      <c r="AO520" s="271"/>
      <c r="AP520" s="271"/>
      <c r="AQ520" s="271"/>
      <c r="AR520" s="271"/>
      <c r="AS520" s="271"/>
      <c r="AT520" s="271"/>
      <c r="AU520" s="271"/>
      <c r="AV520" s="271"/>
      <c r="AW520" s="271"/>
      <c r="AX520" s="271"/>
      <c r="AY520" s="271"/>
    </row>
    <row r="521" spans="1:51" ht="15.75" customHeight="1" x14ac:dyDescent="0.25">
      <c r="A521" s="271"/>
      <c r="B521" s="534"/>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c r="AL521" s="271"/>
      <c r="AM521" s="271"/>
      <c r="AN521" s="271"/>
      <c r="AO521" s="271"/>
      <c r="AP521" s="271"/>
      <c r="AQ521" s="271"/>
      <c r="AR521" s="271"/>
      <c r="AS521" s="271"/>
      <c r="AT521" s="271"/>
      <c r="AU521" s="271"/>
      <c r="AV521" s="271"/>
      <c r="AW521" s="271"/>
      <c r="AX521" s="271"/>
      <c r="AY521" s="271"/>
    </row>
    <row r="522" spans="1:51" ht="15.75" customHeight="1" x14ac:dyDescent="0.25">
      <c r="A522" s="271"/>
      <c r="B522" s="534"/>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c r="AL522" s="271"/>
      <c r="AM522" s="271"/>
      <c r="AN522" s="271"/>
      <c r="AO522" s="271"/>
      <c r="AP522" s="271"/>
      <c r="AQ522" s="271"/>
      <c r="AR522" s="271"/>
      <c r="AS522" s="271"/>
      <c r="AT522" s="271"/>
      <c r="AU522" s="271"/>
      <c r="AV522" s="271"/>
      <c r="AW522" s="271"/>
      <c r="AX522" s="271"/>
      <c r="AY522" s="271"/>
    </row>
    <row r="523" spans="1:51" ht="15.75" customHeight="1" x14ac:dyDescent="0.25">
      <c r="A523" s="271"/>
      <c r="B523" s="534"/>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c r="AL523" s="271"/>
      <c r="AM523" s="271"/>
      <c r="AN523" s="271"/>
      <c r="AO523" s="271"/>
      <c r="AP523" s="271"/>
      <c r="AQ523" s="271"/>
      <c r="AR523" s="271"/>
      <c r="AS523" s="271"/>
      <c r="AT523" s="271"/>
      <c r="AU523" s="271"/>
      <c r="AV523" s="271"/>
      <c r="AW523" s="271"/>
      <c r="AX523" s="271"/>
      <c r="AY523" s="271"/>
    </row>
    <row r="524" spans="1:51" ht="15.75" customHeight="1" x14ac:dyDescent="0.25">
      <c r="A524" s="271"/>
      <c r="B524" s="534"/>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c r="AL524" s="271"/>
      <c r="AM524" s="271"/>
      <c r="AN524" s="271"/>
      <c r="AO524" s="271"/>
      <c r="AP524" s="271"/>
      <c r="AQ524" s="271"/>
      <c r="AR524" s="271"/>
      <c r="AS524" s="271"/>
      <c r="AT524" s="271"/>
      <c r="AU524" s="271"/>
      <c r="AV524" s="271"/>
      <c r="AW524" s="271"/>
      <c r="AX524" s="271"/>
      <c r="AY524" s="271"/>
    </row>
    <row r="525" spans="1:51" ht="15.75" customHeight="1" x14ac:dyDescent="0.25">
      <c r="A525" s="271"/>
      <c r="B525" s="534"/>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c r="AL525" s="271"/>
      <c r="AM525" s="271"/>
      <c r="AN525" s="271"/>
      <c r="AO525" s="271"/>
      <c r="AP525" s="271"/>
      <c r="AQ525" s="271"/>
      <c r="AR525" s="271"/>
      <c r="AS525" s="271"/>
      <c r="AT525" s="271"/>
      <c r="AU525" s="271"/>
      <c r="AV525" s="271"/>
      <c r="AW525" s="271"/>
      <c r="AX525" s="271"/>
      <c r="AY525" s="271"/>
    </row>
    <row r="526" spans="1:51" ht="15.75" customHeight="1" x14ac:dyDescent="0.25">
      <c r="A526" s="271"/>
      <c r="B526" s="534"/>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c r="AL526" s="271"/>
      <c r="AM526" s="271"/>
      <c r="AN526" s="271"/>
      <c r="AO526" s="271"/>
      <c r="AP526" s="271"/>
      <c r="AQ526" s="271"/>
      <c r="AR526" s="271"/>
      <c r="AS526" s="271"/>
      <c r="AT526" s="271"/>
      <c r="AU526" s="271"/>
      <c r="AV526" s="271"/>
      <c r="AW526" s="271"/>
      <c r="AX526" s="271"/>
      <c r="AY526" s="271"/>
    </row>
    <row r="527" spans="1:51" ht="15.75" customHeight="1" x14ac:dyDescent="0.25">
      <c r="A527" s="271"/>
      <c r="B527" s="534"/>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c r="AL527" s="271"/>
      <c r="AM527" s="271"/>
      <c r="AN527" s="271"/>
      <c r="AO527" s="271"/>
      <c r="AP527" s="271"/>
      <c r="AQ527" s="271"/>
      <c r="AR527" s="271"/>
      <c r="AS527" s="271"/>
      <c r="AT527" s="271"/>
      <c r="AU527" s="271"/>
      <c r="AV527" s="271"/>
      <c r="AW527" s="271"/>
      <c r="AX527" s="271"/>
      <c r="AY527" s="271"/>
    </row>
    <row r="528" spans="1:51" ht="15.75" customHeight="1" x14ac:dyDescent="0.25">
      <c r="A528" s="271"/>
      <c r="B528" s="534"/>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c r="AL528" s="271"/>
      <c r="AM528" s="271"/>
      <c r="AN528" s="271"/>
      <c r="AO528" s="271"/>
      <c r="AP528" s="271"/>
      <c r="AQ528" s="271"/>
      <c r="AR528" s="271"/>
      <c r="AS528" s="271"/>
      <c r="AT528" s="271"/>
      <c r="AU528" s="271"/>
      <c r="AV528" s="271"/>
      <c r="AW528" s="271"/>
      <c r="AX528" s="271"/>
      <c r="AY528" s="271"/>
    </row>
    <row r="529" spans="1:51" ht="15.75" customHeight="1" x14ac:dyDescent="0.25">
      <c r="A529" s="271"/>
      <c r="B529" s="534"/>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c r="AL529" s="271"/>
      <c r="AM529" s="271"/>
      <c r="AN529" s="271"/>
      <c r="AO529" s="271"/>
      <c r="AP529" s="271"/>
      <c r="AQ529" s="271"/>
      <c r="AR529" s="271"/>
      <c r="AS529" s="271"/>
      <c r="AT529" s="271"/>
      <c r="AU529" s="271"/>
      <c r="AV529" s="271"/>
      <c r="AW529" s="271"/>
      <c r="AX529" s="271"/>
      <c r="AY529" s="271"/>
    </row>
    <row r="530" spans="1:51" ht="15.75" customHeight="1" x14ac:dyDescent="0.25">
      <c r="A530" s="271"/>
      <c r="B530" s="534"/>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c r="AL530" s="271"/>
      <c r="AM530" s="271"/>
      <c r="AN530" s="271"/>
      <c r="AO530" s="271"/>
      <c r="AP530" s="271"/>
      <c r="AQ530" s="271"/>
      <c r="AR530" s="271"/>
      <c r="AS530" s="271"/>
      <c r="AT530" s="271"/>
      <c r="AU530" s="271"/>
      <c r="AV530" s="271"/>
      <c r="AW530" s="271"/>
      <c r="AX530" s="271"/>
      <c r="AY530" s="271"/>
    </row>
    <row r="531" spans="1:51" ht="15.75" customHeight="1" x14ac:dyDescent="0.25">
      <c r="A531" s="271"/>
      <c r="B531" s="534"/>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c r="AL531" s="271"/>
      <c r="AM531" s="271"/>
      <c r="AN531" s="271"/>
      <c r="AO531" s="271"/>
      <c r="AP531" s="271"/>
      <c r="AQ531" s="271"/>
      <c r="AR531" s="271"/>
      <c r="AS531" s="271"/>
      <c r="AT531" s="271"/>
      <c r="AU531" s="271"/>
      <c r="AV531" s="271"/>
      <c r="AW531" s="271"/>
      <c r="AX531" s="271"/>
      <c r="AY531" s="271"/>
    </row>
    <row r="532" spans="1:51" ht="15.75" customHeight="1" x14ac:dyDescent="0.25">
      <c r="A532" s="271"/>
      <c r="B532" s="534"/>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c r="AL532" s="271"/>
      <c r="AM532" s="271"/>
      <c r="AN532" s="271"/>
      <c r="AO532" s="271"/>
      <c r="AP532" s="271"/>
      <c r="AQ532" s="271"/>
      <c r="AR532" s="271"/>
      <c r="AS532" s="271"/>
      <c r="AT532" s="271"/>
      <c r="AU532" s="271"/>
      <c r="AV532" s="271"/>
      <c r="AW532" s="271"/>
      <c r="AX532" s="271"/>
      <c r="AY532" s="271"/>
    </row>
    <row r="533" spans="1:51" ht="15.75" customHeight="1" x14ac:dyDescent="0.25">
      <c r="A533" s="271"/>
      <c r="B533" s="534"/>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c r="AL533" s="271"/>
      <c r="AM533" s="271"/>
      <c r="AN533" s="271"/>
      <c r="AO533" s="271"/>
      <c r="AP533" s="271"/>
      <c r="AQ533" s="271"/>
      <c r="AR533" s="271"/>
      <c r="AS533" s="271"/>
      <c r="AT533" s="271"/>
      <c r="AU533" s="271"/>
      <c r="AV533" s="271"/>
      <c r="AW533" s="271"/>
      <c r="AX533" s="271"/>
      <c r="AY533" s="271"/>
    </row>
    <row r="534" spans="1:51" ht="15.75" customHeight="1" x14ac:dyDescent="0.25">
      <c r="A534" s="271"/>
      <c r="B534" s="534"/>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c r="AL534" s="271"/>
      <c r="AM534" s="271"/>
      <c r="AN534" s="271"/>
      <c r="AO534" s="271"/>
      <c r="AP534" s="271"/>
      <c r="AQ534" s="271"/>
      <c r="AR534" s="271"/>
      <c r="AS534" s="271"/>
      <c r="AT534" s="271"/>
      <c r="AU534" s="271"/>
      <c r="AV534" s="271"/>
      <c r="AW534" s="271"/>
      <c r="AX534" s="271"/>
      <c r="AY534" s="271"/>
    </row>
    <row r="535" spans="1:51" ht="15.75" customHeight="1" x14ac:dyDescent="0.25">
      <c r="A535" s="271"/>
      <c r="B535" s="534"/>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c r="AL535" s="271"/>
      <c r="AM535" s="271"/>
      <c r="AN535" s="271"/>
      <c r="AO535" s="271"/>
      <c r="AP535" s="271"/>
      <c r="AQ535" s="271"/>
      <c r="AR535" s="271"/>
      <c r="AS535" s="271"/>
      <c r="AT535" s="271"/>
      <c r="AU535" s="271"/>
      <c r="AV535" s="271"/>
      <c r="AW535" s="271"/>
      <c r="AX535" s="271"/>
      <c r="AY535" s="271"/>
    </row>
    <row r="536" spans="1:51" ht="15.75" customHeight="1" x14ac:dyDescent="0.25">
      <c r="A536" s="271"/>
      <c r="B536" s="534"/>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c r="AL536" s="271"/>
      <c r="AM536" s="271"/>
      <c r="AN536" s="271"/>
      <c r="AO536" s="271"/>
      <c r="AP536" s="271"/>
      <c r="AQ536" s="271"/>
      <c r="AR536" s="271"/>
      <c r="AS536" s="271"/>
      <c r="AT536" s="271"/>
      <c r="AU536" s="271"/>
      <c r="AV536" s="271"/>
      <c r="AW536" s="271"/>
      <c r="AX536" s="271"/>
      <c r="AY536" s="271"/>
    </row>
    <row r="537" spans="1:51" ht="15.75" customHeight="1" x14ac:dyDescent="0.25">
      <c r="A537" s="271"/>
      <c r="B537" s="534"/>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c r="AL537" s="271"/>
      <c r="AM537" s="271"/>
      <c r="AN537" s="271"/>
      <c r="AO537" s="271"/>
      <c r="AP537" s="271"/>
      <c r="AQ537" s="271"/>
      <c r="AR537" s="271"/>
      <c r="AS537" s="271"/>
      <c r="AT537" s="271"/>
      <c r="AU537" s="271"/>
      <c r="AV537" s="271"/>
      <c r="AW537" s="271"/>
      <c r="AX537" s="271"/>
      <c r="AY537" s="271"/>
    </row>
    <row r="538" spans="1:51" ht="15.75" customHeight="1" x14ac:dyDescent="0.25">
      <c r="A538" s="271"/>
      <c r="B538" s="534"/>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c r="AL538" s="271"/>
      <c r="AM538" s="271"/>
      <c r="AN538" s="271"/>
      <c r="AO538" s="271"/>
      <c r="AP538" s="271"/>
      <c r="AQ538" s="271"/>
      <c r="AR538" s="271"/>
      <c r="AS538" s="271"/>
      <c r="AT538" s="271"/>
      <c r="AU538" s="271"/>
      <c r="AV538" s="271"/>
      <c r="AW538" s="271"/>
      <c r="AX538" s="271"/>
      <c r="AY538" s="271"/>
    </row>
    <row r="539" spans="1:51" ht="15.75" customHeight="1" x14ac:dyDescent="0.25">
      <c r="A539" s="271"/>
      <c r="B539" s="534"/>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c r="AL539" s="271"/>
      <c r="AM539" s="271"/>
      <c r="AN539" s="271"/>
      <c r="AO539" s="271"/>
      <c r="AP539" s="271"/>
      <c r="AQ539" s="271"/>
      <c r="AR539" s="271"/>
      <c r="AS539" s="271"/>
      <c r="AT539" s="271"/>
      <c r="AU539" s="271"/>
      <c r="AV539" s="271"/>
      <c r="AW539" s="271"/>
      <c r="AX539" s="271"/>
      <c r="AY539" s="271"/>
    </row>
    <row r="540" spans="1:51" ht="15.75" customHeight="1" x14ac:dyDescent="0.25">
      <c r="A540" s="271"/>
      <c r="B540" s="534"/>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c r="AL540" s="271"/>
      <c r="AM540" s="271"/>
      <c r="AN540" s="271"/>
      <c r="AO540" s="271"/>
      <c r="AP540" s="271"/>
      <c r="AQ540" s="271"/>
      <c r="AR540" s="271"/>
      <c r="AS540" s="271"/>
      <c r="AT540" s="271"/>
      <c r="AU540" s="271"/>
      <c r="AV540" s="271"/>
      <c r="AW540" s="271"/>
      <c r="AX540" s="271"/>
      <c r="AY540" s="271"/>
    </row>
    <row r="541" spans="1:51" ht="15.75" customHeight="1" x14ac:dyDescent="0.25">
      <c r="A541" s="271"/>
      <c r="B541" s="534"/>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c r="AL541" s="271"/>
      <c r="AM541" s="271"/>
      <c r="AN541" s="271"/>
      <c r="AO541" s="271"/>
      <c r="AP541" s="271"/>
      <c r="AQ541" s="271"/>
      <c r="AR541" s="271"/>
      <c r="AS541" s="271"/>
      <c r="AT541" s="271"/>
      <c r="AU541" s="271"/>
      <c r="AV541" s="271"/>
      <c r="AW541" s="271"/>
      <c r="AX541" s="271"/>
      <c r="AY541" s="271"/>
    </row>
    <row r="542" spans="1:51" ht="15.75" customHeight="1" x14ac:dyDescent="0.25">
      <c r="A542" s="271"/>
      <c r="B542" s="534"/>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c r="AL542" s="271"/>
      <c r="AM542" s="271"/>
      <c r="AN542" s="271"/>
      <c r="AO542" s="271"/>
      <c r="AP542" s="271"/>
      <c r="AQ542" s="271"/>
      <c r="AR542" s="271"/>
      <c r="AS542" s="271"/>
      <c r="AT542" s="271"/>
      <c r="AU542" s="271"/>
      <c r="AV542" s="271"/>
      <c r="AW542" s="271"/>
      <c r="AX542" s="271"/>
      <c r="AY542" s="271"/>
    </row>
    <row r="543" spans="1:51" ht="15.75" customHeight="1" x14ac:dyDescent="0.25">
      <c r="A543" s="271"/>
      <c r="B543" s="534"/>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c r="AL543" s="271"/>
      <c r="AM543" s="271"/>
      <c r="AN543" s="271"/>
      <c r="AO543" s="271"/>
      <c r="AP543" s="271"/>
      <c r="AQ543" s="271"/>
      <c r="AR543" s="271"/>
      <c r="AS543" s="271"/>
      <c r="AT543" s="271"/>
      <c r="AU543" s="271"/>
      <c r="AV543" s="271"/>
      <c r="AW543" s="271"/>
      <c r="AX543" s="271"/>
      <c r="AY543" s="271"/>
    </row>
    <row r="544" spans="1:51" ht="15.75" customHeight="1" x14ac:dyDescent="0.25">
      <c r="A544" s="271"/>
      <c r="B544" s="534"/>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c r="AL544" s="271"/>
      <c r="AM544" s="271"/>
      <c r="AN544" s="271"/>
      <c r="AO544" s="271"/>
      <c r="AP544" s="271"/>
      <c r="AQ544" s="271"/>
      <c r="AR544" s="271"/>
      <c r="AS544" s="271"/>
      <c r="AT544" s="271"/>
      <c r="AU544" s="271"/>
      <c r="AV544" s="271"/>
      <c r="AW544" s="271"/>
      <c r="AX544" s="271"/>
      <c r="AY544" s="271"/>
    </row>
    <row r="545" spans="1:51" ht="15.75" customHeight="1" x14ac:dyDescent="0.25">
      <c r="A545" s="271"/>
      <c r="B545" s="534"/>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c r="AL545" s="271"/>
      <c r="AM545" s="271"/>
      <c r="AN545" s="271"/>
      <c r="AO545" s="271"/>
      <c r="AP545" s="271"/>
      <c r="AQ545" s="271"/>
      <c r="AR545" s="271"/>
      <c r="AS545" s="271"/>
      <c r="AT545" s="271"/>
      <c r="AU545" s="271"/>
      <c r="AV545" s="271"/>
      <c r="AW545" s="271"/>
      <c r="AX545" s="271"/>
      <c r="AY545" s="271"/>
    </row>
    <row r="546" spans="1:51" ht="15.75" customHeight="1" x14ac:dyDescent="0.25">
      <c r="A546" s="271"/>
      <c r="B546" s="534"/>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c r="AL546" s="271"/>
      <c r="AM546" s="271"/>
      <c r="AN546" s="271"/>
      <c r="AO546" s="271"/>
      <c r="AP546" s="271"/>
      <c r="AQ546" s="271"/>
      <c r="AR546" s="271"/>
      <c r="AS546" s="271"/>
      <c r="AT546" s="271"/>
      <c r="AU546" s="271"/>
      <c r="AV546" s="271"/>
      <c r="AW546" s="271"/>
      <c r="AX546" s="271"/>
      <c r="AY546" s="271"/>
    </row>
    <row r="547" spans="1:51" ht="15.75" customHeight="1" x14ac:dyDescent="0.25">
      <c r="A547" s="271"/>
      <c r="B547" s="534"/>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c r="AL547" s="271"/>
      <c r="AM547" s="271"/>
      <c r="AN547" s="271"/>
      <c r="AO547" s="271"/>
      <c r="AP547" s="271"/>
      <c r="AQ547" s="271"/>
      <c r="AR547" s="271"/>
      <c r="AS547" s="271"/>
      <c r="AT547" s="271"/>
      <c r="AU547" s="271"/>
      <c r="AV547" s="271"/>
      <c r="AW547" s="271"/>
      <c r="AX547" s="271"/>
      <c r="AY547" s="271"/>
    </row>
    <row r="548" spans="1:51" ht="15.75" customHeight="1" x14ac:dyDescent="0.25">
      <c r="A548" s="271"/>
      <c r="B548" s="534"/>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c r="AL548" s="271"/>
      <c r="AM548" s="271"/>
      <c r="AN548" s="271"/>
      <c r="AO548" s="271"/>
      <c r="AP548" s="271"/>
      <c r="AQ548" s="271"/>
      <c r="AR548" s="271"/>
      <c r="AS548" s="271"/>
      <c r="AT548" s="271"/>
      <c r="AU548" s="271"/>
      <c r="AV548" s="271"/>
      <c r="AW548" s="271"/>
      <c r="AX548" s="271"/>
      <c r="AY548" s="271"/>
    </row>
    <row r="549" spans="1:51" ht="15.75" customHeight="1" x14ac:dyDescent="0.25">
      <c r="A549" s="271"/>
      <c r="B549" s="534"/>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c r="AL549" s="271"/>
      <c r="AM549" s="271"/>
      <c r="AN549" s="271"/>
      <c r="AO549" s="271"/>
      <c r="AP549" s="271"/>
      <c r="AQ549" s="271"/>
      <c r="AR549" s="271"/>
      <c r="AS549" s="271"/>
      <c r="AT549" s="271"/>
      <c r="AU549" s="271"/>
      <c r="AV549" s="271"/>
      <c r="AW549" s="271"/>
      <c r="AX549" s="271"/>
      <c r="AY549" s="271"/>
    </row>
    <row r="550" spans="1:51" ht="15.75" customHeight="1" x14ac:dyDescent="0.25">
      <c r="A550" s="271"/>
      <c r="B550" s="534"/>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c r="AL550" s="271"/>
      <c r="AM550" s="271"/>
      <c r="AN550" s="271"/>
      <c r="AO550" s="271"/>
      <c r="AP550" s="271"/>
      <c r="AQ550" s="271"/>
      <c r="AR550" s="271"/>
      <c r="AS550" s="271"/>
      <c r="AT550" s="271"/>
      <c r="AU550" s="271"/>
      <c r="AV550" s="271"/>
      <c r="AW550" s="271"/>
      <c r="AX550" s="271"/>
      <c r="AY550" s="271"/>
    </row>
    <row r="551" spans="1:51" ht="15.75" customHeight="1" x14ac:dyDescent="0.25">
      <c r="A551" s="271"/>
      <c r="B551" s="534"/>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c r="AL551" s="271"/>
      <c r="AM551" s="271"/>
      <c r="AN551" s="271"/>
      <c r="AO551" s="271"/>
      <c r="AP551" s="271"/>
      <c r="AQ551" s="271"/>
      <c r="AR551" s="271"/>
      <c r="AS551" s="271"/>
      <c r="AT551" s="271"/>
      <c r="AU551" s="271"/>
      <c r="AV551" s="271"/>
      <c r="AW551" s="271"/>
      <c r="AX551" s="271"/>
      <c r="AY551" s="271"/>
    </row>
    <row r="552" spans="1:51" ht="15.75" customHeight="1" x14ac:dyDescent="0.25">
      <c r="A552" s="271"/>
      <c r="B552" s="534"/>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c r="AL552" s="271"/>
      <c r="AM552" s="271"/>
      <c r="AN552" s="271"/>
      <c r="AO552" s="271"/>
      <c r="AP552" s="271"/>
      <c r="AQ552" s="271"/>
      <c r="AR552" s="271"/>
      <c r="AS552" s="271"/>
      <c r="AT552" s="271"/>
      <c r="AU552" s="271"/>
      <c r="AV552" s="271"/>
      <c r="AW552" s="271"/>
      <c r="AX552" s="271"/>
      <c r="AY552" s="271"/>
    </row>
    <row r="553" spans="1:51" ht="15.75" customHeight="1" x14ac:dyDescent="0.25">
      <c r="A553" s="271"/>
      <c r="B553" s="534"/>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c r="AL553" s="271"/>
      <c r="AM553" s="271"/>
      <c r="AN553" s="271"/>
      <c r="AO553" s="271"/>
      <c r="AP553" s="271"/>
      <c r="AQ553" s="271"/>
      <c r="AR553" s="271"/>
      <c r="AS553" s="271"/>
      <c r="AT553" s="271"/>
      <c r="AU553" s="271"/>
      <c r="AV553" s="271"/>
      <c r="AW553" s="271"/>
      <c r="AX553" s="271"/>
      <c r="AY553" s="271"/>
    </row>
    <row r="554" spans="1:51" ht="15.75" customHeight="1" x14ac:dyDescent="0.25">
      <c r="A554" s="271"/>
      <c r="B554" s="534"/>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c r="AL554" s="271"/>
      <c r="AM554" s="271"/>
      <c r="AN554" s="271"/>
      <c r="AO554" s="271"/>
      <c r="AP554" s="271"/>
      <c r="AQ554" s="271"/>
      <c r="AR554" s="271"/>
      <c r="AS554" s="271"/>
      <c r="AT554" s="271"/>
      <c r="AU554" s="271"/>
      <c r="AV554" s="271"/>
      <c r="AW554" s="271"/>
      <c r="AX554" s="271"/>
      <c r="AY554" s="271"/>
    </row>
    <row r="555" spans="1:51" ht="15.75" customHeight="1" x14ac:dyDescent="0.25">
      <c r="A555" s="271"/>
      <c r="B555" s="534"/>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c r="AL555" s="271"/>
      <c r="AM555" s="271"/>
      <c r="AN555" s="271"/>
      <c r="AO555" s="271"/>
      <c r="AP555" s="271"/>
      <c r="AQ555" s="271"/>
      <c r="AR555" s="271"/>
      <c r="AS555" s="271"/>
      <c r="AT555" s="271"/>
      <c r="AU555" s="271"/>
      <c r="AV555" s="271"/>
      <c r="AW555" s="271"/>
      <c r="AX555" s="271"/>
      <c r="AY555" s="271"/>
    </row>
    <row r="556" spans="1:51" ht="15.75" customHeight="1" x14ac:dyDescent="0.25">
      <c r="A556" s="271"/>
      <c r="B556" s="534"/>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c r="AL556" s="271"/>
      <c r="AM556" s="271"/>
      <c r="AN556" s="271"/>
      <c r="AO556" s="271"/>
      <c r="AP556" s="271"/>
      <c r="AQ556" s="271"/>
      <c r="AR556" s="271"/>
      <c r="AS556" s="271"/>
      <c r="AT556" s="271"/>
      <c r="AU556" s="271"/>
      <c r="AV556" s="271"/>
      <c r="AW556" s="271"/>
      <c r="AX556" s="271"/>
      <c r="AY556" s="271"/>
    </row>
    <row r="557" spans="1:51" ht="15.75" customHeight="1" x14ac:dyDescent="0.25">
      <c r="A557" s="271"/>
      <c r="B557" s="534"/>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c r="AL557" s="271"/>
      <c r="AM557" s="271"/>
      <c r="AN557" s="271"/>
      <c r="AO557" s="271"/>
      <c r="AP557" s="271"/>
      <c r="AQ557" s="271"/>
      <c r="AR557" s="271"/>
      <c r="AS557" s="271"/>
      <c r="AT557" s="271"/>
      <c r="AU557" s="271"/>
      <c r="AV557" s="271"/>
      <c r="AW557" s="271"/>
      <c r="AX557" s="271"/>
      <c r="AY557" s="271"/>
    </row>
    <row r="558" spans="1:51" ht="15.75" customHeight="1" x14ac:dyDescent="0.25">
      <c r="A558" s="271"/>
      <c r="B558" s="534"/>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c r="AL558" s="271"/>
      <c r="AM558" s="271"/>
      <c r="AN558" s="271"/>
      <c r="AO558" s="271"/>
      <c r="AP558" s="271"/>
      <c r="AQ558" s="271"/>
      <c r="AR558" s="271"/>
      <c r="AS558" s="271"/>
      <c r="AT558" s="271"/>
      <c r="AU558" s="271"/>
      <c r="AV558" s="271"/>
      <c r="AW558" s="271"/>
      <c r="AX558" s="271"/>
      <c r="AY558" s="271"/>
    </row>
    <row r="559" spans="1:51" ht="15.75" customHeight="1" x14ac:dyDescent="0.25">
      <c r="A559" s="271"/>
      <c r="B559" s="534"/>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c r="AL559" s="271"/>
      <c r="AM559" s="271"/>
      <c r="AN559" s="271"/>
      <c r="AO559" s="271"/>
      <c r="AP559" s="271"/>
      <c r="AQ559" s="271"/>
      <c r="AR559" s="271"/>
      <c r="AS559" s="271"/>
      <c r="AT559" s="271"/>
      <c r="AU559" s="271"/>
      <c r="AV559" s="271"/>
      <c r="AW559" s="271"/>
      <c r="AX559" s="271"/>
      <c r="AY559" s="271"/>
    </row>
    <row r="560" spans="1:51" ht="15.75" customHeight="1" x14ac:dyDescent="0.25">
      <c r="A560" s="271"/>
      <c r="B560" s="534"/>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c r="AL560" s="271"/>
      <c r="AM560" s="271"/>
      <c r="AN560" s="271"/>
      <c r="AO560" s="271"/>
      <c r="AP560" s="271"/>
      <c r="AQ560" s="271"/>
      <c r="AR560" s="271"/>
      <c r="AS560" s="271"/>
      <c r="AT560" s="271"/>
      <c r="AU560" s="271"/>
      <c r="AV560" s="271"/>
      <c r="AW560" s="271"/>
      <c r="AX560" s="271"/>
      <c r="AY560" s="271"/>
    </row>
    <row r="561" spans="1:51" ht="15.75" customHeight="1" x14ac:dyDescent="0.25">
      <c r="A561" s="271"/>
      <c r="B561" s="534"/>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c r="AL561" s="271"/>
      <c r="AM561" s="271"/>
      <c r="AN561" s="271"/>
      <c r="AO561" s="271"/>
      <c r="AP561" s="271"/>
      <c r="AQ561" s="271"/>
      <c r="AR561" s="271"/>
      <c r="AS561" s="271"/>
      <c r="AT561" s="271"/>
      <c r="AU561" s="271"/>
      <c r="AV561" s="271"/>
      <c r="AW561" s="271"/>
      <c r="AX561" s="271"/>
      <c r="AY561" s="271"/>
    </row>
    <row r="562" spans="1:51" ht="15.75" customHeight="1" x14ac:dyDescent="0.25">
      <c r="A562" s="271"/>
      <c r="B562" s="534"/>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c r="AL562" s="271"/>
      <c r="AM562" s="271"/>
      <c r="AN562" s="271"/>
      <c r="AO562" s="271"/>
      <c r="AP562" s="271"/>
      <c r="AQ562" s="271"/>
      <c r="AR562" s="271"/>
      <c r="AS562" s="271"/>
      <c r="AT562" s="271"/>
      <c r="AU562" s="271"/>
      <c r="AV562" s="271"/>
      <c r="AW562" s="271"/>
      <c r="AX562" s="271"/>
      <c r="AY562" s="271"/>
    </row>
    <row r="563" spans="1:51" ht="15.75" customHeight="1" x14ac:dyDescent="0.25">
      <c r="A563" s="271"/>
      <c r="B563" s="534"/>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c r="AL563" s="271"/>
      <c r="AM563" s="271"/>
      <c r="AN563" s="271"/>
      <c r="AO563" s="271"/>
      <c r="AP563" s="271"/>
      <c r="AQ563" s="271"/>
      <c r="AR563" s="271"/>
      <c r="AS563" s="271"/>
      <c r="AT563" s="271"/>
      <c r="AU563" s="271"/>
      <c r="AV563" s="271"/>
      <c r="AW563" s="271"/>
      <c r="AX563" s="271"/>
      <c r="AY563" s="271"/>
    </row>
    <row r="564" spans="1:51" ht="15.75" customHeight="1" x14ac:dyDescent="0.25">
      <c r="A564" s="271"/>
      <c r="B564" s="534"/>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c r="AL564" s="271"/>
      <c r="AM564" s="271"/>
      <c r="AN564" s="271"/>
      <c r="AO564" s="271"/>
      <c r="AP564" s="271"/>
      <c r="AQ564" s="271"/>
      <c r="AR564" s="271"/>
      <c r="AS564" s="271"/>
      <c r="AT564" s="271"/>
      <c r="AU564" s="271"/>
      <c r="AV564" s="271"/>
      <c r="AW564" s="271"/>
      <c r="AX564" s="271"/>
      <c r="AY564" s="271"/>
    </row>
    <row r="565" spans="1:51" ht="15.75" customHeight="1" x14ac:dyDescent="0.25">
      <c r="A565" s="271"/>
      <c r="B565" s="534"/>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c r="AL565" s="271"/>
      <c r="AM565" s="271"/>
      <c r="AN565" s="271"/>
      <c r="AO565" s="271"/>
      <c r="AP565" s="271"/>
      <c r="AQ565" s="271"/>
      <c r="AR565" s="271"/>
      <c r="AS565" s="271"/>
      <c r="AT565" s="271"/>
      <c r="AU565" s="271"/>
      <c r="AV565" s="271"/>
      <c r="AW565" s="271"/>
      <c r="AX565" s="271"/>
      <c r="AY565" s="271"/>
    </row>
    <row r="566" spans="1:51" ht="15.75" customHeight="1" x14ac:dyDescent="0.25">
      <c r="A566" s="271"/>
      <c r="B566" s="534"/>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c r="AL566" s="271"/>
      <c r="AM566" s="271"/>
      <c r="AN566" s="271"/>
      <c r="AO566" s="271"/>
      <c r="AP566" s="271"/>
      <c r="AQ566" s="271"/>
      <c r="AR566" s="271"/>
      <c r="AS566" s="271"/>
      <c r="AT566" s="271"/>
      <c r="AU566" s="271"/>
      <c r="AV566" s="271"/>
      <c r="AW566" s="271"/>
      <c r="AX566" s="271"/>
      <c r="AY566" s="271"/>
    </row>
    <row r="567" spans="1:51" ht="15.75" customHeight="1" x14ac:dyDescent="0.25">
      <c r="A567" s="271"/>
      <c r="B567" s="534"/>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c r="AL567" s="271"/>
      <c r="AM567" s="271"/>
      <c r="AN567" s="271"/>
      <c r="AO567" s="271"/>
      <c r="AP567" s="271"/>
      <c r="AQ567" s="271"/>
      <c r="AR567" s="271"/>
      <c r="AS567" s="271"/>
      <c r="AT567" s="271"/>
      <c r="AU567" s="271"/>
      <c r="AV567" s="271"/>
      <c r="AW567" s="271"/>
      <c r="AX567" s="271"/>
      <c r="AY567" s="271"/>
    </row>
    <row r="568" spans="1:51" ht="15.75" customHeight="1" x14ac:dyDescent="0.25">
      <c r="A568" s="271"/>
      <c r="B568" s="534"/>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c r="AL568" s="271"/>
      <c r="AM568" s="271"/>
      <c r="AN568" s="271"/>
      <c r="AO568" s="271"/>
      <c r="AP568" s="271"/>
      <c r="AQ568" s="271"/>
      <c r="AR568" s="271"/>
      <c r="AS568" s="271"/>
      <c r="AT568" s="271"/>
      <c r="AU568" s="271"/>
      <c r="AV568" s="271"/>
      <c r="AW568" s="271"/>
      <c r="AX568" s="271"/>
      <c r="AY568" s="271"/>
    </row>
    <row r="569" spans="1:51" ht="15.75" customHeight="1" x14ac:dyDescent="0.25">
      <c r="A569" s="271"/>
      <c r="B569" s="534"/>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c r="AL569" s="271"/>
      <c r="AM569" s="271"/>
      <c r="AN569" s="271"/>
      <c r="AO569" s="271"/>
      <c r="AP569" s="271"/>
      <c r="AQ569" s="271"/>
      <c r="AR569" s="271"/>
      <c r="AS569" s="271"/>
      <c r="AT569" s="271"/>
      <c r="AU569" s="271"/>
      <c r="AV569" s="271"/>
      <c r="AW569" s="271"/>
      <c r="AX569" s="271"/>
      <c r="AY569" s="271"/>
    </row>
    <row r="570" spans="1:51" ht="15.75" customHeight="1" x14ac:dyDescent="0.25">
      <c r="A570" s="271"/>
      <c r="B570" s="534"/>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c r="AL570" s="271"/>
      <c r="AM570" s="271"/>
      <c r="AN570" s="271"/>
      <c r="AO570" s="271"/>
      <c r="AP570" s="271"/>
      <c r="AQ570" s="271"/>
      <c r="AR570" s="271"/>
      <c r="AS570" s="271"/>
      <c r="AT570" s="271"/>
      <c r="AU570" s="271"/>
      <c r="AV570" s="271"/>
      <c r="AW570" s="271"/>
      <c r="AX570" s="271"/>
      <c r="AY570" s="271"/>
    </row>
    <row r="571" spans="1:51" ht="15.75" customHeight="1" x14ac:dyDescent="0.25">
      <c r="A571" s="271"/>
      <c r="B571" s="534"/>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c r="AL571" s="271"/>
      <c r="AM571" s="271"/>
      <c r="AN571" s="271"/>
      <c r="AO571" s="271"/>
      <c r="AP571" s="271"/>
      <c r="AQ571" s="271"/>
      <c r="AR571" s="271"/>
      <c r="AS571" s="271"/>
      <c r="AT571" s="271"/>
      <c r="AU571" s="271"/>
      <c r="AV571" s="271"/>
      <c r="AW571" s="271"/>
      <c r="AX571" s="271"/>
      <c r="AY571" s="271"/>
    </row>
    <row r="572" spans="1:51" ht="15.75" customHeight="1" x14ac:dyDescent="0.25">
      <c r="A572" s="271"/>
      <c r="B572" s="534"/>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c r="AL572" s="271"/>
      <c r="AM572" s="271"/>
      <c r="AN572" s="271"/>
      <c r="AO572" s="271"/>
      <c r="AP572" s="271"/>
      <c r="AQ572" s="271"/>
      <c r="AR572" s="271"/>
      <c r="AS572" s="271"/>
      <c r="AT572" s="271"/>
      <c r="AU572" s="271"/>
      <c r="AV572" s="271"/>
      <c r="AW572" s="271"/>
      <c r="AX572" s="271"/>
      <c r="AY572" s="271"/>
    </row>
    <row r="573" spans="1:51" ht="15.75" customHeight="1" x14ac:dyDescent="0.25">
      <c r="A573" s="271"/>
      <c r="B573" s="534"/>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c r="AL573" s="271"/>
      <c r="AM573" s="271"/>
      <c r="AN573" s="271"/>
      <c r="AO573" s="271"/>
      <c r="AP573" s="271"/>
      <c r="AQ573" s="271"/>
      <c r="AR573" s="271"/>
      <c r="AS573" s="271"/>
      <c r="AT573" s="271"/>
      <c r="AU573" s="271"/>
      <c r="AV573" s="271"/>
      <c r="AW573" s="271"/>
      <c r="AX573" s="271"/>
      <c r="AY573" s="271"/>
    </row>
    <row r="574" spans="1:51" ht="15.75" customHeight="1" x14ac:dyDescent="0.25">
      <c r="A574" s="271"/>
      <c r="B574" s="534"/>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c r="AL574" s="271"/>
      <c r="AM574" s="271"/>
      <c r="AN574" s="271"/>
      <c r="AO574" s="271"/>
      <c r="AP574" s="271"/>
      <c r="AQ574" s="271"/>
      <c r="AR574" s="271"/>
      <c r="AS574" s="271"/>
      <c r="AT574" s="271"/>
      <c r="AU574" s="271"/>
      <c r="AV574" s="271"/>
      <c r="AW574" s="271"/>
      <c r="AX574" s="271"/>
      <c r="AY574" s="271"/>
    </row>
    <row r="575" spans="1:51" ht="15.75" customHeight="1" x14ac:dyDescent="0.25">
      <c r="A575" s="271"/>
      <c r="B575" s="534"/>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c r="AL575" s="271"/>
      <c r="AM575" s="271"/>
      <c r="AN575" s="271"/>
      <c r="AO575" s="271"/>
      <c r="AP575" s="271"/>
      <c r="AQ575" s="271"/>
      <c r="AR575" s="271"/>
      <c r="AS575" s="271"/>
      <c r="AT575" s="271"/>
      <c r="AU575" s="271"/>
      <c r="AV575" s="271"/>
      <c r="AW575" s="271"/>
      <c r="AX575" s="271"/>
      <c r="AY575" s="271"/>
    </row>
    <row r="576" spans="1:51" ht="15.75" customHeight="1" x14ac:dyDescent="0.25">
      <c r="A576" s="271"/>
      <c r="B576" s="534"/>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c r="AL576" s="271"/>
      <c r="AM576" s="271"/>
      <c r="AN576" s="271"/>
      <c r="AO576" s="271"/>
      <c r="AP576" s="271"/>
      <c r="AQ576" s="271"/>
      <c r="AR576" s="271"/>
      <c r="AS576" s="271"/>
      <c r="AT576" s="271"/>
      <c r="AU576" s="271"/>
      <c r="AV576" s="271"/>
      <c r="AW576" s="271"/>
      <c r="AX576" s="271"/>
      <c r="AY576" s="271"/>
    </row>
    <row r="577" spans="1:51" ht="15.75" customHeight="1" x14ac:dyDescent="0.25">
      <c r="A577" s="271"/>
      <c r="B577" s="534"/>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c r="AL577" s="271"/>
      <c r="AM577" s="271"/>
      <c r="AN577" s="271"/>
      <c r="AO577" s="271"/>
      <c r="AP577" s="271"/>
      <c r="AQ577" s="271"/>
      <c r="AR577" s="271"/>
      <c r="AS577" s="271"/>
      <c r="AT577" s="271"/>
      <c r="AU577" s="271"/>
      <c r="AV577" s="271"/>
      <c r="AW577" s="271"/>
      <c r="AX577" s="271"/>
      <c r="AY577" s="271"/>
    </row>
    <row r="578" spans="1:51" ht="15.75" customHeight="1" x14ac:dyDescent="0.25">
      <c r="A578" s="271"/>
      <c r="B578" s="534"/>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c r="AL578" s="271"/>
      <c r="AM578" s="271"/>
      <c r="AN578" s="271"/>
      <c r="AO578" s="271"/>
      <c r="AP578" s="271"/>
      <c r="AQ578" s="271"/>
      <c r="AR578" s="271"/>
      <c r="AS578" s="271"/>
      <c r="AT578" s="271"/>
      <c r="AU578" s="271"/>
      <c r="AV578" s="271"/>
      <c r="AW578" s="271"/>
      <c r="AX578" s="271"/>
      <c r="AY578" s="271"/>
    </row>
    <row r="579" spans="1:51" ht="15.75" customHeight="1" x14ac:dyDescent="0.25">
      <c r="A579" s="271"/>
      <c r="B579" s="534"/>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c r="AL579" s="271"/>
      <c r="AM579" s="271"/>
      <c r="AN579" s="271"/>
      <c r="AO579" s="271"/>
      <c r="AP579" s="271"/>
      <c r="AQ579" s="271"/>
      <c r="AR579" s="271"/>
      <c r="AS579" s="271"/>
      <c r="AT579" s="271"/>
      <c r="AU579" s="271"/>
      <c r="AV579" s="271"/>
      <c r="AW579" s="271"/>
      <c r="AX579" s="271"/>
      <c r="AY579" s="271"/>
    </row>
    <row r="580" spans="1:51" ht="15.75" customHeight="1" x14ac:dyDescent="0.25">
      <c r="A580" s="271"/>
      <c r="B580" s="534"/>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c r="AL580" s="271"/>
      <c r="AM580" s="271"/>
      <c r="AN580" s="271"/>
      <c r="AO580" s="271"/>
      <c r="AP580" s="271"/>
      <c r="AQ580" s="271"/>
      <c r="AR580" s="271"/>
      <c r="AS580" s="271"/>
      <c r="AT580" s="271"/>
      <c r="AU580" s="271"/>
      <c r="AV580" s="271"/>
      <c r="AW580" s="271"/>
      <c r="AX580" s="271"/>
      <c r="AY580" s="271"/>
    </row>
    <row r="581" spans="1:51" ht="15.75" customHeight="1" x14ac:dyDescent="0.25">
      <c r="A581" s="271"/>
      <c r="B581" s="534"/>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c r="AL581" s="271"/>
      <c r="AM581" s="271"/>
      <c r="AN581" s="271"/>
      <c r="AO581" s="271"/>
      <c r="AP581" s="271"/>
      <c r="AQ581" s="271"/>
      <c r="AR581" s="271"/>
      <c r="AS581" s="271"/>
      <c r="AT581" s="271"/>
      <c r="AU581" s="271"/>
      <c r="AV581" s="271"/>
      <c r="AW581" s="271"/>
      <c r="AX581" s="271"/>
      <c r="AY581" s="271"/>
    </row>
    <row r="582" spans="1:51" ht="15.75" customHeight="1" x14ac:dyDescent="0.25">
      <c r="A582" s="271"/>
      <c r="B582" s="534"/>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c r="AL582" s="271"/>
      <c r="AM582" s="271"/>
      <c r="AN582" s="271"/>
      <c r="AO582" s="271"/>
      <c r="AP582" s="271"/>
      <c r="AQ582" s="271"/>
      <c r="AR582" s="271"/>
      <c r="AS582" s="271"/>
      <c r="AT582" s="271"/>
      <c r="AU582" s="271"/>
      <c r="AV582" s="271"/>
      <c r="AW582" s="271"/>
      <c r="AX582" s="271"/>
      <c r="AY582" s="271"/>
    </row>
    <row r="583" spans="1:51" ht="15.75" customHeight="1" x14ac:dyDescent="0.25">
      <c r="A583" s="271"/>
      <c r="B583" s="534"/>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c r="AL583" s="271"/>
      <c r="AM583" s="271"/>
      <c r="AN583" s="271"/>
      <c r="AO583" s="271"/>
      <c r="AP583" s="271"/>
      <c r="AQ583" s="271"/>
      <c r="AR583" s="271"/>
      <c r="AS583" s="271"/>
      <c r="AT583" s="271"/>
      <c r="AU583" s="271"/>
      <c r="AV583" s="271"/>
      <c r="AW583" s="271"/>
      <c r="AX583" s="271"/>
      <c r="AY583" s="271"/>
    </row>
    <row r="584" spans="1:51" ht="15.75" customHeight="1" x14ac:dyDescent="0.25">
      <c r="A584" s="271"/>
      <c r="B584" s="534"/>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c r="AL584" s="271"/>
      <c r="AM584" s="271"/>
      <c r="AN584" s="271"/>
      <c r="AO584" s="271"/>
      <c r="AP584" s="271"/>
      <c r="AQ584" s="271"/>
      <c r="AR584" s="271"/>
      <c r="AS584" s="271"/>
      <c r="AT584" s="271"/>
      <c r="AU584" s="271"/>
      <c r="AV584" s="271"/>
      <c r="AW584" s="271"/>
      <c r="AX584" s="271"/>
      <c r="AY584" s="271"/>
    </row>
    <row r="585" spans="1:51" ht="15.75" customHeight="1" x14ac:dyDescent="0.25">
      <c r="A585" s="271"/>
      <c r="B585" s="534"/>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c r="AL585" s="271"/>
      <c r="AM585" s="271"/>
      <c r="AN585" s="271"/>
      <c r="AO585" s="271"/>
      <c r="AP585" s="271"/>
      <c r="AQ585" s="271"/>
      <c r="AR585" s="271"/>
      <c r="AS585" s="271"/>
      <c r="AT585" s="271"/>
      <c r="AU585" s="271"/>
      <c r="AV585" s="271"/>
      <c r="AW585" s="271"/>
      <c r="AX585" s="271"/>
      <c r="AY585" s="271"/>
    </row>
    <row r="586" spans="1:51" ht="15.75" customHeight="1" x14ac:dyDescent="0.25">
      <c r="A586" s="271"/>
      <c r="B586" s="534"/>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c r="AL586" s="271"/>
      <c r="AM586" s="271"/>
      <c r="AN586" s="271"/>
      <c r="AO586" s="271"/>
      <c r="AP586" s="271"/>
      <c r="AQ586" s="271"/>
      <c r="AR586" s="271"/>
      <c r="AS586" s="271"/>
      <c r="AT586" s="271"/>
      <c r="AU586" s="271"/>
      <c r="AV586" s="271"/>
      <c r="AW586" s="271"/>
      <c r="AX586" s="271"/>
      <c r="AY586" s="271"/>
    </row>
    <row r="587" spans="1:51" ht="15.75" customHeight="1" x14ac:dyDescent="0.25">
      <c r="A587" s="271"/>
      <c r="B587" s="534"/>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c r="AL587" s="271"/>
      <c r="AM587" s="271"/>
      <c r="AN587" s="271"/>
      <c r="AO587" s="271"/>
      <c r="AP587" s="271"/>
      <c r="AQ587" s="271"/>
      <c r="AR587" s="271"/>
      <c r="AS587" s="271"/>
      <c r="AT587" s="271"/>
      <c r="AU587" s="271"/>
      <c r="AV587" s="271"/>
      <c r="AW587" s="271"/>
      <c r="AX587" s="271"/>
      <c r="AY587" s="271"/>
    </row>
    <row r="588" spans="1:51" ht="15.75" customHeight="1" x14ac:dyDescent="0.25">
      <c r="A588" s="271"/>
      <c r="B588" s="534"/>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c r="AL588" s="271"/>
      <c r="AM588" s="271"/>
      <c r="AN588" s="271"/>
      <c r="AO588" s="271"/>
      <c r="AP588" s="271"/>
      <c r="AQ588" s="271"/>
      <c r="AR588" s="271"/>
      <c r="AS588" s="271"/>
      <c r="AT588" s="271"/>
      <c r="AU588" s="271"/>
      <c r="AV588" s="271"/>
      <c r="AW588" s="271"/>
      <c r="AX588" s="271"/>
      <c r="AY588" s="271"/>
    </row>
    <row r="589" spans="1:51" ht="15.75" customHeight="1" x14ac:dyDescent="0.25">
      <c r="A589" s="271"/>
      <c r="B589" s="534"/>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c r="AL589" s="271"/>
      <c r="AM589" s="271"/>
      <c r="AN589" s="271"/>
      <c r="AO589" s="271"/>
      <c r="AP589" s="271"/>
      <c r="AQ589" s="271"/>
      <c r="AR589" s="271"/>
      <c r="AS589" s="271"/>
      <c r="AT589" s="271"/>
      <c r="AU589" s="271"/>
      <c r="AV589" s="271"/>
      <c r="AW589" s="271"/>
      <c r="AX589" s="271"/>
      <c r="AY589" s="271"/>
    </row>
    <row r="590" spans="1:51" ht="15.75" customHeight="1" x14ac:dyDescent="0.25">
      <c r="A590" s="271"/>
      <c r="B590" s="534"/>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c r="AL590" s="271"/>
      <c r="AM590" s="271"/>
      <c r="AN590" s="271"/>
      <c r="AO590" s="271"/>
      <c r="AP590" s="271"/>
      <c r="AQ590" s="271"/>
      <c r="AR590" s="271"/>
      <c r="AS590" s="271"/>
      <c r="AT590" s="271"/>
      <c r="AU590" s="271"/>
      <c r="AV590" s="271"/>
      <c r="AW590" s="271"/>
      <c r="AX590" s="271"/>
      <c r="AY590" s="271"/>
    </row>
    <row r="591" spans="1:51" ht="15.75" customHeight="1" x14ac:dyDescent="0.25">
      <c r="A591" s="271"/>
      <c r="B591" s="534"/>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c r="AL591" s="271"/>
      <c r="AM591" s="271"/>
      <c r="AN591" s="271"/>
      <c r="AO591" s="271"/>
      <c r="AP591" s="271"/>
      <c r="AQ591" s="271"/>
      <c r="AR591" s="271"/>
      <c r="AS591" s="271"/>
      <c r="AT591" s="271"/>
      <c r="AU591" s="271"/>
      <c r="AV591" s="271"/>
      <c r="AW591" s="271"/>
      <c r="AX591" s="271"/>
      <c r="AY591" s="271"/>
    </row>
    <row r="592" spans="1:51" ht="15.75" customHeight="1" x14ac:dyDescent="0.25">
      <c r="A592" s="271"/>
      <c r="B592" s="534"/>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c r="AL592" s="271"/>
      <c r="AM592" s="271"/>
      <c r="AN592" s="271"/>
      <c r="AO592" s="271"/>
      <c r="AP592" s="271"/>
      <c r="AQ592" s="271"/>
      <c r="AR592" s="271"/>
      <c r="AS592" s="271"/>
      <c r="AT592" s="271"/>
      <c r="AU592" s="271"/>
      <c r="AV592" s="271"/>
      <c r="AW592" s="271"/>
      <c r="AX592" s="271"/>
      <c r="AY592" s="271"/>
    </row>
    <row r="593" spans="1:51" ht="15.75" customHeight="1" x14ac:dyDescent="0.25">
      <c r="A593" s="271"/>
      <c r="B593" s="534"/>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c r="AL593" s="271"/>
      <c r="AM593" s="271"/>
      <c r="AN593" s="271"/>
      <c r="AO593" s="271"/>
      <c r="AP593" s="271"/>
      <c r="AQ593" s="271"/>
      <c r="AR593" s="271"/>
      <c r="AS593" s="271"/>
      <c r="AT593" s="271"/>
      <c r="AU593" s="271"/>
      <c r="AV593" s="271"/>
      <c r="AW593" s="271"/>
      <c r="AX593" s="271"/>
      <c r="AY593" s="271"/>
    </row>
    <row r="594" spans="1:51" ht="15.75" customHeight="1" x14ac:dyDescent="0.25">
      <c r="A594" s="271"/>
      <c r="B594" s="534"/>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c r="AL594" s="271"/>
      <c r="AM594" s="271"/>
      <c r="AN594" s="271"/>
      <c r="AO594" s="271"/>
      <c r="AP594" s="271"/>
      <c r="AQ594" s="271"/>
      <c r="AR594" s="271"/>
      <c r="AS594" s="271"/>
      <c r="AT594" s="271"/>
      <c r="AU594" s="271"/>
      <c r="AV594" s="271"/>
      <c r="AW594" s="271"/>
      <c r="AX594" s="271"/>
      <c r="AY594" s="271"/>
    </row>
    <row r="595" spans="1:51" ht="15.75" customHeight="1" x14ac:dyDescent="0.25">
      <c r="A595" s="271"/>
      <c r="B595" s="534"/>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c r="AL595" s="271"/>
      <c r="AM595" s="271"/>
      <c r="AN595" s="271"/>
      <c r="AO595" s="271"/>
      <c r="AP595" s="271"/>
      <c r="AQ595" s="271"/>
      <c r="AR595" s="271"/>
      <c r="AS595" s="271"/>
      <c r="AT595" s="271"/>
      <c r="AU595" s="271"/>
      <c r="AV595" s="271"/>
      <c r="AW595" s="271"/>
      <c r="AX595" s="271"/>
      <c r="AY595" s="271"/>
    </row>
    <row r="596" spans="1:51" ht="15.75" customHeight="1" x14ac:dyDescent="0.25">
      <c r="A596" s="271"/>
      <c r="B596" s="534"/>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c r="AL596" s="271"/>
      <c r="AM596" s="271"/>
      <c r="AN596" s="271"/>
      <c r="AO596" s="271"/>
      <c r="AP596" s="271"/>
      <c r="AQ596" s="271"/>
      <c r="AR596" s="271"/>
      <c r="AS596" s="271"/>
      <c r="AT596" s="271"/>
      <c r="AU596" s="271"/>
      <c r="AV596" s="271"/>
      <c r="AW596" s="271"/>
      <c r="AX596" s="271"/>
      <c r="AY596" s="271"/>
    </row>
    <row r="597" spans="1:51" ht="15.75" customHeight="1" x14ac:dyDescent="0.25">
      <c r="A597" s="271"/>
      <c r="B597" s="534"/>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c r="AL597" s="271"/>
      <c r="AM597" s="271"/>
      <c r="AN597" s="271"/>
      <c r="AO597" s="271"/>
      <c r="AP597" s="271"/>
      <c r="AQ597" s="271"/>
      <c r="AR597" s="271"/>
      <c r="AS597" s="271"/>
      <c r="AT597" s="271"/>
      <c r="AU597" s="271"/>
      <c r="AV597" s="271"/>
      <c r="AW597" s="271"/>
      <c r="AX597" s="271"/>
      <c r="AY597" s="271"/>
    </row>
    <row r="598" spans="1:51" ht="15.75" customHeight="1" x14ac:dyDescent="0.25">
      <c r="A598" s="271"/>
      <c r="B598" s="534"/>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c r="AL598" s="271"/>
      <c r="AM598" s="271"/>
      <c r="AN598" s="271"/>
      <c r="AO598" s="271"/>
      <c r="AP598" s="271"/>
      <c r="AQ598" s="271"/>
      <c r="AR598" s="271"/>
      <c r="AS598" s="271"/>
      <c r="AT598" s="271"/>
      <c r="AU598" s="271"/>
      <c r="AV598" s="271"/>
      <c r="AW598" s="271"/>
      <c r="AX598" s="271"/>
      <c r="AY598" s="271"/>
    </row>
    <row r="599" spans="1:51" ht="15.75" customHeight="1" x14ac:dyDescent="0.25">
      <c r="A599" s="271"/>
      <c r="B599" s="534"/>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c r="AL599" s="271"/>
      <c r="AM599" s="271"/>
      <c r="AN599" s="271"/>
      <c r="AO599" s="271"/>
      <c r="AP599" s="271"/>
      <c r="AQ599" s="271"/>
      <c r="AR599" s="271"/>
      <c r="AS599" s="271"/>
      <c r="AT599" s="271"/>
      <c r="AU599" s="271"/>
      <c r="AV599" s="271"/>
      <c r="AW599" s="271"/>
      <c r="AX599" s="271"/>
      <c r="AY599" s="271"/>
    </row>
    <row r="600" spans="1:51" ht="15.75" customHeight="1" x14ac:dyDescent="0.25">
      <c r="A600" s="271"/>
      <c r="B600" s="534"/>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c r="AL600" s="271"/>
      <c r="AM600" s="271"/>
      <c r="AN600" s="271"/>
      <c r="AO600" s="271"/>
      <c r="AP600" s="271"/>
      <c r="AQ600" s="271"/>
      <c r="AR600" s="271"/>
      <c r="AS600" s="271"/>
      <c r="AT600" s="271"/>
      <c r="AU600" s="271"/>
      <c r="AV600" s="271"/>
      <c r="AW600" s="271"/>
      <c r="AX600" s="271"/>
      <c r="AY600" s="271"/>
    </row>
    <row r="601" spans="1:51" ht="15.75" customHeight="1" x14ac:dyDescent="0.25">
      <c r="A601" s="271"/>
      <c r="B601" s="534"/>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c r="AL601" s="271"/>
      <c r="AM601" s="271"/>
      <c r="AN601" s="271"/>
      <c r="AO601" s="271"/>
      <c r="AP601" s="271"/>
      <c r="AQ601" s="271"/>
      <c r="AR601" s="271"/>
      <c r="AS601" s="271"/>
      <c r="AT601" s="271"/>
      <c r="AU601" s="271"/>
      <c r="AV601" s="271"/>
      <c r="AW601" s="271"/>
      <c r="AX601" s="271"/>
      <c r="AY601" s="271"/>
    </row>
    <row r="602" spans="1:51" ht="15.75" customHeight="1" x14ac:dyDescent="0.25">
      <c r="A602" s="271"/>
      <c r="B602" s="534"/>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c r="AL602" s="271"/>
      <c r="AM602" s="271"/>
      <c r="AN602" s="271"/>
      <c r="AO602" s="271"/>
      <c r="AP602" s="271"/>
      <c r="AQ602" s="271"/>
      <c r="AR602" s="271"/>
      <c r="AS602" s="271"/>
      <c r="AT602" s="271"/>
      <c r="AU602" s="271"/>
      <c r="AV602" s="271"/>
      <c r="AW602" s="271"/>
      <c r="AX602" s="271"/>
      <c r="AY602" s="271"/>
    </row>
    <row r="603" spans="1:51" ht="15.75" customHeight="1" x14ac:dyDescent="0.25">
      <c r="A603" s="271"/>
      <c r="B603" s="534"/>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c r="AL603" s="271"/>
      <c r="AM603" s="271"/>
      <c r="AN603" s="271"/>
      <c r="AO603" s="271"/>
      <c r="AP603" s="271"/>
      <c r="AQ603" s="271"/>
      <c r="AR603" s="271"/>
      <c r="AS603" s="271"/>
      <c r="AT603" s="271"/>
      <c r="AU603" s="271"/>
      <c r="AV603" s="271"/>
      <c r="AW603" s="271"/>
      <c r="AX603" s="271"/>
      <c r="AY603" s="271"/>
    </row>
    <row r="604" spans="1:51" ht="15.75" customHeight="1" x14ac:dyDescent="0.25">
      <c r="A604" s="271"/>
      <c r="B604" s="534"/>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c r="AL604" s="271"/>
      <c r="AM604" s="271"/>
      <c r="AN604" s="271"/>
      <c r="AO604" s="271"/>
      <c r="AP604" s="271"/>
      <c r="AQ604" s="271"/>
      <c r="AR604" s="271"/>
      <c r="AS604" s="271"/>
      <c r="AT604" s="271"/>
      <c r="AU604" s="271"/>
      <c r="AV604" s="271"/>
      <c r="AW604" s="271"/>
      <c r="AX604" s="271"/>
      <c r="AY604" s="271"/>
    </row>
    <row r="605" spans="1:51" ht="15.75" customHeight="1" x14ac:dyDescent="0.25">
      <c r="A605" s="271"/>
      <c r="B605" s="534"/>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c r="AL605" s="271"/>
      <c r="AM605" s="271"/>
      <c r="AN605" s="271"/>
      <c r="AO605" s="271"/>
      <c r="AP605" s="271"/>
      <c r="AQ605" s="271"/>
      <c r="AR605" s="271"/>
      <c r="AS605" s="271"/>
      <c r="AT605" s="271"/>
      <c r="AU605" s="271"/>
      <c r="AV605" s="271"/>
      <c r="AW605" s="271"/>
      <c r="AX605" s="271"/>
      <c r="AY605" s="271"/>
    </row>
    <row r="606" spans="1:51" ht="15.75" customHeight="1" x14ac:dyDescent="0.25">
      <c r="A606" s="271"/>
      <c r="B606" s="534"/>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c r="AL606" s="271"/>
      <c r="AM606" s="271"/>
      <c r="AN606" s="271"/>
      <c r="AO606" s="271"/>
      <c r="AP606" s="271"/>
      <c r="AQ606" s="271"/>
      <c r="AR606" s="271"/>
      <c r="AS606" s="271"/>
      <c r="AT606" s="271"/>
      <c r="AU606" s="271"/>
      <c r="AV606" s="271"/>
      <c r="AW606" s="271"/>
      <c r="AX606" s="271"/>
      <c r="AY606" s="271"/>
    </row>
    <row r="607" spans="1:51" ht="15.75" customHeight="1" x14ac:dyDescent="0.25">
      <c r="A607" s="271"/>
      <c r="B607" s="534"/>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c r="AL607" s="271"/>
      <c r="AM607" s="271"/>
      <c r="AN607" s="271"/>
      <c r="AO607" s="271"/>
      <c r="AP607" s="271"/>
      <c r="AQ607" s="271"/>
      <c r="AR607" s="271"/>
      <c r="AS607" s="271"/>
      <c r="AT607" s="271"/>
      <c r="AU607" s="271"/>
      <c r="AV607" s="271"/>
      <c r="AW607" s="271"/>
      <c r="AX607" s="271"/>
      <c r="AY607" s="271"/>
    </row>
    <row r="608" spans="1:51" ht="15.75" customHeight="1" x14ac:dyDescent="0.25">
      <c r="A608" s="271"/>
      <c r="B608" s="534"/>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c r="AL608" s="271"/>
      <c r="AM608" s="271"/>
      <c r="AN608" s="271"/>
      <c r="AO608" s="271"/>
      <c r="AP608" s="271"/>
      <c r="AQ608" s="271"/>
      <c r="AR608" s="271"/>
      <c r="AS608" s="271"/>
      <c r="AT608" s="271"/>
      <c r="AU608" s="271"/>
      <c r="AV608" s="271"/>
      <c r="AW608" s="271"/>
      <c r="AX608" s="271"/>
      <c r="AY608" s="271"/>
    </row>
    <row r="609" spans="1:51" ht="15.75" customHeight="1" x14ac:dyDescent="0.25">
      <c r="A609" s="271"/>
      <c r="B609" s="534"/>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c r="AL609" s="271"/>
      <c r="AM609" s="271"/>
      <c r="AN609" s="271"/>
      <c r="AO609" s="271"/>
      <c r="AP609" s="271"/>
      <c r="AQ609" s="271"/>
      <c r="AR609" s="271"/>
      <c r="AS609" s="271"/>
      <c r="AT609" s="271"/>
      <c r="AU609" s="271"/>
      <c r="AV609" s="271"/>
      <c r="AW609" s="271"/>
      <c r="AX609" s="271"/>
      <c r="AY609" s="271"/>
    </row>
    <row r="610" spans="1:51" ht="15.75" customHeight="1" x14ac:dyDescent="0.25">
      <c r="A610" s="271"/>
      <c r="B610" s="534"/>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c r="AL610" s="271"/>
      <c r="AM610" s="271"/>
      <c r="AN610" s="271"/>
      <c r="AO610" s="271"/>
      <c r="AP610" s="271"/>
      <c r="AQ610" s="271"/>
      <c r="AR610" s="271"/>
      <c r="AS610" s="271"/>
      <c r="AT610" s="271"/>
      <c r="AU610" s="271"/>
      <c r="AV610" s="271"/>
      <c r="AW610" s="271"/>
      <c r="AX610" s="271"/>
      <c r="AY610" s="271"/>
    </row>
    <row r="611" spans="1:51" ht="15.75" customHeight="1" x14ac:dyDescent="0.25">
      <c r="A611" s="271"/>
      <c r="B611" s="534"/>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c r="AL611" s="271"/>
      <c r="AM611" s="271"/>
      <c r="AN611" s="271"/>
      <c r="AO611" s="271"/>
      <c r="AP611" s="271"/>
      <c r="AQ611" s="271"/>
      <c r="AR611" s="271"/>
      <c r="AS611" s="271"/>
      <c r="AT611" s="271"/>
      <c r="AU611" s="271"/>
      <c r="AV611" s="271"/>
      <c r="AW611" s="271"/>
      <c r="AX611" s="271"/>
      <c r="AY611" s="271"/>
    </row>
    <row r="612" spans="1:51" ht="15.75" customHeight="1" x14ac:dyDescent="0.25">
      <c r="A612" s="271"/>
      <c r="B612" s="534"/>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c r="AL612" s="271"/>
      <c r="AM612" s="271"/>
      <c r="AN612" s="271"/>
      <c r="AO612" s="271"/>
      <c r="AP612" s="271"/>
      <c r="AQ612" s="271"/>
      <c r="AR612" s="271"/>
      <c r="AS612" s="271"/>
      <c r="AT612" s="271"/>
      <c r="AU612" s="271"/>
      <c r="AV612" s="271"/>
      <c r="AW612" s="271"/>
      <c r="AX612" s="271"/>
      <c r="AY612" s="271"/>
    </row>
    <row r="613" spans="1:51" ht="15.75" customHeight="1" x14ac:dyDescent="0.25">
      <c r="A613" s="271"/>
      <c r="B613" s="534"/>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c r="AL613" s="271"/>
      <c r="AM613" s="271"/>
      <c r="AN613" s="271"/>
      <c r="AO613" s="271"/>
      <c r="AP613" s="271"/>
      <c r="AQ613" s="271"/>
      <c r="AR613" s="271"/>
      <c r="AS613" s="271"/>
      <c r="AT613" s="271"/>
      <c r="AU613" s="271"/>
      <c r="AV613" s="271"/>
      <c r="AW613" s="271"/>
      <c r="AX613" s="271"/>
      <c r="AY613" s="271"/>
    </row>
    <row r="614" spans="1:51" ht="15.75" customHeight="1" x14ac:dyDescent="0.25">
      <c r="A614" s="271"/>
      <c r="B614" s="534"/>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c r="AL614" s="271"/>
      <c r="AM614" s="271"/>
      <c r="AN614" s="271"/>
      <c r="AO614" s="271"/>
      <c r="AP614" s="271"/>
      <c r="AQ614" s="271"/>
      <c r="AR614" s="271"/>
      <c r="AS614" s="271"/>
      <c r="AT614" s="271"/>
      <c r="AU614" s="271"/>
      <c r="AV614" s="271"/>
      <c r="AW614" s="271"/>
      <c r="AX614" s="271"/>
      <c r="AY614" s="271"/>
    </row>
    <row r="615" spans="1:51" ht="15.75" customHeight="1" x14ac:dyDescent="0.25">
      <c r="A615" s="271"/>
      <c r="B615" s="534"/>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c r="AL615" s="271"/>
      <c r="AM615" s="271"/>
      <c r="AN615" s="271"/>
      <c r="AO615" s="271"/>
      <c r="AP615" s="271"/>
      <c r="AQ615" s="271"/>
      <c r="AR615" s="271"/>
      <c r="AS615" s="271"/>
      <c r="AT615" s="271"/>
      <c r="AU615" s="271"/>
      <c r="AV615" s="271"/>
      <c r="AW615" s="271"/>
      <c r="AX615" s="271"/>
      <c r="AY615" s="271"/>
    </row>
    <row r="616" spans="1:51" ht="15.75" customHeight="1" x14ac:dyDescent="0.25">
      <c r="A616" s="271"/>
      <c r="B616" s="534"/>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c r="AL616" s="271"/>
      <c r="AM616" s="271"/>
      <c r="AN616" s="271"/>
      <c r="AO616" s="271"/>
      <c r="AP616" s="271"/>
      <c r="AQ616" s="271"/>
      <c r="AR616" s="271"/>
      <c r="AS616" s="271"/>
      <c r="AT616" s="271"/>
      <c r="AU616" s="271"/>
      <c r="AV616" s="271"/>
      <c r="AW616" s="271"/>
      <c r="AX616" s="271"/>
      <c r="AY616" s="271"/>
    </row>
    <row r="617" spans="1:51" ht="15.75" customHeight="1" x14ac:dyDescent="0.25">
      <c r="A617" s="271"/>
      <c r="B617" s="534"/>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c r="AL617" s="271"/>
      <c r="AM617" s="271"/>
      <c r="AN617" s="271"/>
      <c r="AO617" s="271"/>
      <c r="AP617" s="271"/>
      <c r="AQ617" s="271"/>
      <c r="AR617" s="271"/>
      <c r="AS617" s="271"/>
      <c r="AT617" s="271"/>
      <c r="AU617" s="271"/>
      <c r="AV617" s="271"/>
      <c r="AW617" s="271"/>
      <c r="AX617" s="271"/>
      <c r="AY617" s="271"/>
    </row>
    <row r="618" spans="1:51" ht="15.75" customHeight="1" x14ac:dyDescent="0.25">
      <c r="A618" s="271"/>
      <c r="B618" s="534"/>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c r="AL618" s="271"/>
      <c r="AM618" s="271"/>
      <c r="AN618" s="271"/>
      <c r="AO618" s="271"/>
      <c r="AP618" s="271"/>
      <c r="AQ618" s="271"/>
      <c r="AR618" s="271"/>
      <c r="AS618" s="271"/>
      <c r="AT618" s="271"/>
      <c r="AU618" s="271"/>
      <c r="AV618" s="271"/>
      <c r="AW618" s="271"/>
      <c r="AX618" s="271"/>
      <c r="AY618" s="271"/>
    </row>
    <row r="619" spans="1:51" ht="15.75" customHeight="1" x14ac:dyDescent="0.25">
      <c r="A619" s="271"/>
      <c r="B619" s="534"/>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c r="AL619" s="271"/>
      <c r="AM619" s="271"/>
      <c r="AN619" s="271"/>
      <c r="AO619" s="271"/>
      <c r="AP619" s="271"/>
      <c r="AQ619" s="271"/>
      <c r="AR619" s="271"/>
      <c r="AS619" s="271"/>
      <c r="AT619" s="271"/>
      <c r="AU619" s="271"/>
      <c r="AV619" s="271"/>
      <c r="AW619" s="271"/>
      <c r="AX619" s="271"/>
      <c r="AY619" s="271"/>
    </row>
    <row r="620" spans="1:51" ht="15.75" customHeight="1" x14ac:dyDescent="0.25">
      <c r="A620" s="271"/>
      <c r="B620" s="534"/>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c r="AL620" s="271"/>
      <c r="AM620" s="271"/>
      <c r="AN620" s="271"/>
      <c r="AO620" s="271"/>
      <c r="AP620" s="271"/>
      <c r="AQ620" s="271"/>
      <c r="AR620" s="271"/>
      <c r="AS620" s="271"/>
      <c r="AT620" s="271"/>
      <c r="AU620" s="271"/>
      <c r="AV620" s="271"/>
      <c r="AW620" s="271"/>
      <c r="AX620" s="271"/>
      <c r="AY620" s="271"/>
    </row>
    <row r="621" spans="1:51" ht="15.75" customHeight="1" x14ac:dyDescent="0.25">
      <c r="A621" s="271"/>
      <c r="B621" s="534"/>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c r="AL621" s="271"/>
      <c r="AM621" s="271"/>
      <c r="AN621" s="271"/>
      <c r="AO621" s="271"/>
      <c r="AP621" s="271"/>
      <c r="AQ621" s="271"/>
      <c r="AR621" s="271"/>
      <c r="AS621" s="271"/>
      <c r="AT621" s="271"/>
      <c r="AU621" s="271"/>
      <c r="AV621" s="271"/>
      <c r="AW621" s="271"/>
      <c r="AX621" s="271"/>
      <c r="AY621" s="271"/>
    </row>
    <row r="622" spans="1:51" ht="15.75" customHeight="1" x14ac:dyDescent="0.25">
      <c r="A622" s="271"/>
      <c r="B622" s="534"/>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c r="AL622" s="271"/>
      <c r="AM622" s="271"/>
      <c r="AN622" s="271"/>
      <c r="AO622" s="271"/>
      <c r="AP622" s="271"/>
      <c r="AQ622" s="271"/>
      <c r="AR622" s="271"/>
      <c r="AS622" s="271"/>
      <c r="AT622" s="271"/>
      <c r="AU622" s="271"/>
      <c r="AV622" s="271"/>
      <c r="AW622" s="271"/>
      <c r="AX622" s="271"/>
      <c r="AY622" s="271"/>
    </row>
    <row r="623" spans="1:51" ht="15.75" customHeight="1" x14ac:dyDescent="0.25">
      <c r="A623" s="271"/>
      <c r="B623" s="534"/>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c r="AL623" s="271"/>
      <c r="AM623" s="271"/>
      <c r="AN623" s="271"/>
      <c r="AO623" s="271"/>
      <c r="AP623" s="271"/>
      <c r="AQ623" s="271"/>
      <c r="AR623" s="271"/>
      <c r="AS623" s="271"/>
      <c r="AT623" s="271"/>
      <c r="AU623" s="271"/>
      <c r="AV623" s="271"/>
      <c r="AW623" s="271"/>
      <c r="AX623" s="271"/>
      <c r="AY623" s="271"/>
    </row>
    <row r="624" spans="1:51" ht="15.75" customHeight="1" x14ac:dyDescent="0.25">
      <c r="A624" s="271"/>
      <c r="B624" s="534"/>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c r="AL624" s="271"/>
      <c r="AM624" s="271"/>
      <c r="AN624" s="271"/>
      <c r="AO624" s="271"/>
      <c r="AP624" s="271"/>
      <c r="AQ624" s="271"/>
      <c r="AR624" s="271"/>
      <c r="AS624" s="271"/>
      <c r="AT624" s="271"/>
      <c r="AU624" s="271"/>
      <c r="AV624" s="271"/>
      <c r="AW624" s="271"/>
      <c r="AX624" s="271"/>
      <c r="AY624" s="271"/>
    </row>
    <row r="625" spans="1:51" ht="15.75" customHeight="1" x14ac:dyDescent="0.25">
      <c r="A625" s="271"/>
      <c r="B625" s="534"/>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c r="AL625" s="271"/>
      <c r="AM625" s="271"/>
      <c r="AN625" s="271"/>
      <c r="AO625" s="271"/>
      <c r="AP625" s="271"/>
      <c r="AQ625" s="271"/>
      <c r="AR625" s="271"/>
      <c r="AS625" s="271"/>
      <c r="AT625" s="271"/>
      <c r="AU625" s="271"/>
      <c r="AV625" s="271"/>
      <c r="AW625" s="271"/>
      <c r="AX625" s="271"/>
      <c r="AY625" s="271"/>
    </row>
    <row r="626" spans="1:51" ht="15.75" customHeight="1" x14ac:dyDescent="0.25">
      <c r="A626" s="271"/>
      <c r="B626" s="534"/>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c r="AL626" s="271"/>
      <c r="AM626" s="271"/>
      <c r="AN626" s="271"/>
      <c r="AO626" s="271"/>
      <c r="AP626" s="271"/>
      <c r="AQ626" s="271"/>
      <c r="AR626" s="271"/>
      <c r="AS626" s="271"/>
      <c r="AT626" s="271"/>
      <c r="AU626" s="271"/>
      <c r="AV626" s="271"/>
      <c r="AW626" s="271"/>
      <c r="AX626" s="271"/>
      <c r="AY626" s="271"/>
    </row>
    <row r="627" spans="1:51" ht="15.75" customHeight="1" x14ac:dyDescent="0.25">
      <c r="A627" s="271"/>
      <c r="B627" s="534"/>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c r="AL627" s="271"/>
      <c r="AM627" s="271"/>
      <c r="AN627" s="271"/>
      <c r="AO627" s="271"/>
      <c r="AP627" s="271"/>
      <c r="AQ627" s="271"/>
      <c r="AR627" s="271"/>
      <c r="AS627" s="271"/>
      <c r="AT627" s="271"/>
      <c r="AU627" s="271"/>
      <c r="AV627" s="271"/>
      <c r="AW627" s="271"/>
      <c r="AX627" s="271"/>
      <c r="AY627" s="271"/>
    </row>
    <row r="628" spans="1:51" ht="15.75" customHeight="1" x14ac:dyDescent="0.25">
      <c r="A628" s="271"/>
      <c r="B628" s="534"/>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c r="AL628" s="271"/>
      <c r="AM628" s="271"/>
      <c r="AN628" s="271"/>
      <c r="AO628" s="271"/>
      <c r="AP628" s="271"/>
      <c r="AQ628" s="271"/>
      <c r="AR628" s="271"/>
      <c r="AS628" s="271"/>
      <c r="AT628" s="271"/>
      <c r="AU628" s="271"/>
      <c r="AV628" s="271"/>
      <c r="AW628" s="271"/>
      <c r="AX628" s="271"/>
      <c r="AY628" s="271"/>
    </row>
    <row r="629" spans="1:51" ht="15.75" customHeight="1" x14ac:dyDescent="0.25">
      <c r="A629" s="271"/>
      <c r="B629" s="534"/>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c r="AL629" s="271"/>
      <c r="AM629" s="271"/>
      <c r="AN629" s="271"/>
      <c r="AO629" s="271"/>
      <c r="AP629" s="271"/>
      <c r="AQ629" s="271"/>
      <c r="AR629" s="271"/>
      <c r="AS629" s="271"/>
      <c r="AT629" s="271"/>
      <c r="AU629" s="271"/>
      <c r="AV629" s="271"/>
      <c r="AW629" s="271"/>
      <c r="AX629" s="271"/>
      <c r="AY629" s="271"/>
    </row>
    <row r="630" spans="1:51" ht="15.75" customHeight="1" x14ac:dyDescent="0.25">
      <c r="A630" s="271"/>
      <c r="B630" s="534"/>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c r="AL630" s="271"/>
      <c r="AM630" s="271"/>
      <c r="AN630" s="271"/>
      <c r="AO630" s="271"/>
      <c r="AP630" s="271"/>
      <c r="AQ630" s="271"/>
      <c r="AR630" s="271"/>
      <c r="AS630" s="271"/>
      <c r="AT630" s="271"/>
      <c r="AU630" s="271"/>
      <c r="AV630" s="271"/>
      <c r="AW630" s="271"/>
      <c r="AX630" s="271"/>
      <c r="AY630" s="271"/>
    </row>
    <row r="631" spans="1:51" ht="15.75" customHeight="1" x14ac:dyDescent="0.25">
      <c r="A631" s="271"/>
      <c r="B631" s="534"/>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c r="AL631" s="271"/>
      <c r="AM631" s="271"/>
      <c r="AN631" s="271"/>
      <c r="AO631" s="271"/>
      <c r="AP631" s="271"/>
      <c r="AQ631" s="271"/>
      <c r="AR631" s="271"/>
      <c r="AS631" s="271"/>
      <c r="AT631" s="271"/>
      <c r="AU631" s="271"/>
      <c r="AV631" s="271"/>
      <c r="AW631" s="271"/>
      <c r="AX631" s="271"/>
      <c r="AY631" s="271"/>
    </row>
    <row r="632" spans="1:51" ht="15.75" customHeight="1" x14ac:dyDescent="0.25">
      <c r="A632" s="271"/>
      <c r="B632" s="534"/>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c r="AL632" s="271"/>
      <c r="AM632" s="271"/>
      <c r="AN632" s="271"/>
      <c r="AO632" s="271"/>
      <c r="AP632" s="271"/>
      <c r="AQ632" s="271"/>
      <c r="AR632" s="271"/>
      <c r="AS632" s="271"/>
      <c r="AT632" s="271"/>
      <c r="AU632" s="271"/>
      <c r="AV632" s="271"/>
      <c r="AW632" s="271"/>
      <c r="AX632" s="271"/>
      <c r="AY632" s="271"/>
    </row>
    <row r="633" spans="1:51" ht="15.75" customHeight="1" x14ac:dyDescent="0.25">
      <c r="A633" s="271"/>
      <c r="B633" s="534"/>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c r="AL633" s="271"/>
      <c r="AM633" s="271"/>
      <c r="AN633" s="271"/>
      <c r="AO633" s="271"/>
      <c r="AP633" s="271"/>
      <c r="AQ633" s="271"/>
      <c r="AR633" s="271"/>
      <c r="AS633" s="271"/>
      <c r="AT633" s="271"/>
      <c r="AU633" s="271"/>
      <c r="AV633" s="271"/>
      <c r="AW633" s="271"/>
      <c r="AX633" s="271"/>
      <c r="AY633" s="271"/>
    </row>
    <row r="634" spans="1:51" ht="15.75" customHeight="1" x14ac:dyDescent="0.25">
      <c r="A634" s="271"/>
      <c r="B634" s="534"/>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c r="AL634" s="271"/>
      <c r="AM634" s="271"/>
      <c r="AN634" s="271"/>
      <c r="AO634" s="271"/>
      <c r="AP634" s="271"/>
      <c r="AQ634" s="271"/>
      <c r="AR634" s="271"/>
      <c r="AS634" s="271"/>
      <c r="AT634" s="271"/>
      <c r="AU634" s="271"/>
      <c r="AV634" s="271"/>
      <c r="AW634" s="271"/>
      <c r="AX634" s="271"/>
      <c r="AY634" s="271"/>
    </row>
    <row r="635" spans="1:51" ht="15.75" customHeight="1" x14ac:dyDescent="0.25">
      <c r="A635" s="271"/>
      <c r="B635" s="534"/>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c r="AL635" s="271"/>
      <c r="AM635" s="271"/>
      <c r="AN635" s="271"/>
      <c r="AO635" s="271"/>
      <c r="AP635" s="271"/>
      <c r="AQ635" s="271"/>
      <c r="AR635" s="271"/>
      <c r="AS635" s="271"/>
      <c r="AT635" s="271"/>
      <c r="AU635" s="271"/>
      <c r="AV635" s="271"/>
      <c r="AW635" s="271"/>
      <c r="AX635" s="271"/>
      <c r="AY635" s="271"/>
    </row>
    <row r="636" spans="1:51" ht="15.75" customHeight="1" x14ac:dyDescent="0.25">
      <c r="A636" s="271"/>
      <c r="B636" s="534"/>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c r="AL636" s="271"/>
      <c r="AM636" s="271"/>
      <c r="AN636" s="271"/>
      <c r="AO636" s="271"/>
      <c r="AP636" s="271"/>
      <c r="AQ636" s="271"/>
      <c r="AR636" s="271"/>
      <c r="AS636" s="271"/>
      <c r="AT636" s="271"/>
      <c r="AU636" s="271"/>
      <c r="AV636" s="271"/>
      <c r="AW636" s="271"/>
      <c r="AX636" s="271"/>
      <c r="AY636" s="271"/>
    </row>
    <row r="637" spans="1:51" ht="15.75" customHeight="1" x14ac:dyDescent="0.25">
      <c r="A637" s="271"/>
      <c r="B637" s="534"/>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c r="AL637" s="271"/>
      <c r="AM637" s="271"/>
      <c r="AN637" s="271"/>
      <c r="AO637" s="271"/>
      <c r="AP637" s="271"/>
      <c r="AQ637" s="271"/>
      <c r="AR637" s="271"/>
      <c r="AS637" s="271"/>
      <c r="AT637" s="271"/>
      <c r="AU637" s="271"/>
      <c r="AV637" s="271"/>
      <c r="AW637" s="271"/>
      <c r="AX637" s="271"/>
      <c r="AY637" s="271"/>
    </row>
    <row r="638" spans="1:51" ht="15.75" customHeight="1" x14ac:dyDescent="0.25">
      <c r="A638" s="271"/>
      <c r="B638" s="534"/>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c r="AL638" s="271"/>
      <c r="AM638" s="271"/>
      <c r="AN638" s="271"/>
      <c r="AO638" s="271"/>
      <c r="AP638" s="271"/>
      <c r="AQ638" s="271"/>
      <c r="AR638" s="271"/>
      <c r="AS638" s="271"/>
      <c r="AT638" s="271"/>
      <c r="AU638" s="271"/>
      <c r="AV638" s="271"/>
      <c r="AW638" s="271"/>
      <c r="AX638" s="271"/>
      <c r="AY638" s="271"/>
    </row>
    <row r="639" spans="1:51" ht="15.75" customHeight="1" x14ac:dyDescent="0.25">
      <c r="A639" s="271"/>
      <c r="B639" s="534"/>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c r="AL639" s="271"/>
      <c r="AM639" s="271"/>
      <c r="AN639" s="271"/>
      <c r="AO639" s="271"/>
      <c r="AP639" s="271"/>
      <c r="AQ639" s="271"/>
      <c r="AR639" s="271"/>
      <c r="AS639" s="271"/>
      <c r="AT639" s="271"/>
      <c r="AU639" s="271"/>
      <c r="AV639" s="271"/>
      <c r="AW639" s="271"/>
      <c r="AX639" s="271"/>
      <c r="AY639" s="271"/>
    </row>
    <row r="640" spans="1:51" ht="15.75" customHeight="1" x14ac:dyDescent="0.25">
      <c r="A640" s="271"/>
      <c r="B640" s="534"/>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c r="AL640" s="271"/>
      <c r="AM640" s="271"/>
      <c r="AN640" s="271"/>
      <c r="AO640" s="271"/>
      <c r="AP640" s="271"/>
      <c r="AQ640" s="271"/>
      <c r="AR640" s="271"/>
      <c r="AS640" s="271"/>
      <c r="AT640" s="271"/>
      <c r="AU640" s="271"/>
      <c r="AV640" s="271"/>
      <c r="AW640" s="271"/>
      <c r="AX640" s="271"/>
      <c r="AY640" s="271"/>
    </row>
    <row r="641" spans="1:51" ht="15.75" customHeight="1" x14ac:dyDescent="0.25">
      <c r="A641" s="271"/>
      <c r="B641" s="534"/>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c r="AL641" s="271"/>
      <c r="AM641" s="271"/>
      <c r="AN641" s="271"/>
      <c r="AO641" s="271"/>
      <c r="AP641" s="271"/>
      <c r="AQ641" s="271"/>
      <c r="AR641" s="271"/>
      <c r="AS641" s="271"/>
      <c r="AT641" s="271"/>
      <c r="AU641" s="271"/>
      <c r="AV641" s="271"/>
      <c r="AW641" s="271"/>
      <c r="AX641" s="271"/>
      <c r="AY641" s="271"/>
    </row>
    <row r="642" spans="1:51" ht="15.75" customHeight="1" x14ac:dyDescent="0.25">
      <c r="A642" s="271"/>
      <c r="B642" s="534"/>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c r="AL642" s="271"/>
      <c r="AM642" s="271"/>
      <c r="AN642" s="271"/>
      <c r="AO642" s="271"/>
      <c r="AP642" s="271"/>
      <c r="AQ642" s="271"/>
      <c r="AR642" s="271"/>
      <c r="AS642" s="271"/>
      <c r="AT642" s="271"/>
      <c r="AU642" s="271"/>
      <c r="AV642" s="271"/>
      <c r="AW642" s="271"/>
      <c r="AX642" s="271"/>
      <c r="AY642" s="271"/>
    </row>
    <row r="643" spans="1:51" ht="15.75" customHeight="1" x14ac:dyDescent="0.25">
      <c r="A643" s="271"/>
      <c r="B643" s="534"/>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c r="AL643" s="271"/>
      <c r="AM643" s="271"/>
      <c r="AN643" s="271"/>
      <c r="AO643" s="271"/>
      <c r="AP643" s="271"/>
      <c r="AQ643" s="271"/>
      <c r="AR643" s="271"/>
      <c r="AS643" s="271"/>
      <c r="AT643" s="271"/>
      <c r="AU643" s="271"/>
      <c r="AV643" s="271"/>
      <c r="AW643" s="271"/>
      <c r="AX643" s="271"/>
      <c r="AY643" s="271"/>
    </row>
    <row r="644" spans="1:51" ht="15.75" customHeight="1" x14ac:dyDescent="0.25">
      <c r="A644" s="271"/>
      <c r="B644" s="534"/>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c r="AL644" s="271"/>
      <c r="AM644" s="271"/>
      <c r="AN644" s="271"/>
      <c r="AO644" s="271"/>
      <c r="AP644" s="271"/>
      <c r="AQ644" s="271"/>
      <c r="AR644" s="271"/>
      <c r="AS644" s="271"/>
      <c r="AT644" s="271"/>
      <c r="AU644" s="271"/>
      <c r="AV644" s="271"/>
      <c r="AW644" s="271"/>
      <c r="AX644" s="271"/>
      <c r="AY644" s="271"/>
    </row>
    <row r="645" spans="1:51" ht="15.75" customHeight="1" x14ac:dyDescent="0.25">
      <c r="A645" s="271"/>
      <c r="B645" s="534"/>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c r="AL645" s="271"/>
      <c r="AM645" s="271"/>
      <c r="AN645" s="271"/>
      <c r="AO645" s="271"/>
      <c r="AP645" s="271"/>
      <c r="AQ645" s="271"/>
      <c r="AR645" s="271"/>
      <c r="AS645" s="271"/>
      <c r="AT645" s="271"/>
      <c r="AU645" s="271"/>
      <c r="AV645" s="271"/>
      <c r="AW645" s="271"/>
      <c r="AX645" s="271"/>
      <c r="AY645" s="271"/>
    </row>
    <row r="646" spans="1:51" ht="15.75" customHeight="1" x14ac:dyDescent="0.25">
      <c r="A646" s="271"/>
      <c r="B646" s="534"/>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c r="AL646" s="271"/>
      <c r="AM646" s="271"/>
      <c r="AN646" s="271"/>
      <c r="AO646" s="271"/>
      <c r="AP646" s="271"/>
      <c r="AQ646" s="271"/>
      <c r="AR646" s="271"/>
      <c r="AS646" s="271"/>
      <c r="AT646" s="271"/>
      <c r="AU646" s="271"/>
      <c r="AV646" s="271"/>
      <c r="AW646" s="271"/>
      <c r="AX646" s="271"/>
      <c r="AY646" s="271"/>
    </row>
    <row r="647" spans="1:51" ht="15.75" customHeight="1" x14ac:dyDescent="0.25">
      <c r="A647" s="271"/>
      <c r="B647" s="534"/>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c r="AL647" s="271"/>
      <c r="AM647" s="271"/>
      <c r="AN647" s="271"/>
      <c r="AO647" s="271"/>
      <c r="AP647" s="271"/>
      <c r="AQ647" s="271"/>
      <c r="AR647" s="271"/>
      <c r="AS647" s="271"/>
      <c r="AT647" s="271"/>
      <c r="AU647" s="271"/>
      <c r="AV647" s="271"/>
      <c r="AW647" s="271"/>
      <c r="AX647" s="271"/>
      <c r="AY647" s="271"/>
    </row>
    <row r="648" spans="1:51" ht="15.75" customHeight="1" x14ac:dyDescent="0.25">
      <c r="A648" s="271"/>
      <c r="B648" s="534"/>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c r="AL648" s="271"/>
      <c r="AM648" s="271"/>
      <c r="AN648" s="271"/>
      <c r="AO648" s="271"/>
      <c r="AP648" s="271"/>
      <c r="AQ648" s="271"/>
      <c r="AR648" s="271"/>
      <c r="AS648" s="271"/>
      <c r="AT648" s="271"/>
      <c r="AU648" s="271"/>
      <c r="AV648" s="271"/>
      <c r="AW648" s="271"/>
      <c r="AX648" s="271"/>
      <c r="AY648" s="271"/>
    </row>
    <row r="649" spans="1:51" ht="15.75" customHeight="1" x14ac:dyDescent="0.25">
      <c r="A649" s="271"/>
      <c r="B649" s="534"/>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c r="AL649" s="271"/>
      <c r="AM649" s="271"/>
      <c r="AN649" s="271"/>
      <c r="AO649" s="271"/>
      <c r="AP649" s="271"/>
      <c r="AQ649" s="271"/>
      <c r="AR649" s="271"/>
      <c r="AS649" s="271"/>
      <c r="AT649" s="271"/>
      <c r="AU649" s="271"/>
      <c r="AV649" s="271"/>
      <c r="AW649" s="271"/>
      <c r="AX649" s="271"/>
      <c r="AY649" s="271"/>
    </row>
    <row r="650" spans="1:51" ht="15.75" customHeight="1" x14ac:dyDescent="0.25">
      <c r="A650" s="271"/>
      <c r="B650" s="534"/>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c r="AL650" s="271"/>
      <c r="AM650" s="271"/>
      <c r="AN650" s="271"/>
      <c r="AO650" s="271"/>
      <c r="AP650" s="271"/>
      <c r="AQ650" s="271"/>
      <c r="AR650" s="271"/>
      <c r="AS650" s="271"/>
      <c r="AT650" s="271"/>
      <c r="AU650" s="271"/>
      <c r="AV650" s="271"/>
      <c r="AW650" s="271"/>
      <c r="AX650" s="271"/>
      <c r="AY650" s="271"/>
    </row>
    <row r="651" spans="1:51" ht="15.75" customHeight="1" x14ac:dyDescent="0.25">
      <c r="A651" s="271"/>
      <c r="B651" s="534"/>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c r="AL651" s="271"/>
      <c r="AM651" s="271"/>
      <c r="AN651" s="271"/>
      <c r="AO651" s="271"/>
      <c r="AP651" s="271"/>
      <c r="AQ651" s="271"/>
      <c r="AR651" s="271"/>
      <c r="AS651" s="271"/>
      <c r="AT651" s="271"/>
      <c r="AU651" s="271"/>
      <c r="AV651" s="271"/>
      <c r="AW651" s="271"/>
      <c r="AX651" s="271"/>
      <c r="AY651" s="271"/>
    </row>
    <row r="652" spans="1:51" ht="15.75" customHeight="1" x14ac:dyDescent="0.25">
      <c r="A652" s="271"/>
      <c r="B652" s="534"/>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c r="AL652" s="271"/>
      <c r="AM652" s="271"/>
      <c r="AN652" s="271"/>
      <c r="AO652" s="271"/>
      <c r="AP652" s="271"/>
      <c r="AQ652" s="271"/>
      <c r="AR652" s="271"/>
      <c r="AS652" s="271"/>
      <c r="AT652" s="271"/>
      <c r="AU652" s="271"/>
      <c r="AV652" s="271"/>
      <c r="AW652" s="271"/>
      <c r="AX652" s="271"/>
      <c r="AY652" s="271"/>
    </row>
    <row r="653" spans="1:51" ht="15.75" customHeight="1" x14ac:dyDescent="0.25">
      <c r="A653" s="271"/>
      <c r="B653" s="534"/>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c r="AL653" s="271"/>
      <c r="AM653" s="271"/>
      <c r="AN653" s="271"/>
      <c r="AO653" s="271"/>
      <c r="AP653" s="271"/>
      <c r="AQ653" s="271"/>
      <c r="AR653" s="271"/>
      <c r="AS653" s="271"/>
      <c r="AT653" s="271"/>
      <c r="AU653" s="271"/>
      <c r="AV653" s="271"/>
      <c r="AW653" s="271"/>
      <c r="AX653" s="271"/>
      <c r="AY653" s="271"/>
    </row>
    <row r="654" spans="1:51" ht="15.75" customHeight="1" x14ac:dyDescent="0.25">
      <c r="A654" s="271"/>
      <c r="B654" s="534"/>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c r="AL654" s="271"/>
      <c r="AM654" s="271"/>
      <c r="AN654" s="271"/>
      <c r="AO654" s="271"/>
      <c r="AP654" s="271"/>
      <c r="AQ654" s="271"/>
      <c r="AR654" s="271"/>
      <c r="AS654" s="271"/>
      <c r="AT654" s="271"/>
      <c r="AU654" s="271"/>
      <c r="AV654" s="271"/>
      <c r="AW654" s="271"/>
      <c r="AX654" s="271"/>
      <c r="AY654" s="271"/>
    </row>
    <row r="655" spans="1:51" ht="15.75" customHeight="1" x14ac:dyDescent="0.25">
      <c r="A655" s="271"/>
      <c r="B655" s="534"/>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c r="AL655" s="271"/>
      <c r="AM655" s="271"/>
      <c r="AN655" s="271"/>
      <c r="AO655" s="271"/>
      <c r="AP655" s="271"/>
      <c r="AQ655" s="271"/>
      <c r="AR655" s="271"/>
      <c r="AS655" s="271"/>
      <c r="AT655" s="271"/>
      <c r="AU655" s="271"/>
      <c r="AV655" s="271"/>
      <c r="AW655" s="271"/>
      <c r="AX655" s="271"/>
      <c r="AY655" s="271"/>
    </row>
    <row r="656" spans="1:51" ht="15.75" customHeight="1" x14ac:dyDescent="0.25">
      <c r="A656" s="271"/>
      <c r="B656" s="534"/>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c r="AL656" s="271"/>
      <c r="AM656" s="271"/>
      <c r="AN656" s="271"/>
      <c r="AO656" s="271"/>
      <c r="AP656" s="271"/>
      <c r="AQ656" s="271"/>
      <c r="AR656" s="271"/>
      <c r="AS656" s="271"/>
      <c r="AT656" s="271"/>
      <c r="AU656" s="271"/>
      <c r="AV656" s="271"/>
      <c r="AW656" s="271"/>
      <c r="AX656" s="271"/>
      <c r="AY656" s="271"/>
    </row>
    <row r="657" spans="1:51" ht="15.75" customHeight="1" x14ac:dyDescent="0.25">
      <c r="A657" s="271"/>
      <c r="B657" s="534"/>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c r="AL657" s="271"/>
      <c r="AM657" s="271"/>
      <c r="AN657" s="271"/>
      <c r="AO657" s="271"/>
      <c r="AP657" s="271"/>
      <c r="AQ657" s="271"/>
      <c r="AR657" s="271"/>
      <c r="AS657" s="271"/>
      <c r="AT657" s="271"/>
      <c r="AU657" s="271"/>
      <c r="AV657" s="271"/>
      <c r="AW657" s="271"/>
      <c r="AX657" s="271"/>
      <c r="AY657" s="271"/>
    </row>
    <row r="658" spans="1:51" ht="15.75" customHeight="1" x14ac:dyDescent="0.25">
      <c r="A658" s="271"/>
      <c r="B658" s="534"/>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c r="AL658" s="271"/>
      <c r="AM658" s="271"/>
      <c r="AN658" s="271"/>
      <c r="AO658" s="271"/>
      <c r="AP658" s="271"/>
      <c r="AQ658" s="271"/>
      <c r="AR658" s="271"/>
      <c r="AS658" s="271"/>
      <c r="AT658" s="271"/>
      <c r="AU658" s="271"/>
      <c r="AV658" s="271"/>
      <c r="AW658" s="271"/>
      <c r="AX658" s="271"/>
      <c r="AY658" s="271"/>
    </row>
    <row r="659" spans="1:51" ht="15.75" customHeight="1" x14ac:dyDescent="0.25">
      <c r="A659" s="271"/>
      <c r="B659" s="534"/>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c r="AL659" s="271"/>
      <c r="AM659" s="271"/>
      <c r="AN659" s="271"/>
      <c r="AO659" s="271"/>
      <c r="AP659" s="271"/>
      <c r="AQ659" s="271"/>
      <c r="AR659" s="271"/>
      <c r="AS659" s="271"/>
      <c r="AT659" s="271"/>
      <c r="AU659" s="271"/>
      <c r="AV659" s="271"/>
      <c r="AW659" s="271"/>
      <c r="AX659" s="271"/>
      <c r="AY659" s="271"/>
    </row>
    <row r="660" spans="1:51" ht="15.75" customHeight="1" x14ac:dyDescent="0.25">
      <c r="A660" s="271"/>
      <c r="B660" s="534"/>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c r="AL660" s="271"/>
      <c r="AM660" s="271"/>
      <c r="AN660" s="271"/>
      <c r="AO660" s="271"/>
      <c r="AP660" s="271"/>
      <c r="AQ660" s="271"/>
      <c r="AR660" s="271"/>
      <c r="AS660" s="271"/>
      <c r="AT660" s="271"/>
      <c r="AU660" s="271"/>
      <c r="AV660" s="271"/>
      <c r="AW660" s="271"/>
      <c r="AX660" s="271"/>
      <c r="AY660" s="271"/>
    </row>
    <row r="661" spans="1:51" ht="15.75" customHeight="1" x14ac:dyDescent="0.25">
      <c r="A661" s="271"/>
      <c r="B661" s="534"/>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c r="AL661" s="271"/>
      <c r="AM661" s="271"/>
      <c r="AN661" s="271"/>
      <c r="AO661" s="271"/>
      <c r="AP661" s="271"/>
      <c r="AQ661" s="271"/>
      <c r="AR661" s="271"/>
      <c r="AS661" s="271"/>
      <c r="AT661" s="271"/>
      <c r="AU661" s="271"/>
      <c r="AV661" s="271"/>
      <c r="AW661" s="271"/>
      <c r="AX661" s="271"/>
      <c r="AY661" s="271"/>
    </row>
    <row r="662" spans="1:51" ht="15.75" customHeight="1" x14ac:dyDescent="0.25">
      <c r="A662" s="271"/>
      <c r="B662" s="534"/>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c r="AL662" s="271"/>
      <c r="AM662" s="271"/>
      <c r="AN662" s="271"/>
      <c r="AO662" s="271"/>
      <c r="AP662" s="271"/>
      <c r="AQ662" s="271"/>
      <c r="AR662" s="271"/>
      <c r="AS662" s="271"/>
      <c r="AT662" s="271"/>
      <c r="AU662" s="271"/>
      <c r="AV662" s="271"/>
      <c r="AW662" s="271"/>
      <c r="AX662" s="271"/>
      <c r="AY662" s="271"/>
    </row>
    <row r="663" spans="1:51" ht="15.75" customHeight="1" x14ac:dyDescent="0.25">
      <c r="A663" s="271"/>
      <c r="B663" s="534"/>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c r="AL663" s="271"/>
      <c r="AM663" s="271"/>
      <c r="AN663" s="271"/>
      <c r="AO663" s="271"/>
      <c r="AP663" s="271"/>
      <c r="AQ663" s="271"/>
      <c r="AR663" s="271"/>
      <c r="AS663" s="271"/>
      <c r="AT663" s="271"/>
      <c r="AU663" s="271"/>
      <c r="AV663" s="271"/>
      <c r="AW663" s="271"/>
      <c r="AX663" s="271"/>
      <c r="AY663" s="271"/>
    </row>
    <row r="664" spans="1:51" ht="15.75" customHeight="1" x14ac:dyDescent="0.25">
      <c r="A664" s="271"/>
      <c r="B664" s="534"/>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c r="AL664" s="271"/>
      <c r="AM664" s="271"/>
      <c r="AN664" s="271"/>
      <c r="AO664" s="271"/>
      <c r="AP664" s="271"/>
      <c r="AQ664" s="271"/>
      <c r="AR664" s="271"/>
      <c r="AS664" s="271"/>
      <c r="AT664" s="271"/>
      <c r="AU664" s="271"/>
      <c r="AV664" s="271"/>
      <c r="AW664" s="271"/>
      <c r="AX664" s="271"/>
      <c r="AY664" s="271"/>
    </row>
    <row r="665" spans="1:51" ht="15.75" customHeight="1" x14ac:dyDescent="0.25">
      <c r="A665" s="271"/>
      <c r="B665" s="534"/>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c r="AL665" s="271"/>
      <c r="AM665" s="271"/>
      <c r="AN665" s="271"/>
      <c r="AO665" s="271"/>
      <c r="AP665" s="271"/>
      <c r="AQ665" s="271"/>
      <c r="AR665" s="271"/>
      <c r="AS665" s="271"/>
      <c r="AT665" s="271"/>
      <c r="AU665" s="271"/>
      <c r="AV665" s="271"/>
      <c r="AW665" s="271"/>
      <c r="AX665" s="271"/>
      <c r="AY665" s="271"/>
    </row>
    <row r="666" spans="1:51" ht="15.75" customHeight="1" x14ac:dyDescent="0.25">
      <c r="A666" s="271"/>
      <c r="B666" s="534"/>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c r="AL666" s="271"/>
      <c r="AM666" s="271"/>
      <c r="AN666" s="271"/>
      <c r="AO666" s="271"/>
      <c r="AP666" s="271"/>
      <c r="AQ666" s="271"/>
      <c r="AR666" s="271"/>
      <c r="AS666" s="271"/>
      <c r="AT666" s="271"/>
      <c r="AU666" s="271"/>
      <c r="AV666" s="271"/>
      <c r="AW666" s="271"/>
      <c r="AX666" s="271"/>
      <c r="AY666" s="271"/>
    </row>
    <row r="667" spans="1:51" ht="15.75" customHeight="1" x14ac:dyDescent="0.25">
      <c r="A667" s="271"/>
      <c r="B667" s="534"/>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c r="AL667" s="271"/>
      <c r="AM667" s="271"/>
      <c r="AN667" s="271"/>
      <c r="AO667" s="271"/>
      <c r="AP667" s="271"/>
      <c r="AQ667" s="271"/>
      <c r="AR667" s="271"/>
      <c r="AS667" s="271"/>
      <c r="AT667" s="271"/>
      <c r="AU667" s="271"/>
      <c r="AV667" s="271"/>
      <c r="AW667" s="271"/>
      <c r="AX667" s="271"/>
      <c r="AY667" s="271"/>
    </row>
    <row r="668" spans="1:51" ht="15.75" customHeight="1" x14ac:dyDescent="0.25">
      <c r="A668" s="271"/>
      <c r="B668" s="534"/>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c r="AL668" s="271"/>
      <c r="AM668" s="271"/>
      <c r="AN668" s="271"/>
      <c r="AO668" s="271"/>
      <c r="AP668" s="271"/>
      <c r="AQ668" s="271"/>
      <c r="AR668" s="271"/>
      <c r="AS668" s="271"/>
      <c r="AT668" s="271"/>
      <c r="AU668" s="271"/>
      <c r="AV668" s="271"/>
      <c r="AW668" s="271"/>
      <c r="AX668" s="271"/>
      <c r="AY668" s="271"/>
    </row>
    <row r="669" spans="1:51" ht="15.75" customHeight="1" x14ac:dyDescent="0.25">
      <c r="A669" s="271"/>
      <c r="B669" s="534"/>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c r="AL669" s="271"/>
      <c r="AM669" s="271"/>
      <c r="AN669" s="271"/>
      <c r="AO669" s="271"/>
      <c r="AP669" s="271"/>
      <c r="AQ669" s="271"/>
      <c r="AR669" s="271"/>
      <c r="AS669" s="271"/>
      <c r="AT669" s="271"/>
      <c r="AU669" s="271"/>
      <c r="AV669" s="271"/>
      <c r="AW669" s="271"/>
      <c r="AX669" s="271"/>
      <c r="AY669" s="271"/>
    </row>
    <row r="670" spans="1:51" ht="15.75" customHeight="1" x14ac:dyDescent="0.25">
      <c r="A670" s="271"/>
      <c r="B670" s="534"/>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c r="AL670" s="271"/>
      <c r="AM670" s="271"/>
      <c r="AN670" s="271"/>
      <c r="AO670" s="271"/>
      <c r="AP670" s="271"/>
      <c r="AQ670" s="271"/>
      <c r="AR670" s="271"/>
      <c r="AS670" s="271"/>
      <c r="AT670" s="271"/>
      <c r="AU670" s="271"/>
      <c r="AV670" s="271"/>
      <c r="AW670" s="271"/>
      <c r="AX670" s="271"/>
      <c r="AY670" s="271"/>
    </row>
    <row r="671" spans="1:51" ht="15.75" customHeight="1" x14ac:dyDescent="0.25">
      <c r="A671" s="271"/>
      <c r="B671" s="534"/>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c r="AL671" s="271"/>
      <c r="AM671" s="271"/>
      <c r="AN671" s="271"/>
      <c r="AO671" s="271"/>
      <c r="AP671" s="271"/>
      <c r="AQ671" s="271"/>
      <c r="AR671" s="271"/>
      <c r="AS671" s="271"/>
      <c r="AT671" s="271"/>
      <c r="AU671" s="271"/>
      <c r="AV671" s="271"/>
      <c r="AW671" s="271"/>
      <c r="AX671" s="271"/>
      <c r="AY671" s="271"/>
    </row>
    <row r="672" spans="1:51" ht="15.75" customHeight="1" x14ac:dyDescent="0.25">
      <c r="A672" s="271"/>
      <c r="B672" s="534"/>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c r="AL672" s="271"/>
      <c r="AM672" s="271"/>
      <c r="AN672" s="271"/>
      <c r="AO672" s="271"/>
      <c r="AP672" s="271"/>
      <c r="AQ672" s="271"/>
      <c r="AR672" s="271"/>
      <c r="AS672" s="271"/>
      <c r="AT672" s="271"/>
      <c r="AU672" s="271"/>
      <c r="AV672" s="271"/>
      <c r="AW672" s="271"/>
      <c r="AX672" s="271"/>
      <c r="AY672" s="271"/>
    </row>
    <row r="673" spans="1:51" ht="15.75" customHeight="1" x14ac:dyDescent="0.25">
      <c r="A673" s="271"/>
      <c r="B673" s="534"/>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c r="AL673" s="271"/>
      <c r="AM673" s="271"/>
      <c r="AN673" s="271"/>
      <c r="AO673" s="271"/>
      <c r="AP673" s="271"/>
      <c r="AQ673" s="271"/>
      <c r="AR673" s="271"/>
      <c r="AS673" s="271"/>
      <c r="AT673" s="271"/>
      <c r="AU673" s="271"/>
      <c r="AV673" s="271"/>
      <c r="AW673" s="271"/>
      <c r="AX673" s="271"/>
      <c r="AY673" s="271"/>
    </row>
    <row r="674" spans="1:51" ht="15.75" customHeight="1" x14ac:dyDescent="0.25">
      <c r="A674" s="271"/>
      <c r="B674" s="534"/>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c r="AL674" s="271"/>
      <c r="AM674" s="271"/>
      <c r="AN674" s="271"/>
      <c r="AO674" s="271"/>
      <c r="AP674" s="271"/>
      <c r="AQ674" s="271"/>
      <c r="AR674" s="271"/>
      <c r="AS674" s="271"/>
      <c r="AT674" s="271"/>
      <c r="AU674" s="271"/>
      <c r="AV674" s="271"/>
      <c r="AW674" s="271"/>
      <c r="AX674" s="271"/>
      <c r="AY674" s="271"/>
    </row>
    <row r="675" spans="1:51" ht="15.75" customHeight="1" x14ac:dyDescent="0.25">
      <c r="A675" s="271"/>
      <c r="B675" s="534"/>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c r="AL675" s="271"/>
      <c r="AM675" s="271"/>
      <c r="AN675" s="271"/>
      <c r="AO675" s="271"/>
      <c r="AP675" s="271"/>
      <c r="AQ675" s="271"/>
      <c r="AR675" s="271"/>
      <c r="AS675" s="271"/>
      <c r="AT675" s="271"/>
      <c r="AU675" s="271"/>
      <c r="AV675" s="271"/>
      <c r="AW675" s="271"/>
      <c r="AX675" s="271"/>
      <c r="AY675" s="271"/>
    </row>
    <row r="676" spans="1:51" ht="15.75" customHeight="1" x14ac:dyDescent="0.25">
      <c r="A676" s="271"/>
      <c r="B676" s="534"/>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c r="AL676" s="271"/>
      <c r="AM676" s="271"/>
      <c r="AN676" s="271"/>
      <c r="AO676" s="271"/>
      <c r="AP676" s="271"/>
      <c r="AQ676" s="271"/>
      <c r="AR676" s="271"/>
      <c r="AS676" s="271"/>
      <c r="AT676" s="271"/>
      <c r="AU676" s="271"/>
      <c r="AV676" s="271"/>
      <c r="AW676" s="271"/>
      <c r="AX676" s="271"/>
      <c r="AY676" s="271"/>
    </row>
    <row r="677" spans="1:51" ht="15.75" customHeight="1" x14ac:dyDescent="0.25">
      <c r="A677" s="271"/>
      <c r="B677" s="534"/>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c r="AL677" s="271"/>
      <c r="AM677" s="271"/>
      <c r="AN677" s="271"/>
      <c r="AO677" s="271"/>
      <c r="AP677" s="271"/>
      <c r="AQ677" s="271"/>
      <c r="AR677" s="271"/>
      <c r="AS677" s="271"/>
      <c r="AT677" s="271"/>
      <c r="AU677" s="271"/>
      <c r="AV677" s="271"/>
      <c r="AW677" s="271"/>
      <c r="AX677" s="271"/>
      <c r="AY677" s="271"/>
    </row>
    <row r="678" spans="1:51" ht="15.75" customHeight="1" x14ac:dyDescent="0.25">
      <c r="A678" s="271"/>
      <c r="B678" s="534"/>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c r="AL678" s="271"/>
      <c r="AM678" s="271"/>
      <c r="AN678" s="271"/>
      <c r="AO678" s="271"/>
      <c r="AP678" s="271"/>
      <c r="AQ678" s="271"/>
      <c r="AR678" s="271"/>
      <c r="AS678" s="271"/>
      <c r="AT678" s="271"/>
      <c r="AU678" s="271"/>
      <c r="AV678" s="271"/>
      <c r="AW678" s="271"/>
      <c r="AX678" s="271"/>
      <c r="AY678" s="271"/>
    </row>
    <row r="679" spans="1:51" ht="15.75" customHeight="1" x14ac:dyDescent="0.25">
      <c r="A679" s="271"/>
      <c r="B679" s="534"/>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c r="AL679" s="271"/>
      <c r="AM679" s="271"/>
      <c r="AN679" s="271"/>
      <c r="AO679" s="271"/>
      <c r="AP679" s="271"/>
      <c r="AQ679" s="271"/>
      <c r="AR679" s="271"/>
      <c r="AS679" s="271"/>
      <c r="AT679" s="271"/>
      <c r="AU679" s="271"/>
      <c r="AV679" s="271"/>
      <c r="AW679" s="271"/>
      <c r="AX679" s="271"/>
      <c r="AY679" s="271"/>
    </row>
    <row r="680" spans="1:51" ht="15.75" customHeight="1" x14ac:dyDescent="0.25">
      <c r="A680" s="271"/>
      <c r="B680" s="534"/>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c r="AL680" s="271"/>
      <c r="AM680" s="271"/>
      <c r="AN680" s="271"/>
      <c r="AO680" s="271"/>
      <c r="AP680" s="271"/>
      <c r="AQ680" s="271"/>
      <c r="AR680" s="271"/>
      <c r="AS680" s="271"/>
      <c r="AT680" s="271"/>
      <c r="AU680" s="271"/>
      <c r="AV680" s="271"/>
      <c r="AW680" s="271"/>
      <c r="AX680" s="271"/>
      <c r="AY680" s="271"/>
    </row>
    <row r="681" spans="1:51" ht="15.75" customHeight="1" x14ac:dyDescent="0.25">
      <c r="A681" s="271"/>
      <c r="B681" s="534"/>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c r="AL681" s="271"/>
      <c r="AM681" s="271"/>
      <c r="AN681" s="271"/>
      <c r="AO681" s="271"/>
      <c r="AP681" s="271"/>
      <c r="AQ681" s="271"/>
      <c r="AR681" s="271"/>
      <c r="AS681" s="271"/>
      <c r="AT681" s="271"/>
      <c r="AU681" s="271"/>
      <c r="AV681" s="271"/>
      <c r="AW681" s="271"/>
      <c r="AX681" s="271"/>
      <c r="AY681" s="271"/>
    </row>
    <row r="682" spans="1:51" ht="15.75" customHeight="1" x14ac:dyDescent="0.25">
      <c r="A682" s="271"/>
      <c r="B682" s="534"/>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c r="AL682" s="271"/>
      <c r="AM682" s="271"/>
      <c r="AN682" s="271"/>
      <c r="AO682" s="271"/>
      <c r="AP682" s="271"/>
      <c r="AQ682" s="271"/>
      <c r="AR682" s="271"/>
      <c r="AS682" s="271"/>
      <c r="AT682" s="271"/>
      <c r="AU682" s="271"/>
      <c r="AV682" s="271"/>
      <c r="AW682" s="271"/>
      <c r="AX682" s="271"/>
      <c r="AY682" s="271"/>
    </row>
    <row r="683" spans="1:51" ht="15.75" customHeight="1" x14ac:dyDescent="0.25">
      <c r="A683" s="271"/>
      <c r="B683" s="534"/>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c r="AL683" s="271"/>
      <c r="AM683" s="271"/>
      <c r="AN683" s="271"/>
      <c r="AO683" s="271"/>
      <c r="AP683" s="271"/>
      <c r="AQ683" s="271"/>
      <c r="AR683" s="271"/>
      <c r="AS683" s="271"/>
      <c r="AT683" s="271"/>
      <c r="AU683" s="271"/>
      <c r="AV683" s="271"/>
      <c r="AW683" s="271"/>
      <c r="AX683" s="271"/>
      <c r="AY683" s="271"/>
    </row>
    <row r="684" spans="1:51" ht="15.75" customHeight="1" x14ac:dyDescent="0.25">
      <c r="A684" s="271"/>
      <c r="B684" s="534"/>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c r="AL684" s="271"/>
      <c r="AM684" s="271"/>
      <c r="AN684" s="271"/>
      <c r="AO684" s="271"/>
      <c r="AP684" s="271"/>
      <c r="AQ684" s="271"/>
      <c r="AR684" s="271"/>
      <c r="AS684" s="271"/>
      <c r="AT684" s="271"/>
      <c r="AU684" s="271"/>
      <c r="AV684" s="271"/>
      <c r="AW684" s="271"/>
      <c r="AX684" s="271"/>
      <c r="AY684" s="271"/>
    </row>
    <row r="685" spans="1:51" ht="15.75" customHeight="1" x14ac:dyDescent="0.25">
      <c r="A685" s="271"/>
      <c r="B685" s="534"/>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c r="AL685" s="271"/>
      <c r="AM685" s="271"/>
      <c r="AN685" s="271"/>
      <c r="AO685" s="271"/>
      <c r="AP685" s="271"/>
      <c r="AQ685" s="271"/>
      <c r="AR685" s="271"/>
      <c r="AS685" s="271"/>
      <c r="AT685" s="271"/>
      <c r="AU685" s="271"/>
      <c r="AV685" s="271"/>
      <c r="AW685" s="271"/>
      <c r="AX685" s="271"/>
      <c r="AY685" s="271"/>
    </row>
    <row r="686" spans="1:51" ht="15.75" customHeight="1" x14ac:dyDescent="0.25">
      <c r="A686" s="271"/>
      <c r="B686" s="534"/>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c r="AL686" s="271"/>
      <c r="AM686" s="271"/>
      <c r="AN686" s="271"/>
      <c r="AO686" s="271"/>
      <c r="AP686" s="271"/>
      <c r="AQ686" s="271"/>
      <c r="AR686" s="271"/>
      <c r="AS686" s="271"/>
      <c r="AT686" s="271"/>
      <c r="AU686" s="271"/>
      <c r="AV686" s="271"/>
      <c r="AW686" s="271"/>
      <c r="AX686" s="271"/>
      <c r="AY686" s="271"/>
    </row>
    <row r="687" spans="1:51" ht="15.75" customHeight="1" x14ac:dyDescent="0.25">
      <c r="A687" s="271"/>
      <c r="B687" s="534"/>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c r="AL687" s="271"/>
      <c r="AM687" s="271"/>
      <c r="AN687" s="271"/>
      <c r="AO687" s="271"/>
      <c r="AP687" s="271"/>
      <c r="AQ687" s="271"/>
      <c r="AR687" s="271"/>
      <c r="AS687" s="271"/>
      <c r="AT687" s="271"/>
      <c r="AU687" s="271"/>
      <c r="AV687" s="271"/>
      <c r="AW687" s="271"/>
      <c r="AX687" s="271"/>
      <c r="AY687" s="271"/>
    </row>
    <row r="688" spans="1:51" ht="15.75" customHeight="1" x14ac:dyDescent="0.25">
      <c r="A688" s="271"/>
      <c r="B688" s="534"/>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c r="AL688" s="271"/>
      <c r="AM688" s="271"/>
      <c r="AN688" s="271"/>
      <c r="AO688" s="271"/>
      <c r="AP688" s="271"/>
      <c r="AQ688" s="271"/>
      <c r="AR688" s="271"/>
      <c r="AS688" s="271"/>
      <c r="AT688" s="271"/>
      <c r="AU688" s="271"/>
      <c r="AV688" s="271"/>
      <c r="AW688" s="271"/>
      <c r="AX688" s="271"/>
      <c r="AY688" s="271"/>
    </row>
    <row r="689" spans="1:51" ht="15.75" customHeight="1" x14ac:dyDescent="0.25">
      <c r="A689" s="271"/>
      <c r="B689" s="534"/>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c r="AL689" s="271"/>
      <c r="AM689" s="271"/>
      <c r="AN689" s="271"/>
      <c r="AO689" s="271"/>
      <c r="AP689" s="271"/>
      <c r="AQ689" s="271"/>
      <c r="AR689" s="271"/>
      <c r="AS689" s="271"/>
      <c r="AT689" s="271"/>
      <c r="AU689" s="271"/>
      <c r="AV689" s="271"/>
      <c r="AW689" s="271"/>
      <c r="AX689" s="271"/>
      <c r="AY689" s="271"/>
    </row>
    <row r="690" spans="1:51" ht="15.75" customHeight="1" x14ac:dyDescent="0.25">
      <c r="A690" s="271"/>
      <c r="B690" s="534"/>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c r="AL690" s="271"/>
      <c r="AM690" s="271"/>
      <c r="AN690" s="271"/>
      <c r="AO690" s="271"/>
      <c r="AP690" s="271"/>
      <c r="AQ690" s="271"/>
      <c r="AR690" s="271"/>
      <c r="AS690" s="271"/>
      <c r="AT690" s="271"/>
      <c r="AU690" s="271"/>
      <c r="AV690" s="271"/>
      <c r="AW690" s="271"/>
      <c r="AX690" s="271"/>
      <c r="AY690" s="271"/>
    </row>
    <row r="691" spans="1:51" ht="15.75" customHeight="1" x14ac:dyDescent="0.25">
      <c r="A691" s="271"/>
      <c r="B691" s="534"/>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c r="AL691" s="271"/>
      <c r="AM691" s="271"/>
      <c r="AN691" s="271"/>
      <c r="AO691" s="271"/>
      <c r="AP691" s="271"/>
      <c r="AQ691" s="271"/>
      <c r="AR691" s="271"/>
      <c r="AS691" s="271"/>
      <c r="AT691" s="271"/>
      <c r="AU691" s="271"/>
      <c r="AV691" s="271"/>
      <c r="AW691" s="271"/>
      <c r="AX691" s="271"/>
      <c r="AY691" s="271"/>
    </row>
    <row r="692" spans="1:51" ht="15.75" customHeight="1" x14ac:dyDescent="0.25">
      <c r="A692" s="271"/>
      <c r="B692" s="534"/>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c r="AL692" s="271"/>
      <c r="AM692" s="271"/>
      <c r="AN692" s="271"/>
      <c r="AO692" s="271"/>
      <c r="AP692" s="271"/>
      <c r="AQ692" s="271"/>
      <c r="AR692" s="271"/>
      <c r="AS692" s="271"/>
      <c r="AT692" s="271"/>
      <c r="AU692" s="271"/>
      <c r="AV692" s="271"/>
      <c r="AW692" s="271"/>
      <c r="AX692" s="271"/>
      <c r="AY692" s="271"/>
    </row>
    <row r="693" spans="1:51" ht="15.75" customHeight="1" x14ac:dyDescent="0.25">
      <c r="A693" s="271"/>
      <c r="B693" s="534"/>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c r="AL693" s="271"/>
      <c r="AM693" s="271"/>
      <c r="AN693" s="271"/>
      <c r="AO693" s="271"/>
      <c r="AP693" s="271"/>
      <c r="AQ693" s="271"/>
      <c r="AR693" s="271"/>
      <c r="AS693" s="271"/>
      <c r="AT693" s="271"/>
      <c r="AU693" s="271"/>
      <c r="AV693" s="271"/>
      <c r="AW693" s="271"/>
      <c r="AX693" s="271"/>
      <c r="AY693" s="271"/>
    </row>
    <row r="694" spans="1:51" ht="15.75" customHeight="1" x14ac:dyDescent="0.25">
      <c r="A694" s="271"/>
      <c r="B694" s="534"/>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c r="AL694" s="271"/>
      <c r="AM694" s="271"/>
      <c r="AN694" s="271"/>
      <c r="AO694" s="271"/>
      <c r="AP694" s="271"/>
      <c r="AQ694" s="271"/>
      <c r="AR694" s="271"/>
      <c r="AS694" s="271"/>
      <c r="AT694" s="271"/>
      <c r="AU694" s="271"/>
      <c r="AV694" s="271"/>
      <c r="AW694" s="271"/>
      <c r="AX694" s="271"/>
      <c r="AY694" s="271"/>
    </row>
    <row r="695" spans="1:51" ht="15.75" customHeight="1" x14ac:dyDescent="0.25">
      <c r="A695" s="271"/>
      <c r="B695" s="534"/>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c r="AL695" s="271"/>
      <c r="AM695" s="271"/>
      <c r="AN695" s="271"/>
      <c r="AO695" s="271"/>
      <c r="AP695" s="271"/>
      <c r="AQ695" s="271"/>
      <c r="AR695" s="271"/>
      <c r="AS695" s="271"/>
      <c r="AT695" s="271"/>
      <c r="AU695" s="271"/>
      <c r="AV695" s="271"/>
      <c r="AW695" s="271"/>
      <c r="AX695" s="271"/>
      <c r="AY695" s="271"/>
    </row>
    <row r="696" spans="1:51" ht="15.75" customHeight="1" x14ac:dyDescent="0.25">
      <c r="A696" s="271"/>
      <c r="B696" s="534"/>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c r="AL696" s="271"/>
      <c r="AM696" s="271"/>
      <c r="AN696" s="271"/>
      <c r="AO696" s="271"/>
      <c r="AP696" s="271"/>
      <c r="AQ696" s="271"/>
      <c r="AR696" s="271"/>
      <c r="AS696" s="271"/>
      <c r="AT696" s="271"/>
      <c r="AU696" s="271"/>
      <c r="AV696" s="271"/>
      <c r="AW696" s="271"/>
      <c r="AX696" s="271"/>
      <c r="AY696" s="271"/>
    </row>
    <row r="697" spans="1:51" ht="15.75" customHeight="1" x14ac:dyDescent="0.25">
      <c r="A697" s="271"/>
      <c r="B697" s="534"/>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c r="AL697" s="271"/>
      <c r="AM697" s="271"/>
      <c r="AN697" s="271"/>
      <c r="AO697" s="271"/>
      <c r="AP697" s="271"/>
      <c r="AQ697" s="271"/>
      <c r="AR697" s="271"/>
      <c r="AS697" s="271"/>
      <c r="AT697" s="271"/>
      <c r="AU697" s="271"/>
      <c r="AV697" s="271"/>
      <c r="AW697" s="271"/>
      <c r="AX697" s="271"/>
      <c r="AY697" s="271"/>
    </row>
    <row r="698" spans="1:51" ht="15.75" customHeight="1" x14ac:dyDescent="0.25">
      <c r="A698" s="271"/>
      <c r="B698" s="534"/>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c r="AL698" s="271"/>
      <c r="AM698" s="271"/>
      <c r="AN698" s="271"/>
      <c r="AO698" s="271"/>
      <c r="AP698" s="271"/>
      <c r="AQ698" s="271"/>
      <c r="AR698" s="271"/>
      <c r="AS698" s="271"/>
      <c r="AT698" s="271"/>
      <c r="AU698" s="271"/>
      <c r="AV698" s="271"/>
      <c r="AW698" s="271"/>
      <c r="AX698" s="271"/>
      <c r="AY698" s="271"/>
    </row>
    <row r="699" spans="1:51" ht="15.75" customHeight="1" x14ac:dyDescent="0.25">
      <c r="A699" s="271"/>
      <c r="B699" s="534"/>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c r="AL699" s="271"/>
      <c r="AM699" s="271"/>
      <c r="AN699" s="271"/>
      <c r="AO699" s="271"/>
      <c r="AP699" s="271"/>
      <c r="AQ699" s="271"/>
      <c r="AR699" s="271"/>
      <c r="AS699" s="271"/>
      <c r="AT699" s="271"/>
      <c r="AU699" s="271"/>
      <c r="AV699" s="271"/>
      <c r="AW699" s="271"/>
      <c r="AX699" s="271"/>
      <c r="AY699" s="271"/>
    </row>
    <row r="700" spans="1:51" ht="15.75" customHeight="1" x14ac:dyDescent="0.25">
      <c r="A700" s="271"/>
      <c r="B700" s="534"/>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c r="AL700" s="271"/>
      <c r="AM700" s="271"/>
      <c r="AN700" s="271"/>
      <c r="AO700" s="271"/>
      <c r="AP700" s="271"/>
      <c r="AQ700" s="271"/>
      <c r="AR700" s="271"/>
      <c r="AS700" s="271"/>
      <c r="AT700" s="271"/>
      <c r="AU700" s="271"/>
      <c r="AV700" s="271"/>
      <c r="AW700" s="271"/>
      <c r="AX700" s="271"/>
      <c r="AY700" s="271"/>
    </row>
    <row r="701" spans="1:51" ht="15.75" customHeight="1" x14ac:dyDescent="0.25">
      <c r="A701" s="271"/>
      <c r="B701" s="534"/>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c r="AL701" s="271"/>
      <c r="AM701" s="271"/>
      <c r="AN701" s="271"/>
      <c r="AO701" s="271"/>
      <c r="AP701" s="271"/>
      <c r="AQ701" s="271"/>
      <c r="AR701" s="271"/>
      <c r="AS701" s="271"/>
      <c r="AT701" s="271"/>
      <c r="AU701" s="271"/>
      <c r="AV701" s="271"/>
      <c r="AW701" s="271"/>
      <c r="AX701" s="271"/>
      <c r="AY701" s="271"/>
    </row>
    <row r="702" spans="1:51" ht="15.75" customHeight="1" x14ac:dyDescent="0.25">
      <c r="A702" s="271"/>
      <c r="B702" s="534"/>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c r="AL702" s="271"/>
      <c r="AM702" s="271"/>
      <c r="AN702" s="271"/>
      <c r="AO702" s="271"/>
      <c r="AP702" s="271"/>
      <c r="AQ702" s="271"/>
      <c r="AR702" s="271"/>
      <c r="AS702" s="271"/>
      <c r="AT702" s="271"/>
      <c r="AU702" s="271"/>
      <c r="AV702" s="271"/>
      <c r="AW702" s="271"/>
      <c r="AX702" s="271"/>
      <c r="AY702" s="271"/>
    </row>
    <row r="703" spans="1:51" ht="15.75" customHeight="1" x14ac:dyDescent="0.25">
      <c r="A703" s="271"/>
      <c r="B703" s="534"/>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c r="AL703" s="271"/>
      <c r="AM703" s="271"/>
      <c r="AN703" s="271"/>
      <c r="AO703" s="271"/>
      <c r="AP703" s="271"/>
      <c r="AQ703" s="271"/>
      <c r="AR703" s="271"/>
      <c r="AS703" s="271"/>
      <c r="AT703" s="271"/>
      <c r="AU703" s="271"/>
      <c r="AV703" s="271"/>
      <c r="AW703" s="271"/>
      <c r="AX703" s="271"/>
      <c r="AY703" s="271"/>
    </row>
    <row r="704" spans="1:51" ht="15.75" customHeight="1" x14ac:dyDescent="0.25">
      <c r="A704" s="271"/>
      <c r="B704" s="534"/>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c r="AL704" s="271"/>
      <c r="AM704" s="271"/>
      <c r="AN704" s="271"/>
      <c r="AO704" s="271"/>
      <c r="AP704" s="271"/>
      <c r="AQ704" s="271"/>
      <c r="AR704" s="271"/>
      <c r="AS704" s="271"/>
      <c r="AT704" s="271"/>
      <c r="AU704" s="271"/>
      <c r="AV704" s="271"/>
      <c r="AW704" s="271"/>
      <c r="AX704" s="271"/>
      <c r="AY704" s="271"/>
    </row>
    <row r="705" spans="1:51" ht="15.75" customHeight="1" x14ac:dyDescent="0.25">
      <c r="A705" s="271"/>
      <c r="B705" s="534"/>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c r="AL705" s="271"/>
      <c r="AM705" s="271"/>
      <c r="AN705" s="271"/>
      <c r="AO705" s="271"/>
      <c r="AP705" s="271"/>
      <c r="AQ705" s="271"/>
      <c r="AR705" s="271"/>
      <c r="AS705" s="271"/>
      <c r="AT705" s="271"/>
      <c r="AU705" s="271"/>
      <c r="AV705" s="271"/>
      <c r="AW705" s="271"/>
      <c r="AX705" s="271"/>
      <c r="AY705" s="271"/>
    </row>
    <row r="706" spans="1:51" ht="15.75" customHeight="1" x14ac:dyDescent="0.25">
      <c r="A706" s="271"/>
      <c r="B706" s="534"/>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c r="AL706" s="271"/>
      <c r="AM706" s="271"/>
      <c r="AN706" s="271"/>
      <c r="AO706" s="271"/>
      <c r="AP706" s="271"/>
      <c r="AQ706" s="271"/>
      <c r="AR706" s="271"/>
      <c r="AS706" s="271"/>
      <c r="AT706" s="271"/>
      <c r="AU706" s="271"/>
      <c r="AV706" s="271"/>
      <c r="AW706" s="271"/>
      <c r="AX706" s="271"/>
      <c r="AY706" s="271"/>
    </row>
    <row r="707" spans="1:51" ht="15.75" customHeight="1" x14ac:dyDescent="0.25">
      <c r="A707" s="271"/>
      <c r="B707" s="534"/>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c r="AL707" s="271"/>
      <c r="AM707" s="271"/>
      <c r="AN707" s="271"/>
      <c r="AO707" s="271"/>
      <c r="AP707" s="271"/>
      <c r="AQ707" s="271"/>
      <c r="AR707" s="271"/>
      <c r="AS707" s="271"/>
      <c r="AT707" s="271"/>
      <c r="AU707" s="271"/>
      <c r="AV707" s="271"/>
      <c r="AW707" s="271"/>
      <c r="AX707" s="271"/>
      <c r="AY707" s="271"/>
    </row>
    <row r="708" spans="1:51" ht="15.75" customHeight="1" x14ac:dyDescent="0.25">
      <c r="A708" s="271"/>
      <c r="B708" s="534"/>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c r="AL708" s="271"/>
      <c r="AM708" s="271"/>
      <c r="AN708" s="271"/>
      <c r="AO708" s="271"/>
      <c r="AP708" s="271"/>
      <c r="AQ708" s="271"/>
      <c r="AR708" s="271"/>
      <c r="AS708" s="271"/>
      <c r="AT708" s="271"/>
      <c r="AU708" s="271"/>
      <c r="AV708" s="271"/>
      <c r="AW708" s="271"/>
      <c r="AX708" s="271"/>
      <c r="AY708" s="271"/>
    </row>
    <row r="709" spans="1:51" ht="15.75" customHeight="1" x14ac:dyDescent="0.25">
      <c r="A709" s="271"/>
      <c r="B709" s="534"/>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c r="AL709" s="271"/>
      <c r="AM709" s="271"/>
      <c r="AN709" s="271"/>
      <c r="AO709" s="271"/>
      <c r="AP709" s="271"/>
      <c r="AQ709" s="271"/>
      <c r="AR709" s="271"/>
      <c r="AS709" s="271"/>
      <c r="AT709" s="271"/>
      <c r="AU709" s="271"/>
      <c r="AV709" s="271"/>
      <c r="AW709" s="271"/>
      <c r="AX709" s="271"/>
      <c r="AY709" s="271"/>
    </row>
    <row r="710" spans="1:51" ht="15.75" customHeight="1" x14ac:dyDescent="0.25">
      <c r="A710" s="271"/>
      <c r="B710" s="534"/>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c r="AL710" s="271"/>
      <c r="AM710" s="271"/>
      <c r="AN710" s="271"/>
      <c r="AO710" s="271"/>
      <c r="AP710" s="271"/>
      <c r="AQ710" s="271"/>
      <c r="AR710" s="271"/>
      <c r="AS710" s="271"/>
      <c r="AT710" s="271"/>
      <c r="AU710" s="271"/>
      <c r="AV710" s="271"/>
      <c r="AW710" s="271"/>
      <c r="AX710" s="271"/>
      <c r="AY710" s="271"/>
    </row>
    <row r="711" spans="1:51" ht="15.75" customHeight="1" x14ac:dyDescent="0.25">
      <c r="A711" s="271"/>
      <c r="B711" s="534"/>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c r="AL711" s="271"/>
      <c r="AM711" s="271"/>
      <c r="AN711" s="271"/>
      <c r="AO711" s="271"/>
      <c r="AP711" s="271"/>
      <c r="AQ711" s="271"/>
      <c r="AR711" s="271"/>
      <c r="AS711" s="271"/>
      <c r="AT711" s="271"/>
      <c r="AU711" s="271"/>
      <c r="AV711" s="271"/>
      <c r="AW711" s="271"/>
      <c r="AX711" s="271"/>
      <c r="AY711" s="271"/>
    </row>
    <row r="712" spans="1:51" ht="15.75" customHeight="1" x14ac:dyDescent="0.25">
      <c r="A712" s="271"/>
      <c r="B712" s="534"/>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c r="AL712" s="271"/>
      <c r="AM712" s="271"/>
      <c r="AN712" s="271"/>
      <c r="AO712" s="271"/>
      <c r="AP712" s="271"/>
      <c r="AQ712" s="271"/>
      <c r="AR712" s="271"/>
      <c r="AS712" s="271"/>
      <c r="AT712" s="271"/>
      <c r="AU712" s="271"/>
      <c r="AV712" s="271"/>
      <c r="AW712" s="271"/>
      <c r="AX712" s="271"/>
      <c r="AY712" s="271"/>
    </row>
    <row r="713" spans="1:51" ht="15.75" customHeight="1" x14ac:dyDescent="0.25">
      <c r="A713" s="271"/>
      <c r="B713" s="534"/>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c r="AL713" s="271"/>
      <c r="AM713" s="271"/>
      <c r="AN713" s="271"/>
      <c r="AO713" s="271"/>
      <c r="AP713" s="271"/>
      <c r="AQ713" s="271"/>
      <c r="AR713" s="271"/>
      <c r="AS713" s="271"/>
      <c r="AT713" s="271"/>
      <c r="AU713" s="271"/>
      <c r="AV713" s="271"/>
      <c r="AW713" s="271"/>
      <c r="AX713" s="271"/>
      <c r="AY713" s="271"/>
    </row>
    <row r="714" spans="1:51" ht="15.75" customHeight="1" x14ac:dyDescent="0.25">
      <c r="A714" s="271"/>
      <c r="B714" s="534"/>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c r="AL714" s="271"/>
      <c r="AM714" s="271"/>
      <c r="AN714" s="271"/>
      <c r="AO714" s="271"/>
      <c r="AP714" s="271"/>
      <c r="AQ714" s="271"/>
      <c r="AR714" s="271"/>
      <c r="AS714" s="271"/>
      <c r="AT714" s="271"/>
      <c r="AU714" s="271"/>
      <c r="AV714" s="271"/>
      <c r="AW714" s="271"/>
      <c r="AX714" s="271"/>
      <c r="AY714" s="271"/>
    </row>
    <row r="715" spans="1:51" ht="15.75" customHeight="1" x14ac:dyDescent="0.25">
      <c r="A715" s="271"/>
      <c r="B715" s="534"/>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c r="AL715" s="271"/>
      <c r="AM715" s="271"/>
      <c r="AN715" s="271"/>
      <c r="AO715" s="271"/>
      <c r="AP715" s="271"/>
      <c r="AQ715" s="271"/>
      <c r="AR715" s="271"/>
      <c r="AS715" s="271"/>
      <c r="AT715" s="271"/>
      <c r="AU715" s="271"/>
      <c r="AV715" s="271"/>
      <c r="AW715" s="271"/>
      <c r="AX715" s="271"/>
      <c r="AY715" s="271"/>
    </row>
    <row r="716" spans="1:51" ht="15.75" customHeight="1" x14ac:dyDescent="0.25">
      <c r="A716" s="271"/>
      <c r="B716" s="534"/>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c r="AL716" s="271"/>
      <c r="AM716" s="271"/>
      <c r="AN716" s="271"/>
      <c r="AO716" s="271"/>
      <c r="AP716" s="271"/>
      <c r="AQ716" s="271"/>
      <c r="AR716" s="271"/>
      <c r="AS716" s="271"/>
      <c r="AT716" s="271"/>
      <c r="AU716" s="271"/>
      <c r="AV716" s="271"/>
      <c r="AW716" s="271"/>
      <c r="AX716" s="271"/>
      <c r="AY716" s="271"/>
    </row>
    <row r="717" spans="1:51" ht="15.75" customHeight="1" x14ac:dyDescent="0.25">
      <c r="A717" s="271"/>
      <c r="B717" s="534"/>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c r="AL717" s="271"/>
      <c r="AM717" s="271"/>
      <c r="AN717" s="271"/>
      <c r="AO717" s="271"/>
      <c r="AP717" s="271"/>
      <c r="AQ717" s="271"/>
      <c r="AR717" s="271"/>
      <c r="AS717" s="271"/>
      <c r="AT717" s="271"/>
      <c r="AU717" s="271"/>
      <c r="AV717" s="271"/>
      <c r="AW717" s="271"/>
      <c r="AX717" s="271"/>
      <c r="AY717" s="271"/>
    </row>
    <row r="718" spans="1:51" ht="15.75" customHeight="1" x14ac:dyDescent="0.25">
      <c r="A718" s="271"/>
      <c r="B718" s="534"/>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c r="AL718" s="271"/>
      <c r="AM718" s="271"/>
      <c r="AN718" s="271"/>
      <c r="AO718" s="271"/>
      <c r="AP718" s="271"/>
      <c r="AQ718" s="271"/>
      <c r="AR718" s="271"/>
      <c r="AS718" s="271"/>
      <c r="AT718" s="271"/>
      <c r="AU718" s="271"/>
      <c r="AV718" s="271"/>
      <c r="AW718" s="271"/>
      <c r="AX718" s="271"/>
      <c r="AY718" s="271"/>
    </row>
    <row r="719" spans="1:51" ht="15.75" customHeight="1" x14ac:dyDescent="0.25">
      <c r="A719" s="271"/>
      <c r="B719" s="534"/>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c r="AL719" s="271"/>
      <c r="AM719" s="271"/>
      <c r="AN719" s="271"/>
      <c r="AO719" s="271"/>
      <c r="AP719" s="271"/>
      <c r="AQ719" s="271"/>
      <c r="AR719" s="271"/>
      <c r="AS719" s="271"/>
      <c r="AT719" s="271"/>
      <c r="AU719" s="271"/>
      <c r="AV719" s="271"/>
      <c r="AW719" s="271"/>
      <c r="AX719" s="271"/>
      <c r="AY719" s="271"/>
    </row>
    <row r="720" spans="1:51" ht="15.75" customHeight="1" x14ac:dyDescent="0.25">
      <c r="A720" s="271"/>
      <c r="B720" s="534"/>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c r="AL720" s="271"/>
      <c r="AM720" s="271"/>
      <c r="AN720" s="271"/>
      <c r="AO720" s="271"/>
      <c r="AP720" s="271"/>
      <c r="AQ720" s="271"/>
      <c r="AR720" s="271"/>
      <c r="AS720" s="271"/>
      <c r="AT720" s="271"/>
      <c r="AU720" s="271"/>
      <c r="AV720" s="271"/>
      <c r="AW720" s="271"/>
      <c r="AX720" s="271"/>
      <c r="AY720" s="271"/>
    </row>
    <row r="721" spans="1:51" ht="15.75" customHeight="1" x14ac:dyDescent="0.25">
      <c r="A721" s="271"/>
      <c r="B721" s="534"/>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c r="AL721" s="271"/>
      <c r="AM721" s="271"/>
      <c r="AN721" s="271"/>
      <c r="AO721" s="271"/>
      <c r="AP721" s="271"/>
      <c r="AQ721" s="271"/>
      <c r="AR721" s="271"/>
      <c r="AS721" s="271"/>
      <c r="AT721" s="271"/>
      <c r="AU721" s="271"/>
      <c r="AV721" s="271"/>
      <c r="AW721" s="271"/>
      <c r="AX721" s="271"/>
      <c r="AY721" s="271"/>
    </row>
    <row r="722" spans="1:51" ht="15.75" customHeight="1" x14ac:dyDescent="0.25">
      <c r="A722" s="271"/>
      <c r="B722" s="534"/>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c r="AL722" s="271"/>
      <c r="AM722" s="271"/>
      <c r="AN722" s="271"/>
      <c r="AO722" s="271"/>
      <c r="AP722" s="271"/>
      <c r="AQ722" s="271"/>
      <c r="AR722" s="271"/>
      <c r="AS722" s="271"/>
      <c r="AT722" s="271"/>
      <c r="AU722" s="271"/>
      <c r="AV722" s="271"/>
      <c r="AW722" s="271"/>
      <c r="AX722" s="271"/>
      <c r="AY722" s="271"/>
    </row>
    <row r="723" spans="1:51" ht="15.75" customHeight="1" x14ac:dyDescent="0.25">
      <c r="A723" s="271"/>
      <c r="B723" s="534"/>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c r="AL723" s="271"/>
      <c r="AM723" s="271"/>
      <c r="AN723" s="271"/>
      <c r="AO723" s="271"/>
      <c r="AP723" s="271"/>
      <c r="AQ723" s="271"/>
      <c r="AR723" s="271"/>
      <c r="AS723" s="271"/>
      <c r="AT723" s="271"/>
      <c r="AU723" s="271"/>
      <c r="AV723" s="271"/>
      <c r="AW723" s="271"/>
      <c r="AX723" s="271"/>
      <c r="AY723" s="271"/>
    </row>
    <row r="724" spans="1:51" ht="15.75" customHeight="1" x14ac:dyDescent="0.25">
      <c r="A724" s="271"/>
      <c r="B724" s="534"/>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c r="AL724" s="271"/>
      <c r="AM724" s="271"/>
      <c r="AN724" s="271"/>
      <c r="AO724" s="271"/>
      <c r="AP724" s="271"/>
      <c r="AQ724" s="271"/>
      <c r="AR724" s="271"/>
      <c r="AS724" s="271"/>
      <c r="AT724" s="271"/>
      <c r="AU724" s="271"/>
      <c r="AV724" s="271"/>
      <c r="AW724" s="271"/>
      <c r="AX724" s="271"/>
      <c r="AY724" s="271"/>
    </row>
    <row r="725" spans="1:51" ht="15.75" customHeight="1" x14ac:dyDescent="0.25">
      <c r="A725" s="271"/>
      <c r="B725" s="534"/>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c r="AL725" s="271"/>
      <c r="AM725" s="271"/>
      <c r="AN725" s="271"/>
      <c r="AO725" s="271"/>
      <c r="AP725" s="271"/>
      <c r="AQ725" s="271"/>
      <c r="AR725" s="271"/>
      <c r="AS725" s="271"/>
      <c r="AT725" s="271"/>
      <c r="AU725" s="271"/>
      <c r="AV725" s="271"/>
      <c r="AW725" s="271"/>
      <c r="AX725" s="271"/>
      <c r="AY725" s="271"/>
    </row>
    <row r="726" spans="1:51" ht="15.75" customHeight="1" x14ac:dyDescent="0.25">
      <c r="A726" s="271"/>
      <c r="B726" s="534"/>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c r="AL726" s="271"/>
      <c r="AM726" s="271"/>
      <c r="AN726" s="271"/>
      <c r="AO726" s="271"/>
      <c r="AP726" s="271"/>
      <c r="AQ726" s="271"/>
      <c r="AR726" s="271"/>
      <c r="AS726" s="271"/>
      <c r="AT726" s="271"/>
      <c r="AU726" s="271"/>
      <c r="AV726" s="271"/>
      <c r="AW726" s="271"/>
      <c r="AX726" s="271"/>
      <c r="AY726" s="271"/>
    </row>
    <row r="727" spans="1:51" ht="15.75" customHeight="1" x14ac:dyDescent="0.25">
      <c r="A727" s="271"/>
      <c r="B727" s="534"/>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c r="AL727" s="271"/>
      <c r="AM727" s="271"/>
      <c r="AN727" s="271"/>
      <c r="AO727" s="271"/>
      <c r="AP727" s="271"/>
      <c r="AQ727" s="271"/>
      <c r="AR727" s="271"/>
      <c r="AS727" s="271"/>
      <c r="AT727" s="271"/>
      <c r="AU727" s="271"/>
      <c r="AV727" s="271"/>
      <c r="AW727" s="271"/>
      <c r="AX727" s="271"/>
      <c r="AY727" s="271"/>
    </row>
    <row r="728" spans="1:51" ht="15.75" customHeight="1" x14ac:dyDescent="0.25">
      <c r="A728" s="271"/>
      <c r="B728" s="534"/>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c r="AL728" s="271"/>
      <c r="AM728" s="271"/>
      <c r="AN728" s="271"/>
      <c r="AO728" s="271"/>
      <c r="AP728" s="271"/>
      <c r="AQ728" s="271"/>
      <c r="AR728" s="271"/>
      <c r="AS728" s="271"/>
      <c r="AT728" s="271"/>
      <c r="AU728" s="271"/>
      <c r="AV728" s="271"/>
      <c r="AW728" s="271"/>
      <c r="AX728" s="271"/>
      <c r="AY728" s="271"/>
    </row>
    <row r="729" spans="1:51" ht="15.75" customHeight="1" x14ac:dyDescent="0.25">
      <c r="A729" s="271"/>
      <c r="B729" s="534"/>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c r="AL729" s="271"/>
      <c r="AM729" s="271"/>
      <c r="AN729" s="271"/>
      <c r="AO729" s="271"/>
      <c r="AP729" s="271"/>
      <c r="AQ729" s="271"/>
      <c r="AR729" s="271"/>
      <c r="AS729" s="271"/>
      <c r="AT729" s="271"/>
      <c r="AU729" s="271"/>
      <c r="AV729" s="271"/>
      <c r="AW729" s="271"/>
      <c r="AX729" s="271"/>
      <c r="AY729" s="271"/>
    </row>
    <row r="730" spans="1:51" ht="15.75" customHeight="1" x14ac:dyDescent="0.25">
      <c r="A730" s="271"/>
      <c r="B730" s="534"/>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c r="AL730" s="271"/>
      <c r="AM730" s="271"/>
      <c r="AN730" s="271"/>
      <c r="AO730" s="271"/>
      <c r="AP730" s="271"/>
      <c r="AQ730" s="271"/>
      <c r="AR730" s="271"/>
      <c r="AS730" s="271"/>
      <c r="AT730" s="271"/>
      <c r="AU730" s="271"/>
      <c r="AV730" s="271"/>
      <c r="AW730" s="271"/>
      <c r="AX730" s="271"/>
      <c r="AY730" s="271"/>
    </row>
    <row r="731" spans="1:51" ht="15.75" customHeight="1" x14ac:dyDescent="0.25">
      <c r="A731" s="271"/>
      <c r="B731" s="534"/>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c r="AL731" s="271"/>
      <c r="AM731" s="271"/>
      <c r="AN731" s="271"/>
      <c r="AO731" s="271"/>
      <c r="AP731" s="271"/>
      <c r="AQ731" s="271"/>
      <c r="AR731" s="271"/>
      <c r="AS731" s="271"/>
      <c r="AT731" s="271"/>
      <c r="AU731" s="271"/>
      <c r="AV731" s="271"/>
      <c r="AW731" s="271"/>
      <c r="AX731" s="271"/>
      <c r="AY731" s="271"/>
    </row>
    <row r="732" spans="1:51" ht="15.75" customHeight="1" x14ac:dyDescent="0.25">
      <c r="A732" s="271"/>
      <c r="B732" s="534"/>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c r="AL732" s="271"/>
      <c r="AM732" s="271"/>
      <c r="AN732" s="271"/>
      <c r="AO732" s="271"/>
      <c r="AP732" s="271"/>
      <c r="AQ732" s="271"/>
      <c r="AR732" s="271"/>
      <c r="AS732" s="271"/>
      <c r="AT732" s="271"/>
      <c r="AU732" s="271"/>
      <c r="AV732" s="271"/>
      <c r="AW732" s="271"/>
      <c r="AX732" s="271"/>
      <c r="AY732" s="271"/>
    </row>
    <row r="733" spans="1:51" ht="15.75" customHeight="1" x14ac:dyDescent="0.25">
      <c r="A733" s="271"/>
      <c r="B733" s="534"/>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c r="AL733" s="271"/>
      <c r="AM733" s="271"/>
      <c r="AN733" s="271"/>
      <c r="AO733" s="271"/>
      <c r="AP733" s="271"/>
      <c r="AQ733" s="271"/>
      <c r="AR733" s="271"/>
      <c r="AS733" s="271"/>
      <c r="AT733" s="271"/>
      <c r="AU733" s="271"/>
      <c r="AV733" s="271"/>
      <c r="AW733" s="271"/>
      <c r="AX733" s="271"/>
      <c r="AY733" s="271"/>
    </row>
    <row r="734" spans="1:51" ht="15.75" customHeight="1" x14ac:dyDescent="0.25">
      <c r="A734" s="271"/>
      <c r="B734" s="534"/>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c r="AL734" s="271"/>
      <c r="AM734" s="271"/>
      <c r="AN734" s="271"/>
      <c r="AO734" s="271"/>
      <c r="AP734" s="271"/>
      <c r="AQ734" s="271"/>
      <c r="AR734" s="271"/>
      <c r="AS734" s="271"/>
      <c r="AT734" s="271"/>
      <c r="AU734" s="271"/>
      <c r="AV734" s="271"/>
      <c r="AW734" s="271"/>
      <c r="AX734" s="271"/>
      <c r="AY734" s="271"/>
    </row>
    <row r="735" spans="1:51" ht="15.75" customHeight="1" x14ac:dyDescent="0.25">
      <c r="A735" s="271"/>
      <c r="B735" s="534"/>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c r="AL735" s="271"/>
      <c r="AM735" s="271"/>
      <c r="AN735" s="271"/>
      <c r="AO735" s="271"/>
      <c r="AP735" s="271"/>
      <c r="AQ735" s="271"/>
      <c r="AR735" s="271"/>
      <c r="AS735" s="271"/>
      <c r="AT735" s="271"/>
      <c r="AU735" s="271"/>
      <c r="AV735" s="271"/>
      <c r="AW735" s="271"/>
      <c r="AX735" s="271"/>
      <c r="AY735" s="271"/>
    </row>
    <row r="736" spans="1:51" ht="15.75" customHeight="1" x14ac:dyDescent="0.25">
      <c r="A736" s="271"/>
      <c r="B736" s="534"/>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c r="AL736" s="271"/>
      <c r="AM736" s="271"/>
      <c r="AN736" s="271"/>
      <c r="AO736" s="271"/>
      <c r="AP736" s="271"/>
      <c r="AQ736" s="271"/>
      <c r="AR736" s="271"/>
      <c r="AS736" s="271"/>
      <c r="AT736" s="271"/>
      <c r="AU736" s="271"/>
      <c r="AV736" s="271"/>
      <c r="AW736" s="271"/>
      <c r="AX736" s="271"/>
      <c r="AY736" s="271"/>
    </row>
    <row r="737" spans="1:51" ht="15.75" customHeight="1" x14ac:dyDescent="0.25">
      <c r="A737" s="271"/>
      <c r="B737" s="534"/>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c r="AL737" s="271"/>
      <c r="AM737" s="271"/>
      <c r="AN737" s="271"/>
      <c r="AO737" s="271"/>
      <c r="AP737" s="271"/>
      <c r="AQ737" s="271"/>
      <c r="AR737" s="271"/>
      <c r="AS737" s="271"/>
      <c r="AT737" s="271"/>
      <c r="AU737" s="271"/>
      <c r="AV737" s="271"/>
      <c r="AW737" s="271"/>
      <c r="AX737" s="271"/>
      <c r="AY737" s="271"/>
    </row>
    <row r="738" spans="1:51" ht="15.75" customHeight="1" x14ac:dyDescent="0.25">
      <c r="A738" s="271"/>
      <c r="B738" s="534"/>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c r="AL738" s="271"/>
      <c r="AM738" s="271"/>
      <c r="AN738" s="271"/>
      <c r="AO738" s="271"/>
      <c r="AP738" s="271"/>
      <c r="AQ738" s="271"/>
      <c r="AR738" s="271"/>
      <c r="AS738" s="271"/>
      <c r="AT738" s="271"/>
      <c r="AU738" s="271"/>
      <c r="AV738" s="271"/>
      <c r="AW738" s="271"/>
      <c r="AX738" s="271"/>
      <c r="AY738" s="271"/>
    </row>
    <row r="739" spans="1:51" ht="15.75" customHeight="1" x14ac:dyDescent="0.25">
      <c r="A739" s="271"/>
      <c r="B739" s="534"/>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c r="AL739" s="271"/>
      <c r="AM739" s="271"/>
      <c r="AN739" s="271"/>
      <c r="AO739" s="271"/>
      <c r="AP739" s="271"/>
      <c r="AQ739" s="271"/>
      <c r="AR739" s="271"/>
      <c r="AS739" s="271"/>
      <c r="AT739" s="271"/>
      <c r="AU739" s="271"/>
      <c r="AV739" s="271"/>
      <c r="AW739" s="271"/>
      <c r="AX739" s="271"/>
      <c r="AY739" s="271"/>
    </row>
    <row r="740" spans="1:51" ht="15.75" customHeight="1" x14ac:dyDescent="0.25">
      <c r="A740" s="271"/>
      <c r="B740" s="534"/>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c r="AL740" s="271"/>
      <c r="AM740" s="271"/>
      <c r="AN740" s="271"/>
      <c r="AO740" s="271"/>
      <c r="AP740" s="271"/>
      <c r="AQ740" s="271"/>
      <c r="AR740" s="271"/>
      <c r="AS740" s="271"/>
      <c r="AT740" s="271"/>
      <c r="AU740" s="271"/>
      <c r="AV740" s="271"/>
      <c r="AW740" s="271"/>
      <c r="AX740" s="271"/>
      <c r="AY740" s="271"/>
    </row>
    <row r="741" spans="1:51" ht="15.75" customHeight="1" x14ac:dyDescent="0.25">
      <c r="A741" s="271"/>
      <c r="B741" s="534"/>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c r="AL741" s="271"/>
      <c r="AM741" s="271"/>
      <c r="AN741" s="271"/>
      <c r="AO741" s="271"/>
      <c r="AP741" s="271"/>
      <c r="AQ741" s="271"/>
      <c r="AR741" s="271"/>
      <c r="AS741" s="271"/>
      <c r="AT741" s="271"/>
      <c r="AU741" s="271"/>
      <c r="AV741" s="271"/>
      <c r="AW741" s="271"/>
      <c r="AX741" s="271"/>
      <c r="AY741" s="271"/>
    </row>
    <row r="742" spans="1:51" ht="15.75" customHeight="1" x14ac:dyDescent="0.25">
      <c r="A742" s="271"/>
      <c r="B742" s="534"/>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c r="AL742" s="271"/>
      <c r="AM742" s="271"/>
      <c r="AN742" s="271"/>
      <c r="AO742" s="271"/>
      <c r="AP742" s="271"/>
      <c r="AQ742" s="271"/>
      <c r="AR742" s="271"/>
      <c r="AS742" s="271"/>
      <c r="AT742" s="271"/>
      <c r="AU742" s="271"/>
      <c r="AV742" s="271"/>
      <c r="AW742" s="271"/>
      <c r="AX742" s="271"/>
      <c r="AY742" s="271"/>
    </row>
    <row r="743" spans="1:51" ht="15.75" customHeight="1" x14ac:dyDescent="0.25">
      <c r="A743" s="271"/>
      <c r="B743" s="534"/>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c r="AL743" s="271"/>
      <c r="AM743" s="271"/>
      <c r="AN743" s="271"/>
      <c r="AO743" s="271"/>
      <c r="AP743" s="271"/>
      <c r="AQ743" s="271"/>
      <c r="AR743" s="271"/>
      <c r="AS743" s="271"/>
      <c r="AT743" s="271"/>
      <c r="AU743" s="271"/>
      <c r="AV743" s="271"/>
      <c r="AW743" s="271"/>
      <c r="AX743" s="271"/>
      <c r="AY743" s="271"/>
    </row>
    <row r="744" spans="1:51" ht="15.75" customHeight="1" x14ac:dyDescent="0.25">
      <c r="A744" s="271"/>
      <c r="B744" s="534"/>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c r="AL744" s="271"/>
      <c r="AM744" s="271"/>
      <c r="AN744" s="271"/>
      <c r="AO744" s="271"/>
      <c r="AP744" s="271"/>
      <c r="AQ744" s="271"/>
      <c r="AR744" s="271"/>
      <c r="AS744" s="271"/>
      <c r="AT744" s="271"/>
      <c r="AU744" s="271"/>
      <c r="AV744" s="271"/>
      <c r="AW744" s="271"/>
      <c r="AX744" s="271"/>
      <c r="AY744" s="271"/>
    </row>
    <row r="745" spans="1:51" ht="15.75" customHeight="1" x14ac:dyDescent="0.25">
      <c r="A745" s="271"/>
      <c r="B745" s="534"/>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c r="AL745" s="271"/>
      <c r="AM745" s="271"/>
      <c r="AN745" s="271"/>
      <c r="AO745" s="271"/>
      <c r="AP745" s="271"/>
      <c r="AQ745" s="271"/>
      <c r="AR745" s="271"/>
      <c r="AS745" s="271"/>
      <c r="AT745" s="271"/>
      <c r="AU745" s="271"/>
      <c r="AV745" s="271"/>
      <c r="AW745" s="271"/>
      <c r="AX745" s="271"/>
      <c r="AY745" s="271"/>
    </row>
    <row r="746" spans="1:51" ht="15.75" customHeight="1" x14ac:dyDescent="0.25">
      <c r="A746" s="271"/>
      <c r="B746" s="534"/>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c r="AL746" s="271"/>
      <c r="AM746" s="271"/>
      <c r="AN746" s="271"/>
      <c r="AO746" s="271"/>
      <c r="AP746" s="271"/>
      <c r="AQ746" s="271"/>
      <c r="AR746" s="271"/>
      <c r="AS746" s="271"/>
      <c r="AT746" s="271"/>
      <c r="AU746" s="271"/>
      <c r="AV746" s="271"/>
      <c r="AW746" s="271"/>
      <c r="AX746" s="271"/>
      <c r="AY746" s="271"/>
    </row>
    <row r="747" spans="1:51" ht="15.75" customHeight="1" x14ac:dyDescent="0.25">
      <c r="A747" s="271"/>
      <c r="B747" s="534"/>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c r="AL747" s="271"/>
      <c r="AM747" s="271"/>
      <c r="AN747" s="271"/>
      <c r="AO747" s="271"/>
      <c r="AP747" s="271"/>
      <c r="AQ747" s="271"/>
      <c r="AR747" s="271"/>
      <c r="AS747" s="271"/>
      <c r="AT747" s="271"/>
      <c r="AU747" s="271"/>
      <c r="AV747" s="271"/>
      <c r="AW747" s="271"/>
      <c r="AX747" s="271"/>
      <c r="AY747" s="271"/>
    </row>
    <row r="748" spans="1:51" ht="15.75" customHeight="1" x14ac:dyDescent="0.25">
      <c r="A748" s="271"/>
      <c r="B748" s="534"/>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c r="AL748" s="271"/>
      <c r="AM748" s="271"/>
      <c r="AN748" s="271"/>
      <c r="AO748" s="271"/>
      <c r="AP748" s="271"/>
      <c r="AQ748" s="271"/>
      <c r="AR748" s="271"/>
      <c r="AS748" s="271"/>
      <c r="AT748" s="271"/>
      <c r="AU748" s="271"/>
      <c r="AV748" s="271"/>
      <c r="AW748" s="271"/>
      <c r="AX748" s="271"/>
      <c r="AY748" s="271"/>
    </row>
    <row r="749" spans="1:51" ht="15.75" customHeight="1" x14ac:dyDescent="0.25">
      <c r="A749" s="271"/>
      <c r="B749" s="534"/>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c r="AL749" s="271"/>
      <c r="AM749" s="271"/>
      <c r="AN749" s="271"/>
      <c r="AO749" s="271"/>
      <c r="AP749" s="271"/>
      <c r="AQ749" s="271"/>
      <c r="AR749" s="271"/>
      <c r="AS749" s="271"/>
      <c r="AT749" s="271"/>
      <c r="AU749" s="271"/>
      <c r="AV749" s="271"/>
      <c r="AW749" s="271"/>
      <c r="AX749" s="271"/>
      <c r="AY749" s="271"/>
    </row>
    <row r="750" spans="1:51" ht="15.75" customHeight="1" x14ac:dyDescent="0.25">
      <c r="A750" s="271"/>
      <c r="B750" s="534"/>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c r="AL750" s="271"/>
      <c r="AM750" s="271"/>
      <c r="AN750" s="271"/>
      <c r="AO750" s="271"/>
      <c r="AP750" s="271"/>
      <c r="AQ750" s="271"/>
      <c r="AR750" s="271"/>
      <c r="AS750" s="271"/>
      <c r="AT750" s="271"/>
      <c r="AU750" s="271"/>
      <c r="AV750" s="271"/>
      <c r="AW750" s="271"/>
      <c r="AX750" s="271"/>
      <c r="AY750" s="271"/>
    </row>
    <row r="751" spans="1:51" ht="15.75" customHeight="1" x14ac:dyDescent="0.25">
      <c r="A751" s="271"/>
      <c r="B751" s="534"/>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c r="AL751" s="271"/>
      <c r="AM751" s="271"/>
      <c r="AN751" s="271"/>
      <c r="AO751" s="271"/>
      <c r="AP751" s="271"/>
      <c r="AQ751" s="271"/>
      <c r="AR751" s="271"/>
      <c r="AS751" s="271"/>
      <c r="AT751" s="271"/>
      <c r="AU751" s="271"/>
      <c r="AV751" s="271"/>
      <c r="AW751" s="271"/>
      <c r="AX751" s="271"/>
      <c r="AY751" s="271"/>
    </row>
    <row r="752" spans="1:51" ht="15.75" customHeight="1" x14ac:dyDescent="0.25">
      <c r="A752" s="271"/>
      <c r="B752" s="534"/>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c r="AL752" s="271"/>
      <c r="AM752" s="271"/>
      <c r="AN752" s="271"/>
      <c r="AO752" s="271"/>
      <c r="AP752" s="271"/>
      <c r="AQ752" s="271"/>
      <c r="AR752" s="271"/>
      <c r="AS752" s="271"/>
      <c r="AT752" s="271"/>
      <c r="AU752" s="271"/>
      <c r="AV752" s="271"/>
      <c r="AW752" s="271"/>
      <c r="AX752" s="271"/>
      <c r="AY752" s="271"/>
    </row>
    <row r="753" spans="1:51" ht="15.75" customHeight="1" x14ac:dyDescent="0.25">
      <c r="A753" s="271"/>
      <c r="B753" s="534"/>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c r="AL753" s="271"/>
      <c r="AM753" s="271"/>
      <c r="AN753" s="271"/>
      <c r="AO753" s="271"/>
      <c r="AP753" s="271"/>
      <c r="AQ753" s="271"/>
      <c r="AR753" s="271"/>
      <c r="AS753" s="271"/>
      <c r="AT753" s="271"/>
      <c r="AU753" s="271"/>
      <c r="AV753" s="271"/>
      <c r="AW753" s="271"/>
      <c r="AX753" s="271"/>
      <c r="AY753" s="271"/>
    </row>
    <row r="754" spans="1:51" ht="15.75" customHeight="1" x14ac:dyDescent="0.25">
      <c r="A754" s="271"/>
      <c r="B754" s="534"/>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c r="AL754" s="271"/>
      <c r="AM754" s="271"/>
      <c r="AN754" s="271"/>
      <c r="AO754" s="271"/>
      <c r="AP754" s="271"/>
      <c r="AQ754" s="271"/>
      <c r="AR754" s="271"/>
      <c r="AS754" s="271"/>
      <c r="AT754" s="271"/>
      <c r="AU754" s="271"/>
      <c r="AV754" s="271"/>
      <c r="AW754" s="271"/>
      <c r="AX754" s="271"/>
      <c r="AY754" s="271"/>
    </row>
    <row r="755" spans="1:51" ht="15.75" customHeight="1" x14ac:dyDescent="0.25">
      <c r="A755" s="271"/>
      <c r="B755" s="534"/>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c r="AL755" s="271"/>
      <c r="AM755" s="271"/>
      <c r="AN755" s="271"/>
      <c r="AO755" s="271"/>
      <c r="AP755" s="271"/>
      <c r="AQ755" s="271"/>
      <c r="AR755" s="271"/>
      <c r="AS755" s="271"/>
      <c r="AT755" s="271"/>
      <c r="AU755" s="271"/>
      <c r="AV755" s="271"/>
      <c r="AW755" s="271"/>
      <c r="AX755" s="271"/>
      <c r="AY755" s="271"/>
    </row>
    <row r="756" spans="1:51" ht="15.75" customHeight="1" x14ac:dyDescent="0.25">
      <c r="A756" s="271"/>
      <c r="B756" s="534"/>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c r="AL756" s="271"/>
      <c r="AM756" s="271"/>
      <c r="AN756" s="271"/>
      <c r="AO756" s="271"/>
      <c r="AP756" s="271"/>
      <c r="AQ756" s="271"/>
      <c r="AR756" s="271"/>
      <c r="AS756" s="271"/>
      <c r="AT756" s="271"/>
      <c r="AU756" s="271"/>
      <c r="AV756" s="271"/>
      <c r="AW756" s="271"/>
      <c r="AX756" s="271"/>
      <c r="AY756" s="271"/>
    </row>
    <row r="757" spans="1:51" ht="15.75" customHeight="1" x14ac:dyDescent="0.25">
      <c r="A757" s="271"/>
      <c r="B757" s="534"/>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c r="AL757" s="271"/>
      <c r="AM757" s="271"/>
      <c r="AN757" s="271"/>
      <c r="AO757" s="271"/>
      <c r="AP757" s="271"/>
      <c r="AQ757" s="271"/>
      <c r="AR757" s="271"/>
      <c r="AS757" s="271"/>
      <c r="AT757" s="271"/>
      <c r="AU757" s="271"/>
      <c r="AV757" s="271"/>
      <c r="AW757" s="271"/>
      <c r="AX757" s="271"/>
      <c r="AY757" s="271"/>
    </row>
    <row r="758" spans="1:51" ht="15.75" customHeight="1" x14ac:dyDescent="0.25">
      <c r="A758" s="271"/>
      <c r="B758" s="534"/>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c r="AL758" s="271"/>
      <c r="AM758" s="271"/>
      <c r="AN758" s="271"/>
      <c r="AO758" s="271"/>
      <c r="AP758" s="271"/>
      <c r="AQ758" s="271"/>
      <c r="AR758" s="271"/>
      <c r="AS758" s="271"/>
      <c r="AT758" s="271"/>
      <c r="AU758" s="271"/>
      <c r="AV758" s="271"/>
      <c r="AW758" s="271"/>
      <c r="AX758" s="271"/>
      <c r="AY758" s="271"/>
    </row>
    <row r="759" spans="1:51" ht="15.75" customHeight="1" x14ac:dyDescent="0.25">
      <c r="A759" s="271"/>
      <c r="B759" s="534"/>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c r="AL759" s="271"/>
      <c r="AM759" s="271"/>
      <c r="AN759" s="271"/>
      <c r="AO759" s="271"/>
      <c r="AP759" s="271"/>
      <c r="AQ759" s="271"/>
      <c r="AR759" s="271"/>
      <c r="AS759" s="271"/>
      <c r="AT759" s="271"/>
      <c r="AU759" s="271"/>
      <c r="AV759" s="271"/>
      <c r="AW759" s="271"/>
      <c r="AX759" s="271"/>
      <c r="AY759" s="271"/>
    </row>
    <row r="760" spans="1:51" ht="15.75" customHeight="1" x14ac:dyDescent="0.25">
      <c r="A760" s="271"/>
      <c r="B760" s="534"/>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c r="AL760" s="271"/>
      <c r="AM760" s="271"/>
      <c r="AN760" s="271"/>
      <c r="AO760" s="271"/>
      <c r="AP760" s="271"/>
      <c r="AQ760" s="271"/>
      <c r="AR760" s="271"/>
      <c r="AS760" s="271"/>
      <c r="AT760" s="271"/>
      <c r="AU760" s="271"/>
      <c r="AV760" s="271"/>
      <c r="AW760" s="271"/>
      <c r="AX760" s="271"/>
      <c r="AY760" s="271"/>
    </row>
    <row r="761" spans="1:51" ht="15.75" customHeight="1" x14ac:dyDescent="0.25">
      <c r="A761" s="271"/>
      <c r="B761" s="534"/>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c r="AL761" s="271"/>
      <c r="AM761" s="271"/>
      <c r="AN761" s="271"/>
      <c r="AO761" s="271"/>
      <c r="AP761" s="271"/>
      <c r="AQ761" s="271"/>
      <c r="AR761" s="271"/>
      <c r="AS761" s="271"/>
      <c r="AT761" s="271"/>
      <c r="AU761" s="271"/>
      <c r="AV761" s="271"/>
      <c r="AW761" s="271"/>
      <c r="AX761" s="271"/>
      <c r="AY761" s="271"/>
    </row>
    <row r="762" spans="1:51" ht="15.75" customHeight="1" x14ac:dyDescent="0.25">
      <c r="A762" s="271"/>
      <c r="B762" s="534"/>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c r="AL762" s="271"/>
      <c r="AM762" s="271"/>
      <c r="AN762" s="271"/>
      <c r="AO762" s="271"/>
      <c r="AP762" s="271"/>
      <c r="AQ762" s="271"/>
      <c r="AR762" s="271"/>
      <c r="AS762" s="271"/>
      <c r="AT762" s="271"/>
      <c r="AU762" s="271"/>
      <c r="AV762" s="271"/>
      <c r="AW762" s="271"/>
      <c r="AX762" s="271"/>
      <c r="AY762" s="271"/>
    </row>
    <row r="763" spans="1:51" ht="15.75" customHeight="1" x14ac:dyDescent="0.25">
      <c r="A763" s="271"/>
      <c r="B763" s="534"/>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c r="AL763" s="271"/>
      <c r="AM763" s="271"/>
      <c r="AN763" s="271"/>
      <c r="AO763" s="271"/>
      <c r="AP763" s="271"/>
      <c r="AQ763" s="271"/>
      <c r="AR763" s="271"/>
      <c r="AS763" s="271"/>
      <c r="AT763" s="271"/>
      <c r="AU763" s="271"/>
      <c r="AV763" s="271"/>
      <c r="AW763" s="271"/>
      <c r="AX763" s="271"/>
      <c r="AY763" s="271"/>
    </row>
    <row r="764" spans="1:51" ht="15.75" customHeight="1" x14ac:dyDescent="0.25">
      <c r="A764" s="271"/>
      <c r="B764" s="534"/>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c r="AL764" s="271"/>
      <c r="AM764" s="271"/>
      <c r="AN764" s="271"/>
      <c r="AO764" s="271"/>
      <c r="AP764" s="271"/>
      <c r="AQ764" s="271"/>
      <c r="AR764" s="271"/>
      <c r="AS764" s="271"/>
      <c r="AT764" s="271"/>
      <c r="AU764" s="271"/>
      <c r="AV764" s="271"/>
      <c r="AW764" s="271"/>
      <c r="AX764" s="271"/>
      <c r="AY764" s="271"/>
    </row>
    <row r="765" spans="1:51" ht="15.75" customHeight="1" x14ac:dyDescent="0.25">
      <c r="A765" s="271"/>
      <c r="B765" s="534"/>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c r="AL765" s="271"/>
      <c r="AM765" s="271"/>
      <c r="AN765" s="271"/>
      <c r="AO765" s="271"/>
      <c r="AP765" s="271"/>
      <c r="AQ765" s="271"/>
      <c r="AR765" s="271"/>
      <c r="AS765" s="271"/>
      <c r="AT765" s="271"/>
      <c r="AU765" s="271"/>
      <c r="AV765" s="271"/>
      <c r="AW765" s="271"/>
      <c r="AX765" s="271"/>
      <c r="AY765" s="271"/>
    </row>
    <row r="766" spans="1:51" ht="15.75" customHeight="1" x14ac:dyDescent="0.25">
      <c r="A766" s="271"/>
      <c r="B766" s="534"/>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c r="AL766" s="271"/>
      <c r="AM766" s="271"/>
      <c r="AN766" s="271"/>
      <c r="AO766" s="271"/>
      <c r="AP766" s="271"/>
      <c r="AQ766" s="271"/>
      <c r="AR766" s="271"/>
      <c r="AS766" s="271"/>
      <c r="AT766" s="271"/>
      <c r="AU766" s="271"/>
      <c r="AV766" s="271"/>
      <c r="AW766" s="271"/>
      <c r="AX766" s="271"/>
      <c r="AY766" s="271"/>
    </row>
    <row r="767" spans="1:51" ht="15.75" customHeight="1" x14ac:dyDescent="0.25">
      <c r="A767" s="271"/>
      <c r="B767" s="534"/>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c r="AL767" s="271"/>
      <c r="AM767" s="271"/>
      <c r="AN767" s="271"/>
      <c r="AO767" s="271"/>
      <c r="AP767" s="271"/>
      <c r="AQ767" s="271"/>
      <c r="AR767" s="271"/>
      <c r="AS767" s="271"/>
      <c r="AT767" s="271"/>
      <c r="AU767" s="271"/>
      <c r="AV767" s="271"/>
      <c r="AW767" s="271"/>
      <c r="AX767" s="271"/>
      <c r="AY767" s="271"/>
    </row>
    <row r="768" spans="1:51" ht="15.75" customHeight="1" x14ac:dyDescent="0.25">
      <c r="A768" s="271"/>
      <c r="B768" s="534"/>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c r="AL768" s="271"/>
      <c r="AM768" s="271"/>
      <c r="AN768" s="271"/>
      <c r="AO768" s="271"/>
      <c r="AP768" s="271"/>
      <c r="AQ768" s="271"/>
      <c r="AR768" s="271"/>
      <c r="AS768" s="271"/>
      <c r="AT768" s="271"/>
      <c r="AU768" s="271"/>
      <c r="AV768" s="271"/>
      <c r="AW768" s="271"/>
      <c r="AX768" s="271"/>
      <c r="AY768" s="271"/>
    </row>
    <row r="769" spans="1:51" ht="15.75" customHeight="1" x14ac:dyDescent="0.25">
      <c r="A769" s="271"/>
      <c r="B769" s="534"/>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c r="AL769" s="271"/>
      <c r="AM769" s="271"/>
      <c r="AN769" s="271"/>
      <c r="AO769" s="271"/>
      <c r="AP769" s="271"/>
      <c r="AQ769" s="271"/>
      <c r="AR769" s="271"/>
      <c r="AS769" s="271"/>
      <c r="AT769" s="271"/>
      <c r="AU769" s="271"/>
      <c r="AV769" s="271"/>
      <c r="AW769" s="271"/>
      <c r="AX769" s="271"/>
      <c r="AY769" s="271"/>
    </row>
    <row r="770" spans="1:51" ht="15.75" customHeight="1" x14ac:dyDescent="0.25">
      <c r="A770" s="271"/>
      <c r="B770" s="534"/>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c r="AL770" s="271"/>
      <c r="AM770" s="271"/>
      <c r="AN770" s="271"/>
      <c r="AO770" s="271"/>
      <c r="AP770" s="271"/>
      <c r="AQ770" s="271"/>
      <c r="AR770" s="271"/>
      <c r="AS770" s="271"/>
      <c r="AT770" s="271"/>
      <c r="AU770" s="271"/>
      <c r="AV770" s="271"/>
      <c r="AW770" s="271"/>
      <c r="AX770" s="271"/>
      <c r="AY770" s="271"/>
    </row>
    <row r="771" spans="1:51" ht="15.75" customHeight="1" x14ac:dyDescent="0.25">
      <c r="A771" s="271"/>
      <c r="B771" s="534"/>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c r="AL771" s="271"/>
      <c r="AM771" s="271"/>
      <c r="AN771" s="271"/>
      <c r="AO771" s="271"/>
      <c r="AP771" s="271"/>
      <c r="AQ771" s="271"/>
      <c r="AR771" s="271"/>
      <c r="AS771" s="271"/>
      <c r="AT771" s="271"/>
      <c r="AU771" s="271"/>
      <c r="AV771" s="271"/>
      <c r="AW771" s="271"/>
      <c r="AX771" s="271"/>
      <c r="AY771" s="271"/>
    </row>
    <row r="772" spans="1:51" ht="15.75" customHeight="1" x14ac:dyDescent="0.25">
      <c r="A772" s="271"/>
      <c r="B772" s="534"/>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c r="AL772" s="271"/>
      <c r="AM772" s="271"/>
      <c r="AN772" s="271"/>
      <c r="AO772" s="271"/>
      <c r="AP772" s="271"/>
      <c r="AQ772" s="271"/>
      <c r="AR772" s="271"/>
      <c r="AS772" s="271"/>
      <c r="AT772" s="271"/>
      <c r="AU772" s="271"/>
      <c r="AV772" s="271"/>
      <c r="AW772" s="271"/>
      <c r="AX772" s="271"/>
      <c r="AY772" s="271"/>
    </row>
    <row r="773" spans="1:51" ht="15.75" customHeight="1" x14ac:dyDescent="0.25">
      <c r="A773" s="271"/>
      <c r="B773" s="534"/>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c r="AL773" s="271"/>
      <c r="AM773" s="271"/>
      <c r="AN773" s="271"/>
      <c r="AO773" s="271"/>
      <c r="AP773" s="271"/>
      <c r="AQ773" s="271"/>
      <c r="AR773" s="271"/>
      <c r="AS773" s="271"/>
      <c r="AT773" s="271"/>
      <c r="AU773" s="271"/>
      <c r="AV773" s="271"/>
      <c r="AW773" s="271"/>
      <c r="AX773" s="271"/>
      <c r="AY773" s="271"/>
    </row>
    <row r="774" spans="1:51" ht="15.75" customHeight="1" x14ac:dyDescent="0.25">
      <c r="A774" s="271"/>
      <c r="B774" s="534"/>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c r="AL774" s="271"/>
      <c r="AM774" s="271"/>
      <c r="AN774" s="271"/>
      <c r="AO774" s="271"/>
      <c r="AP774" s="271"/>
      <c r="AQ774" s="271"/>
      <c r="AR774" s="271"/>
      <c r="AS774" s="271"/>
      <c r="AT774" s="271"/>
      <c r="AU774" s="271"/>
      <c r="AV774" s="271"/>
      <c r="AW774" s="271"/>
      <c r="AX774" s="271"/>
      <c r="AY774" s="271"/>
    </row>
    <row r="775" spans="1:51" ht="15.75" customHeight="1" x14ac:dyDescent="0.25">
      <c r="A775" s="271"/>
      <c r="B775" s="534"/>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c r="AL775" s="271"/>
      <c r="AM775" s="271"/>
      <c r="AN775" s="271"/>
      <c r="AO775" s="271"/>
      <c r="AP775" s="271"/>
      <c r="AQ775" s="271"/>
      <c r="AR775" s="271"/>
      <c r="AS775" s="271"/>
      <c r="AT775" s="271"/>
      <c r="AU775" s="271"/>
      <c r="AV775" s="271"/>
      <c r="AW775" s="271"/>
      <c r="AX775" s="271"/>
      <c r="AY775" s="271"/>
    </row>
    <row r="776" spans="1:51" ht="15.75" customHeight="1" x14ac:dyDescent="0.25">
      <c r="A776" s="271"/>
      <c r="B776" s="534"/>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c r="AL776" s="271"/>
      <c r="AM776" s="271"/>
      <c r="AN776" s="271"/>
      <c r="AO776" s="271"/>
      <c r="AP776" s="271"/>
      <c r="AQ776" s="271"/>
      <c r="AR776" s="271"/>
      <c r="AS776" s="271"/>
      <c r="AT776" s="271"/>
      <c r="AU776" s="271"/>
      <c r="AV776" s="271"/>
      <c r="AW776" s="271"/>
      <c r="AX776" s="271"/>
      <c r="AY776" s="271"/>
    </row>
    <row r="777" spans="1:51" ht="15.75" customHeight="1" x14ac:dyDescent="0.25">
      <c r="A777" s="271"/>
      <c r="B777" s="534"/>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c r="AL777" s="271"/>
      <c r="AM777" s="271"/>
      <c r="AN777" s="271"/>
      <c r="AO777" s="271"/>
      <c r="AP777" s="271"/>
      <c r="AQ777" s="271"/>
      <c r="AR777" s="271"/>
      <c r="AS777" s="271"/>
      <c r="AT777" s="271"/>
      <c r="AU777" s="271"/>
      <c r="AV777" s="271"/>
      <c r="AW777" s="271"/>
      <c r="AX777" s="271"/>
      <c r="AY777" s="271"/>
    </row>
    <row r="778" spans="1:51" ht="15.75" customHeight="1" x14ac:dyDescent="0.25">
      <c r="A778" s="271"/>
      <c r="B778" s="534"/>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c r="AL778" s="271"/>
      <c r="AM778" s="271"/>
      <c r="AN778" s="271"/>
      <c r="AO778" s="271"/>
      <c r="AP778" s="271"/>
      <c r="AQ778" s="271"/>
      <c r="AR778" s="271"/>
      <c r="AS778" s="271"/>
      <c r="AT778" s="271"/>
      <c r="AU778" s="271"/>
      <c r="AV778" s="271"/>
      <c r="AW778" s="271"/>
      <c r="AX778" s="271"/>
      <c r="AY778" s="271"/>
    </row>
    <row r="779" spans="1:51" ht="15.75" customHeight="1" x14ac:dyDescent="0.25">
      <c r="A779" s="271"/>
      <c r="B779" s="534"/>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c r="AL779" s="271"/>
      <c r="AM779" s="271"/>
      <c r="AN779" s="271"/>
      <c r="AO779" s="271"/>
      <c r="AP779" s="271"/>
      <c r="AQ779" s="271"/>
      <c r="AR779" s="271"/>
      <c r="AS779" s="271"/>
      <c r="AT779" s="271"/>
      <c r="AU779" s="271"/>
      <c r="AV779" s="271"/>
      <c r="AW779" s="271"/>
      <c r="AX779" s="271"/>
      <c r="AY779" s="271"/>
    </row>
    <row r="780" spans="1:51" ht="15.75" customHeight="1" x14ac:dyDescent="0.25">
      <c r="A780" s="271"/>
      <c r="B780" s="534"/>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c r="AL780" s="271"/>
      <c r="AM780" s="271"/>
      <c r="AN780" s="271"/>
      <c r="AO780" s="271"/>
      <c r="AP780" s="271"/>
      <c r="AQ780" s="271"/>
      <c r="AR780" s="271"/>
      <c r="AS780" s="271"/>
      <c r="AT780" s="271"/>
      <c r="AU780" s="271"/>
      <c r="AV780" s="271"/>
      <c r="AW780" s="271"/>
      <c r="AX780" s="271"/>
      <c r="AY780" s="271"/>
    </row>
    <row r="781" spans="1:51" ht="15.75" customHeight="1" x14ac:dyDescent="0.25">
      <c r="A781" s="271"/>
      <c r="B781" s="534"/>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c r="AL781" s="271"/>
      <c r="AM781" s="271"/>
      <c r="AN781" s="271"/>
      <c r="AO781" s="271"/>
      <c r="AP781" s="271"/>
      <c r="AQ781" s="271"/>
      <c r="AR781" s="271"/>
      <c r="AS781" s="271"/>
      <c r="AT781" s="271"/>
      <c r="AU781" s="271"/>
      <c r="AV781" s="271"/>
      <c r="AW781" s="271"/>
      <c r="AX781" s="271"/>
      <c r="AY781" s="271"/>
    </row>
    <row r="782" spans="1:51" ht="15.75" customHeight="1" x14ac:dyDescent="0.25">
      <c r="A782" s="271"/>
      <c r="B782" s="534"/>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c r="AL782" s="271"/>
      <c r="AM782" s="271"/>
      <c r="AN782" s="271"/>
      <c r="AO782" s="271"/>
      <c r="AP782" s="271"/>
      <c r="AQ782" s="271"/>
      <c r="AR782" s="271"/>
      <c r="AS782" s="271"/>
      <c r="AT782" s="271"/>
      <c r="AU782" s="271"/>
      <c r="AV782" s="271"/>
      <c r="AW782" s="271"/>
      <c r="AX782" s="271"/>
      <c r="AY782" s="271"/>
    </row>
    <row r="783" spans="1:51" ht="15.75" customHeight="1" x14ac:dyDescent="0.25">
      <c r="A783" s="271"/>
      <c r="B783" s="534"/>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c r="AL783" s="271"/>
      <c r="AM783" s="271"/>
      <c r="AN783" s="271"/>
      <c r="AO783" s="271"/>
      <c r="AP783" s="271"/>
      <c r="AQ783" s="271"/>
      <c r="AR783" s="271"/>
      <c r="AS783" s="271"/>
      <c r="AT783" s="271"/>
      <c r="AU783" s="271"/>
      <c r="AV783" s="271"/>
      <c r="AW783" s="271"/>
      <c r="AX783" s="271"/>
      <c r="AY783" s="271"/>
    </row>
    <row r="784" spans="1:51" ht="15.75" customHeight="1" x14ac:dyDescent="0.25">
      <c r="A784" s="271"/>
      <c r="B784" s="534"/>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c r="AL784" s="271"/>
      <c r="AM784" s="271"/>
      <c r="AN784" s="271"/>
      <c r="AO784" s="271"/>
      <c r="AP784" s="271"/>
      <c r="AQ784" s="271"/>
      <c r="AR784" s="271"/>
      <c r="AS784" s="271"/>
      <c r="AT784" s="271"/>
      <c r="AU784" s="271"/>
      <c r="AV784" s="271"/>
      <c r="AW784" s="271"/>
      <c r="AX784" s="271"/>
      <c r="AY784" s="271"/>
    </row>
    <row r="785" spans="1:51" ht="15.75" customHeight="1" x14ac:dyDescent="0.25">
      <c r="A785" s="271"/>
      <c r="B785" s="534"/>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c r="AL785" s="271"/>
      <c r="AM785" s="271"/>
      <c r="AN785" s="271"/>
      <c r="AO785" s="271"/>
      <c r="AP785" s="271"/>
      <c r="AQ785" s="271"/>
      <c r="AR785" s="271"/>
      <c r="AS785" s="271"/>
      <c r="AT785" s="271"/>
      <c r="AU785" s="271"/>
      <c r="AV785" s="271"/>
      <c r="AW785" s="271"/>
      <c r="AX785" s="271"/>
      <c r="AY785" s="271"/>
    </row>
    <row r="786" spans="1:51" ht="15.75" customHeight="1" x14ac:dyDescent="0.25">
      <c r="A786" s="271"/>
      <c r="B786" s="534"/>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c r="AL786" s="271"/>
      <c r="AM786" s="271"/>
      <c r="AN786" s="271"/>
      <c r="AO786" s="271"/>
      <c r="AP786" s="271"/>
      <c r="AQ786" s="271"/>
      <c r="AR786" s="271"/>
      <c r="AS786" s="271"/>
      <c r="AT786" s="271"/>
      <c r="AU786" s="271"/>
      <c r="AV786" s="271"/>
      <c r="AW786" s="271"/>
      <c r="AX786" s="271"/>
      <c r="AY786" s="271"/>
    </row>
    <row r="787" spans="1:51" ht="15.75" customHeight="1" x14ac:dyDescent="0.25">
      <c r="A787" s="271"/>
      <c r="B787" s="534"/>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c r="AL787" s="271"/>
      <c r="AM787" s="271"/>
      <c r="AN787" s="271"/>
      <c r="AO787" s="271"/>
      <c r="AP787" s="271"/>
      <c r="AQ787" s="271"/>
      <c r="AR787" s="271"/>
      <c r="AS787" s="271"/>
      <c r="AT787" s="271"/>
      <c r="AU787" s="271"/>
      <c r="AV787" s="271"/>
      <c r="AW787" s="271"/>
      <c r="AX787" s="271"/>
      <c r="AY787" s="271"/>
    </row>
    <row r="788" spans="1:51" ht="15.75" customHeight="1" x14ac:dyDescent="0.25">
      <c r="A788" s="271"/>
      <c r="B788" s="534"/>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c r="AL788" s="271"/>
      <c r="AM788" s="271"/>
      <c r="AN788" s="271"/>
      <c r="AO788" s="271"/>
      <c r="AP788" s="271"/>
      <c r="AQ788" s="271"/>
      <c r="AR788" s="271"/>
      <c r="AS788" s="271"/>
      <c r="AT788" s="271"/>
      <c r="AU788" s="271"/>
      <c r="AV788" s="271"/>
      <c r="AW788" s="271"/>
      <c r="AX788" s="271"/>
      <c r="AY788" s="271"/>
    </row>
    <row r="789" spans="1:51" ht="15.75" customHeight="1" x14ac:dyDescent="0.25">
      <c r="A789" s="271"/>
      <c r="B789" s="534"/>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c r="AL789" s="271"/>
      <c r="AM789" s="271"/>
      <c r="AN789" s="271"/>
      <c r="AO789" s="271"/>
      <c r="AP789" s="271"/>
      <c r="AQ789" s="271"/>
      <c r="AR789" s="271"/>
      <c r="AS789" s="271"/>
      <c r="AT789" s="271"/>
      <c r="AU789" s="271"/>
      <c r="AV789" s="271"/>
      <c r="AW789" s="271"/>
      <c r="AX789" s="271"/>
      <c r="AY789" s="271"/>
    </row>
    <row r="790" spans="1:51" ht="15.75" customHeight="1" x14ac:dyDescent="0.25">
      <c r="A790" s="271"/>
      <c r="B790" s="534"/>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c r="AL790" s="271"/>
      <c r="AM790" s="271"/>
      <c r="AN790" s="271"/>
      <c r="AO790" s="271"/>
      <c r="AP790" s="271"/>
      <c r="AQ790" s="271"/>
      <c r="AR790" s="271"/>
      <c r="AS790" s="271"/>
      <c r="AT790" s="271"/>
      <c r="AU790" s="271"/>
      <c r="AV790" s="271"/>
      <c r="AW790" s="271"/>
      <c r="AX790" s="271"/>
      <c r="AY790" s="271"/>
    </row>
    <row r="791" spans="1:51" ht="15.75" customHeight="1" x14ac:dyDescent="0.25">
      <c r="A791" s="271"/>
      <c r="B791" s="534"/>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c r="AL791" s="271"/>
      <c r="AM791" s="271"/>
      <c r="AN791" s="271"/>
      <c r="AO791" s="271"/>
      <c r="AP791" s="271"/>
      <c r="AQ791" s="271"/>
      <c r="AR791" s="271"/>
      <c r="AS791" s="271"/>
      <c r="AT791" s="271"/>
      <c r="AU791" s="271"/>
      <c r="AV791" s="271"/>
      <c r="AW791" s="271"/>
      <c r="AX791" s="271"/>
      <c r="AY791" s="271"/>
    </row>
    <row r="792" spans="1:51" ht="15.75" customHeight="1" x14ac:dyDescent="0.25">
      <c r="A792" s="271"/>
      <c r="B792" s="534"/>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c r="AL792" s="271"/>
      <c r="AM792" s="271"/>
      <c r="AN792" s="271"/>
      <c r="AO792" s="271"/>
      <c r="AP792" s="271"/>
      <c r="AQ792" s="271"/>
      <c r="AR792" s="271"/>
      <c r="AS792" s="271"/>
      <c r="AT792" s="271"/>
      <c r="AU792" s="271"/>
      <c r="AV792" s="271"/>
      <c r="AW792" s="271"/>
      <c r="AX792" s="271"/>
      <c r="AY792" s="271"/>
    </row>
    <row r="793" spans="1:51" ht="15.75" customHeight="1" x14ac:dyDescent="0.25">
      <c r="A793" s="271"/>
      <c r="B793" s="534"/>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c r="AL793" s="271"/>
      <c r="AM793" s="271"/>
      <c r="AN793" s="271"/>
      <c r="AO793" s="271"/>
      <c r="AP793" s="271"/>
      <c r="AQ793" s="271"/>
      <c r="AR793" s="271"/>
      <c r="AS793" s="271"/>
      <c r="AT793" s="271"/>
      <c r="AU793" s="271"/>
      <c r="AV793" s="271"/>
      <c r="AW793" s="271"/>
      <c r="AX793" s="271"/>
      <c r="AY793" s="271"/>
    </row>
    <row r="794" spans="1:51" ht="15.75" customHeight="1" x14ac:dyDescent="0.25">
      <c r="A794" s="271"/>
      <c r="B794" s="534"/>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c r="AL794" s="271"/>
      <c r="AM794" s="271"/>
      <c r="AN794" s="271"/>
      <c r="AO794" s="271"/>
      <c r="AP794" s="271"/>
      <c r="AQ794" s="271"/>
      <c r="AR794" s="271"/>
      <c r="AS794" s="271"/>
      <c r="AT794" s="271"/>
      <c r="AU794" s="271"/>
      <c r="AV794" s="271"/>
      <c r="AW794" s="271"/>
      <c r="AX794" s="271"/>
      <c r="AY794" s="271"/>
    </row>
    <row r="795" spans="1:51" ht="15.75" customHeight="1" x14ac:dyDescent="0.25">
      <c r="A795" s="271"/>
      <c r="B795" s="534"/>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c r="AL795" s="271"/>
      <c r="AM795" s="271"/>
      <c r="AN795" s="271"/>
      <c r="AO795" s="271"/>
      <c r="AP795" s="271"/>
      <c r="AQ795" s="271"/>
      <c r="AR795" s="271"/>
      <c r="AS795" s="271"/>
      <c r="AT795" s="271"/>
      <c r="AU795" s="271"/>
      <c r="AV795" s="271"/>
      <c r="AW795" s="271"/>
      <c r="AX795" s="271"/>
      <c r="AY795" s="271"/>
    </row>
    <row r="796" spans="1:51" ht="15.75" customHeight="1" x14ac:dyDescent="0.25">
      <c r="A796" s="271"/>
      <c r="B796" s="534"/>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c r="AL796" s="271"/>
      <c r="AM796" s="271"/>
      <c r="AN796" s="271"/>
      <c r="AO796" s="271"/>
      <c r="AP796" s="271"/>
      <c r="AQ796" s="271"/>
      <c r="AR796" s="271"/>
      <c r="AS796" s="271"/>
      <c r="AT796" s="271"/>
      <c r="AU796" s="271"/>
      <c r="AV796" s="271"/>
      <c r="AW796" s="271"/>
      <c r="AX796" s="271"/>
      <c r="AY796" s="271"/>
    </row>
    <row r="797" spans="1:51" ht="15.75" customHeight="1" x14ac:dyDescent="0.25">
      <c r="A797" s="271"/>
      <c r="B797" s="534"/>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c r="AL797" s="271"/>
      <c r="AM797" s="271"/>
      <c r="AN797" s="271"/>
      <c r="AO797" s="271"/>
      <c r="AP797" s="271"/>
      <c r="AQ797" s="271"/>
      <c r="AR797" s="271"/>
      <c r="AS797" s="271"/>
      <c r="AT797" s="271"/>
      <c r="AU797" s="271"/>
      <c r="AV797" s="271"/>
      <c r="AW797" s="271"/>
      <c r="AX797" s="271"/>
      <c r="AY797" s="271"/>
    </row>
    <row r="798" spans="1:51" ht="15.75" customHeight="1" x14ac:dyDescent="0.25">
      <c r="A798" s="271"/>
      <c r="B798" s="534"/>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c r="AL798" s="271"/>
      <c r="AM798" s="271"/>
      <c r="AN798" s="271"/>
      <c r="AO798" s="271"/>
      <c r="AP798" s="271"/>
      <c r="AQ798" s="271"/>
      <c r="AR798" s="271"/>
      <c r="AS798" s="271"/>
      <c r="AT798" s="271"/>
      <c r="AU798" s="271"/>
      <c r="AV798" s="271"/>
      <c r="AW798" s="271"/>
      <c r="AX798" s="271"/>
      <c r="AY798" s="271"/>
    </row>
    <row r="799" spans="1:51" ht="15.75" customHeight="1" x14ac:dyDescent="0.25">
      <c r="A799" s="271"/>
      <c r="B799" s="534"/>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c r="AL799" s="271"/>
      <c r="AM799" s="271"/>
      <c r="AN799" s="271"/>
      <c r="AO799" s="271"/>
      <c r="AP799" s="271"/>
      <c r="AQ799" s="271"/>
      <c r="AR799" s="271"/>
      <c r="AS799" s="271"/>
      <c r="AT799" s="271"/>
      <c r="AU799" s="271"/>
      <c r="AV799" s="271"/>
      <c r="AW799" s="271"/>
      <c r="AX799" s="271"/>
      <c r="AY799" s="271"/>
    </row>
    <row r="800" spans="1:51" ht="15.75" customHeight="1" x14ac:dyDescent="0.25">
      <c r="A800" s="271"/>
      <c r="B800" s="534"/>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c r="AL800" s="271"/>
      <c r="AM800" s="271"/>
      <c r="AN800" s="271"/>
      <c r="AO800" s="271"/>
      <c r="AP800" s="271"/>
      <c r="AQ800" s="271"/>
      <c r="AR800" s="271"/>
      <c r="AS800" s="271"/>
      <c r="AT800" s="271"/>
      <c r="AU800" s="271"/>
      <c r="AV800" s="271"/>
      <c r="AW800" s="271"/>
      <c r="AX800" s="271"/>
      <c r="AY800" s="271"/>
    </row>
    <row r="801" spans="1:51" ht="15.75" customHeight="1" x14ac:dyDescent="0.25">
      <c r="A801" s="271"/>
      <c r="B801" s="534"/>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c r="AL801" s="271"/>
      <c r="AM801" s="271"/>
      <c r="AN801" s="271"/>
      <c r="AO801" s="271"/>
      <c r="AP801" s="271"/>
      <c r="AQ801" s="271"/>
      <c r="AR801" s="271"/>
      <c r="AS801" s="271"/>
      <c r="AT801" s="271"/>
      <c r="AU801" s="271"/>
      <c r="AV801" s="271"/>
      <c r="AW801" s="271"/>
      <c r="AX801" s="271"/>
      <c r="AY801" s="271"/>
    </row>
    <row r="802" spans="1:51" ht="15.75" customHeight="1" x14ac:dyDescent="0.25">
      <c r="A802" s="271"/>
      <c r="B802" s="534"/>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c r="AL802" s="271"/>
      <c r="AM802" s="271"/>
      <c r="AN802" s="271"/>
      <c r="AO802" s="271"/>
      <c r="AP802" s="271"/>
      <c r="AQ802" s="271"/>
      <c r="AR802" s="271"/>
      <c r="AS802" s="271"/>
      <c r="AT802" s="271"/>
      <c r="AU802" s="271"/>
      <c r="AV802" s="271"/>
      <c r="AW802" s="271"/>
      <c r="AX802" s="271"/>
      <c r="AY802" s="271"/>
    </row>
    <row r="803" spans="1:51" ht="15.75" customHeight="1" x14ac:dyDescent="0.25">
      <c r="A803" s="271"/>
      <c r="B803" s="534"/>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c r="AL803" s="271"/>
      <c r="AM803" s="271"/>
      <c r="AN803" s="271"/>
      <c r="AO803" s="271"/>
      <c r="AP803" s="271"/>
      <c r="AQ803" s="271"/>
      <c r="AR803" s="271"/>
      <c r="AS803" s="271"/>
      <c r="AT803" s="271"/>
      <c r="AU803" s="271"/>
      <c r="AV803" s="271"/>
      <c r="AW803" s="271"/>
      <c r="AX803" s="271"/>
      <c r="AY803" s="271"/>
    </row>
    <row r="804" spans="1:51" ht="15.75" customHeight="1" x14ac:dyDescent="0.25">
      <c r="A804" s="271"/>
      <c r="B804" s="534"/>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c r="AL804" s="271"/>
      <c r="AM804" s="271"/>
      <c r="AN804" s="271"/>
      <c r="AO804" s="271"/>
      <c r="AP804" s="271"/>
      <c r="AQ804" s="271"/>
      <c r="AR804" s="271"/>
      <c r="AS804" s="271"/>
      <c r="AT804" s="271"/>
      <c r="AU804" s="271"/>
      <c r="AV804" s="271"/>
      <c r="AW804" s="271"/>
      <c r="AX804" s="271"/>
      <c r="AY804" s="271"/>
    </row>
    <row r="805" spans="1:51" ht="15.75" customHeight="1" x14ac:dyDescent="0.25">
      <c r="A805" s="271"/>
      <c r="B805" s="534"/>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c r="AL805" s="271"/>
      <c r="AM805" s="271"/>
      <c r="AN805" s="271"/>
      <c r="AO805" s="271"/>
      <c r="AP805" s="271"/>
      <c r="AQ805" s="271"/>
      <c r="AR805" s="271"/>
      <c r="AS805" s="271"/>
      <c r="AT805" s="271"/>
      <c r="AU805" s="271"/>
      <c r="AV805" s="271"/>
      <c r="AW805" s="271"/>
      <c r="AX805" s="271"/>
      <c r="AY805" s="271"/>
    </row>
    <row r="806" spans="1:51" ht="15.75" customHeight="1" x14ac:dyDescent="0.25">
      <c r="A806" s="271"/>
      <c r="B806" s="534"/>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c r="AL806" s="271"/>
      <c r="AM806" s="271"/>
      <c r="AN806" s="271"/>
      <c r="AO806" s="271"/>
      <c r="AP806" s="271"/>
      <c r="AQ806" s="271"/>
      <c r="AR806" s="271"/>
      <c r="AS806" s="271"/>
      <c r="AT806" s="271"/>
      <c r="AU806" s="271"/>
      <c r="AV806" s="271"/>
      <c r="AW806" s="271"/>
      <c r="AX806" s="271"/>
      <c r="AY806" s="271"/>
    </row>
    <row r="807" spans="1:51" ht="15.75" customHeight="1" x14ac:dyDescent="0.25">
      <c r="A807" s="271"/>
      <c r="B807" s="534"/>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c r="AL807" s="271"/>
      <c r="AM807" s="271"/>
      <c r="AN807" s="271"/>
      <c r="AO807" s="271"/>
      <c r="AP807" s="271"/>
      <c r="AQ807" s="271"/>
      <c r="AR807" s="271"/>
      <c r="AS807" s="271"/>
      <c r="AT807" s="271"/>
      <c r="AU807" s="271"/>
      <c r="AV807" s="271"/>
      <c r="AW807" s="271"/>
      <c r="AX807" s="271"/>
      <c r="AY807" s="271"/>
    </row>
    <row r="808" spans="1:51" ht="15.75" customHeight="1" x14ac:dyDescent="0.25">
      <c r="A808" s="271"/>
      <c r="B808" s="534"/>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c r="AL808" s="271"/>
      <c r="AM808" s="271"/>
      <c r="AN808" s="271"/>
      <c r="AO808" s="271"/>
      <c r="AP808" s="271"/>
      <c r="AQ808" s="271"/>
      <c r="AR808" s="271"/>
      <c r="AS808" s="271"/>
      <c r="AT808" s="271"/>
      <c r="AU808" s="271"/>
      <c r="AV808" s="271"/>
      <c r="AW808" s="271"/>
      <c r="AX808" s="271"/>
      <c r="AY808" s="271"/>
    </row>
    <row r="809" spans="1:51" ht="15.75" customHeight="1" x14ac:dyDescent="0.25">
      <c r="A809" s="271"/>
      <c r="B809" s="534"/>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c r="AL809" s="271"/>
      <c r="AM809" s="271"/>
      <c r="AN809" s="271"/>
      <c r="AO809" s="271"/>
      <c r="AP809" s="271"/>
      <c r="AQ809" s="271"/>
      <c r="AR809" s="271"/>
      <c r="AS809" s="271"/>
      <c r="AT809" s="271"/>
      <c r="AU809" s="271"/>
      <c r="AV809" s="271"/>
      <c r="AW809" s="271"/>
      <c r="AX809" s="271"/>
      <c r="AY809" s="271"/>
    </row>
    <row r="810" spans="1:51" ht="15.75" customHeight="1" x14ac:dyDescent="0.25">
      <c r="A810" s="271"/>
      <c r="B810" s="534"/>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c r="AL810" s="271"/>
      <c r="AM810" s="271"/>
      <c r="AN810" s="271"/>
      <c r="AO810" s="271"/>
      <c r="AP810" s="271"/>
      <c r="AQ810" s="271"/>
      <c r="AR810" s="271"/>
      <c r="AS810" s="271"/>
      <c r="AT810" s="271"/>
      <c r="AU810" s="271"/>
      <c r="AV810" s="271"/>
      <c r="AW810" s="271"/>
      <c r="AX810" s="271"/>
      <c r="AY810" s="271"/>
    </row>
    <row r="811" spans="1:51" ht="15.75" customHeight="1" x14ac:dyDescent="0.25">
      <c r="A811" s="271"/>
      <c r="B811" s="534"/>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c r="AL811" s="271"/>
      <c r="AM811" s="271"/>
      <c r="AN811" s="271"/>
      <c r="AO811" s="271"/>
      <c r="AP811" s="271"/>
      <c r="AQ811" s="271"/>
      <c r="AR811" s="271"/>
      <c r="AS811" s="271"/>
      <c r="AT811" s="271"/>
      <c r="AU811" s="271"/>
      <c r="AV811" s="271"/>
      <c r="AW811" s="271"/>
      <c r="AX811" s="271"/>
      <c r="AY811" s="271"/>
    </row>
    <row r="812" spans="1:51" ht="15.75" customHeight="1" x14ac:dyDescent="0.25">
      <c r="A812" s="271"/>
      <c r="B812" s="534"/>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c r="AL812" s="271"/>
      <c r="AM812" s="271"/>
      <c r="AN812" s="271"/>
      <c r="AO812" s="271"/>
      <c r="AP812" s="271"/>
      <c r="AQ812" s="271"/>
      <c r="AR812" s="271"/>
      <c r="AS812" s="271"/>
      <c r="AT812" s="271"/>
      <c r="AU812" s="271"/>
      <c r="AV812" s="271"/>
      <c r="AW812" s="271"/>
      <c r="AX812" s="271"/>
      <c r="AY812" s="271"/>
    </row>
    <row r="813" spans="1:51" ht="15.75" customHeight="1" x14ac:dyDescent="0.25">
      <c r="A813" s="271"/>
      <c r="B813" s="534"/>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c r="AL813" s="271"/>
      <c r="AM813" s="271"/>
      <c r="AN813" s="271"/>
      <c r="AO813" s="271"/>
      <c r="AP813" s="271"/>
      <c r="AQ813" s="271"/>
      <c r="AR813" s="271"/>
      <c r="AS813" s="271"/>
      <c r="AT813" s="271"/>
      <c r="AU813" s="271"/>
      <c r="AV813" s="271"/>
      <c r="AW813" s="271"/>
      <c r="AX813" s="271"/>
      <c r="AY813" s="271"/>
    </row>
    <row r="814" spans="1:51" ht="15.75" customHeight="1" x14ac:dyDescent="0.25">
      <c r="A814" s="271"/>
      <c r="B814" s="534"/>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c r="AL814" s="271"/>
      <c r="AM814" s="271"/>
      <c r="AN814" s="271"/>
      <c r="AO814" s="271"/>
      <c r="AP814" s="271"/>
      <c r="AQ814" s="271"/>
      <c r="AR814" s="271"/>
      <c r="AS814" s="271"/>
      <c r="AT814" s="271"/>
      <c r="AU814" s="271"/>
      <c r="AV814" s="271"/>
      <c r="AW814" s="271"/>
      <c r="AX814" s="271"/>
      <c r="AY814" s="271"/>
    </row>
    <row r="815" spans="1:51" ht="15.75" customHeight="1" x14ac:dyDescent="0.25">
      <c r="A815" s="271"/>
      <c r="B815" s="534"/>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c r="AL815" s="271"/>
      <c r="AM815" s="271"/>
      <c r="AN815" s="271"/>
      <c r="AO815" s="271"/>
      <c r="AP815" s="271"/>
      <c r="AQ815" s="271"/>
      <c r="AR815" s="271"/>
      <c r="AS815" s="271"/>
      <c r="AT815" s="271"/>
      <c r="AU815" s="271"/>
      <c r="AV815" s="271"/>
      <c r="AW815" s="271"/>
      <c r="AX815" s="271"/>
      <c r="AY815" s="271"/>
    </row>
    <row r="816" spans="1:51" ht="15.75" customHeight="1" x14ac:dyDescent="0.25">
      <c r="A816" s="271"/>
      <c r="B816" s="534"/>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c r="AL816" s="271"/>
      <c r="AM816" s="271"/>
      <c r="AN816" s="271"/>
      <c r="AO816" s="271"/>
      <c r="AP816" s="271"/>
      <c r="AQ816" s="271"/>
      <c r="AR816" s="271"/>
      <c r="AS816" s="271"/>
      <c r="AT816" s="271"/>
      <c r="AU816" s="271"/>
      <c r="AV816" s="271"/>
      <c r="AW816" s="271"/>
      <c r="AX816" s="271"/>
      <c r="AY816" s="271"/>
    </row>
    <row r="817" spans="1:51" ht="15.75" customHeight="1" x14ac:dyDescent="0.25">
      <c r="A817" s="271"/>
      <c r="B817" s="534"/>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c r="AL817" s="271"/>
      <c r="AM817" s="271"/>
      <c r="AN817" s="271"/>
      <c r="AO817" s="271"/>
      <c r="AP817" s="271"/>
      <c r="AQ817" s="271"/>
      <c r="AR817" s="271"/>
      <c r="AS817" s="271"/>
      <c r="AT817" s="271"/>
      <c r="AU817" s="271"/>
      <c r="AV817" s="271"/>
      <c r="AW817" s="271"/>
      <c r="AX817" s="271"/>
      <c r="AY817" s="271"/>
    </row>
    <row r="818" spans="1:51" ht="15.75" customHeight="1" x14ac:dyDescent="0.25">
      <c r="A818" s="271"/>
      <c r="B818" s="534"/>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c r="AL818" s="271"/>
      <c r="AM818" s="271"/>
      <c r="AN818" s="271"/>
      <c r="AO818" s="271"/>
      <c r="AP818" s="271"/>
      <c r="AQ818" s="271"/>
      <c r="AR818" s="271"/>
      <c r="AS818" s="271"/>
      <c r="AT818" s="271"/>
      <c r="AU818" s="271"/>
      <c r="AV818" s="271"/>
      <c r="AW818" s="271"/>
      <c r="AX818" s="271"/>
      <c r="AY818" s="271"/>
    </row>
    <row r="819" spans="1:51" ht="15.75" customHeight="1" x14ac:dyDescent="0.25">
      <c r="A819" s="271"/>
      <c r="B819" s="534"/>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c r="AL819" s="271"/>
      <c r="AM819" s="271"/>
      <c r="AN819" s="271"/>
      <c r="AO819" s="271"/>
      <c r="AP819" s="271"/>
      <c r="AQ819" s="271"/>
      <c r="AR819" s="271"/>
      <c r="AS819" s="271"/>
      <c r="AT819" s="271"/>
      <c r="AU819" s="271"/>
      <c r="AV819" s="271"/>
      <c r="AW819" s="271"/>
      <c r="AX819" s="271"/>
      <c r="AY819" s="271"/>
    </row>
    <row r="820" spans="1:51" ht="15.75" customHeight="1" x14ac:dyDescent="0.25">
      <c r="A820" s="271"/>
      <c r="B820" s="534"/>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c r="AL820" s="271"/>
      <c r="AM820" s="271"/>
      <c r="AN820" s="271"/>
      <c r="AO820" s="271"/>
      <c r="AP820" s="271"/>
      <c r="AQ820" s="271"/>
      <c r="AR820" s="271"/>
      <c r="AS820" s="271"/>
      <c r="AT820" s="271"/>
      <c r="AU820" s="271"/>
      <c r="AV820" s="271"/>
      <c r="AW820" s="271"/>
      <c r="AX820" s="271"/>
      <c r="AY820" s="271"/>
    </row>
    <row r="821" spans="1:51" ht="15.75" customHeight="1" x14ac:dyDescent="0.25">
      <c r="A821" s="271"/>
      <c r="B821" s="534"/>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c r="AL821" s="271"/>
      <c r="AM821" s="271"/>
      <c r="AN821" s="271"/>
      <c r="AO821" s="271"/>
      <c r="AP821" s="271"/>
      <c r="AQ821" s="271"/>
      <c r="AR821" s="271"/>
      <c r="AS821" s="271"/>
      <c r="AT821" s="271"/>
      <c r="AU821" s="271"/>
      <c r="AV821" s="271"/>
      <c r="AW821" s="271"/>
      <c r="AX821" s="271"/>
      <c r="AY821" s="271"/>
    </row>
    <row r="822" spans="1:51" ht="15.75" customHeight="1" x14ac:dyDescent="0.25">
      <c r="A822" s="271"/>
      <c r="B822" s="534"/>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c r="AL822" s="271"/>
      <c r="AM822" s="271"/>
      <c r="AN822" s="271"/>
      <c r="AO822" s="271"/>
      <c r="AP822" s="271"/>
      <c r="AQ822" s="271"/>
      <c r="AR822" s="271"/>
      <c r="AS822" s="271"/>
      <c r="AT822" s="271"/>
      <c r="AU822" s="271"/>
      <c r="AV822" s="271"/>
      <c r="AW822" s="271"/>
      <c r="AX822" s="271"/>
      <c r="AY822" s="271"/>
    </row>
    <row r="823" spans="1:51" ht="15.75" customHeight="1" x14ac:dyDescent="0.25">
      <c r="A823" s="271"/>
      <c r="B823" s="534"/>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c r="AL823" s="271"/>
      <c r="AM823" s="271"/>
      <c r="AN823" s="271"/>
      <c r="AO823" s="271"/>
      <c r="AP823" s="271"/>
      <c r="AQ823" s="271"/>
      <c r="AR823" s="271"/>
      <c r="AS823" s="271"/>
      <c r="AT823" s="271"/>
      <c r="AU823" s="271"/>
      <c r="AV823" s="271"/>
      <c r="AW823" s="271"/>
      <c r="AX823" s="271"/>
      <c r="AY823" s="271"/>
    </row>
    <row r="824" spans="1:51" ht="15.75" customHeight="1" x14ac:dyDescent="0.25">
      <c r="A824" s="271"/>
      <c r="B824" s="534"/>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c r="AL824" s="271"/>
      <c r="AM824" s="271"/>
      <c r="AN824" s="271"/>
      <c r="AO824" s="271"/>
      <c r="AP824" s="271"/>
      <c r="AQ824" s="271"/>
      <c r="AR824" s="271"/>
      <c r="AS824" s="271"/>
      <c r="AT824" s="271"/>
      <c r="AU824" s="271"/>
      <c r="AV824" s="271"/>
      <c r="AW824" s="271"/>
      <c r="AX824" s="271"/>
      <c r="AY824" s="271"/>
    </row>
    <row r="825" spans="1:51" ht="15.75" customHeight="1" x14ac:dyDescent="0.25">
      <c r="A825" s="271"/>
      <c r="B825" s="534"/>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c r="AL825" s="271"/>
      <c r="AM825" s="271"/>
      <c r="AN825" s="271"/>
      <c r="AO825" s="271"/>
      <c r="AP825" s="271"/>
      <c r="AQ825" s="271"/>
      <c r="AR825" s="271"/>
      <c r="AS825" s="271"/>
      <c r="AT825" s="271"/>
      <c r="AU825" s="271"/>
      <c r="AV825" s="271"/>
      <c r="AW825" s="271"/>
      <c r="AX825" s="271"/>
      <c r="AY825" s="271"/>
    </row>
    <row r="826" spans="1:51" ht="15.75" customHeight="1" x14ac:dyDescent="0.25">
      <c r="A826" s="271"/>
      <c r="B826" s="534"/>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c r="AL826" s="271"/>
      <c r="AM826" s="271"/>
      <c r="AN826" s="271"/>
      <c r="AO826" s="271"/>
      <c r="AP826" s="271"/>
      <c r="AQ826" s="271"/>
      <c r="AR826" s="271"/>
      <c r="AS826" s="271"/>
      <c r="AT826" s="271"/>
      <c r="AU826" s="271"/>
      <c r="AV826" s="271"/>
      <c r="AW826" s="271"/>
      <c r="AX826" s="271"/>
      <c r="AY826" s="271"/>
    </row>
    <row r="827" spans="1:51" ht="15.75" customHeight="1" x14ac:dyDescent="0.25">
      <c r="A827" s="271"/>
      <c r="B827" s="534"/>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c r="AL827" s="271"/>
      <c r="AM827" s="271"/>
      <c r="AN827" s="271"/>
      <c r="AO827" s="271"/>
      <c r="AP827" s="271"/>
      <c r="AQ827" s="271"/>
      <c r="AR827" s="271"/>
      <c r="AS827" s="271"/>
      <c r="AT827" s="271"/>
      <c r="AU827" s="271"/>
      <c r="AV827" s="271"/>
      <c r="AW827" s="271"/>
      <c r="AX827" s="271"/>
      <c r="AY827" s="271"/>
    </row>
    <row r="828" spans="1:51" ht="15.75" customHeight="1" x14ac:dyDescent="0.25">
      <c r="A828" s="271"/>
      <c r="B828" s="534"/>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c r="AL828" s="271"/>
      <c r="AM828" s="271"/>
      <c r="AN828" s="271"/>
      <c r="AO828" s="271"/>
      <c r="AP828" s="271"/>
      <c r="AQ828" s="271"/>
      <c r="AR828" s="271"/>
      <c r="AS828" s="271"/>
      <c r="AT828" s="271"/>
      <c r="AU828" s="271"/>
      <c r="AV828" s="271"/>
      <c r="AW828" s="271"/>
      <c r="AX828" s="271"/>
      <c r="AY828" s="271"/>
    </row>
    <row r="829" spans="1:51" ht="15.75" customHeight="1" x14ac:dyDescent="0.25">
      <c r="A829" s="271"/>
      <c r="B829" s="534"/>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c r="AL829" s="271"/>
      <c r="AM829" s="271"/>
      <c r="AN829" s="271"/>
      <c r="AO829" s="271"/>
      <c r="AP829" s="271"/>
      <c r="AQ829" s="271"/>
      <c r="AR829" s="271"/>
      <c r="AS829" s="271"/>
      <c r="AT829" s="271"/>
      <c r="AU829" s="271"/>
      <c r="AV829" s="271"/>
      <c r="AW829" s="271"/>
      <c r="AX829" s="271"/>
      <c r="AY829" s="271"/>
    </row>
    <row r="830" spans="1:51" ht="15.75" customHeight="1" x14ac:dyDescent="0.25">
      <c r="A830" s="271"/>
      <c r="B830" s="534"/>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c r="AL830" s="271"/>
      <c r="AM830" s="271"/>
      <c r="AN830" s="271"/>
      <c r="AO830" s="271"/>
      <c r="AP830" s="271"/>
      <c r="AQ830" s="271"/>
      <c r="AR830" s="271"/>
      <c r="AS830" s="271"/>
      <c r="AT830" s="271"/>
      <c r="AU830" s="271"/>
      <c r="AV830" s="271"/>
      <c r="AW830" s="271"/>
      <c r="AX830" s="271"/>
      <c r="AY830" s="271"/>
    </row>
    <row r="831" spans="1:51" ht="15.75" customHeight="1" x14ac:dyDescent="0.25">
      <c r="A831" s="271"/>
      <c r="B831" s="534"/>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c r="AL831" s="271"/>
      <c r="AM831" s="271"/>
      <c r="AN831" s="271"/>
      <c r="AO831" s="271"/>
      <c r="AP831" s="271"/>
      <c r="AQ831" s="271"/>
      <c r="AR831" s="271"/>
      <c r="AS831" s="271"/>
      <c r="AT831" s="271"/>
      <c r="AU831" s="271"/>
      <c r="AV831" s="271"/>
      <c r="AW831" s="271"/>
      <c r="AX831" s="271"/>
      <c r="AY831" s="271"/>
    </row>
    <row r="832" spans="1:51" ht="15.75" customHeight="1" x14ac:dyDescent="0.25">
      <c r="A832" s="271"/>
      <c r="B832" s="534"/>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c r="AL832" s="271"/>
      <c r="AM832" s="271"/>
      <c r="AN832" s="271"/>
      <c r="AO832" s="271"/>
      <c r="AP832" s="271"/>
      <c r="AQ832" s="271"/>
      <c r="AR832" s="271"/>
      <c r="AS832" s="271"/>
      <c r="AT832" s="271"/>
      <c r="AU832" s="271"/>
      <c r="AV832" s="271"/>
      <c r="AW832" s="271"/>
      <c r="AX832" s="271"/>
      <c r="AY832" s="271"/>
    </row>
    <row r="833" spans="1:51" ht="15.75" customHeight="1" x14ac:dyDescent="0.25">
      <c r="A833" s="271"/>
      <c r="B833" s="534"/>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c r="AL833" s="271"/>
      <c r="AM833" s="271"/>
      <c r="AN833" s="271"/>
      <c r="AO833" s="271"/>
      <c r="AP833" s="271"/>
      <c r="AQ833" s="271"/>
      <c r="AR833" s="271"/>
      <c r="AS833" s="271"/>
      <c r="AT833" s="271"/>
      <c r="AU833" s="271"/>
      <c r="AV833" s="271"/>
      <c r="AW833" s="271"/>
      <c r="AX833" s="271"/>
      <c r="AY833" s="271"/>
    </row>
    <row r="834" spans="1:51" ht="15.75" customHeight="1" x14ac:dyDescent="0.25">
      <c r="A834" s="271"/>
      <c r="B834" s="534"/>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c r="AL834" s="271"/>
      <c r="AM834" s="271"/>
      <c r="AN834" s="271"/>
      <c r="AO834" s="271"/>
      <c r="AP834" s="271"/>
      <c r="AQ834" s="271"/>
      <c r="AR834" s="271"/>
      <c r="AS834" s="271"/>
      <c r="AT834" s="271"/>
      <c r="AU834" s="271"/>
      <c r="AV834" s="271"/>
      <c r="AW834" s="271"/>
      <c r="AX834" s="271"/>
      <c r="AY834" s="271"/>
    </row>
    <row r="835" spans="1:51" ht="15.75" customHeight="1" x14ac:dyDescent="0.25">
      <c r="A835" s="271"/>
      <c r="B835" s="534"/>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c r="AL835" s="271"/>
      <c r="AM835" s="271"/>
      <c r="AN835" s="271"/>
      <c r="AO835" s="271"/>
      <c r="AP835" s="271"/>
      <c r="AQ835" s="271"/>
      <c r="AR835" s="271"/>
      <c r="AS835" s="271"/>
      <c r="AT835" s="271"/>
      <c r="AU835" s="271"/>
      <c r="AV835" s="271"/>
      <c r="AW835" s="271"/>
      <c r="AX835" s="271"/>
      <c r="AY835" s="271"/>
    </row>
    <row r="836" spans="1:51" ht="15.75" customHeight="1" x14ac:dyDescent="0.25">
      <c r="A836" s="271"/>
      <c r="B836" s="534"/>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c r="AL836" s="271"/>
      <c r="AM836" s="271"/>
      <c r="AN836" s="271"/>
      <c r="AO836" s="271"/>
      <c r="AP836" s="271"/>
      <c r="AQ836" s="271"/>
      <c r="AR836" s="271"/>
      <c r="AS836" s="271"/>
      <c r="AT836" s="271"/>
      <c r="AU836" s="271"/>
      <c r="AV836" s="271"/>
      <c r="AW836" s="271"/>
      <c r="AX836" s="271"/>
      <c r="AY836" s="271"/>
    </row>
    <row r="837" spans="1:51" ht="15.75" customHeight="1" x14ac:dyDescent="0.25">
      <c r="A837" s="271"/>
      <c r="B837" s="534"/>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c r="AL837" s="271"/>
      <c r="AM837" s="271"/>
      <c r="AN837" s="271"/>
      <c r="AO837" s="271"/>
      <c r="AP837" s="271"/>
      <c r="AQ837" s="271"/>
      <c r="AR837" s="271"/>
      <c r="AS837" s="271"/>
      <c r="AT837" s="271"/>
      <c r="AU837" s="271"/>
      <c r="AV837" s="271"/>
      <c r="AW837" s="271"/>
      <c r="AX837" s="271"/>
      <c r="AY837" s="271"/>
    </row>
    <row r="838" spans="1:51" ht="15.75" customHeight="1" x14ac:dyDescent="0.25">
      <c r="A838" s="271"/>
      <c r="B838" s="534"/>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c r="AL838" s="271"/>
      <c r="AM838" s="271"/>
      <c r="AN838" s="271"/>
      <c r="AO838" s="271"/>
      <c r="AP838" s="271"/>
      <c r="AQ838" s="271"/>
      <c r="AR838" s="271"/>
      <c r="AS838" s="271"/>
      <c r="AT838" s="271"/>
      <c r="AU838" s="271"/>
      <c r="AV838" s="271"/>
      <c r="AW838" s="271"/>
      <c r="AX838" s="271"/>
      <c r="AY838" s="271"/>
    </row>
    <row r="839" spans="1:51" ht="15.75" customHeight="1" x14ac:dyDescent="0.25">
      <c r="A839" s="271"/>
      <c r="B839" s="534"/>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c r="AL839" s="271"/>
      <c r="AM839" s="271"/>
      <c r="AN839" s="271"/>
      <c r="AO839" s="271"/>
      <c r="AP839" s="271"/>
      <c r="AQ839" s="271"/>
      <c r="AR839" s="271"/>
      <c r="AS839" s="271"/>
      <c r="AT839" s="271"/>
      <c r="AU839" s="271"/>
      <c r="AV839" s="271"/>
      <c r="AW839" s="271"/>
      <c r="AX839" s="271"/>
      <c r="AY839" s="271"/>
    </row>
    <row r="840" spans="1:51" ht="15.75" customHeight="1" x14ac:dyDescent="0.25">
      <c r="A840" s="271"/>
      <c r="B840" s="534"/>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c r="AL840" s="271"/>
      <c r="AM840" s="271"/>
      <c r="AN840" s="271"/>
      <c r="AO840" s="271"/>
      <c r="AP840" s="271"/>
      <c r="AQ840" s="271"/>
      <c r="AR840" s="271"/>
      <c r="AS840" s="271"/>
      <c r="AT840" s="271"/>
      <c r="AU840" s="271"/>
      <c r="AV840" s="271"/>
      <c r="AW840" s="271"/>
      <c r="AX840" s="271"/>
      <c r="AY840" s="271"/>
    </row>
    <row r="841" spans="1:51" ht="15.75" customHeight="1" x14ac:dyDescent="0.25">
      <c r="A841" s="271"/>
      <c r="B841" s="534"/>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c r="AL841" s="271"/>
      <c r="AM841" s="271"/>
      <c r="AN841" s="271"/>
      <c r="AO841" s="271"/>
      <c r="AP841" s="271"/>
      <c r="AQ841" s="271"/>
      <c r="AR841" s="271"/>
      <c r="AS841" s="271"/>
      <c r="AT841" s="271"/>
      <c r="AU841" s="271"/>
      <c r="AV841" s="271"/>
      <c r="AW841" s="271"/>
      <c r="AX841" s="271"/>
      <c r="AY841" s="271"/>
    </row>
    <row r="842" spans="1:51" ht="15.75" customHeight="1" x14ac:dyDescent="0.25">
      <c r="A842" s="271"/>
      <c r="B842" s="534"/>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c r="AL842" s="271"/>
      <c r="AM842" s="271"/>
      <c r="AN842" s="271"/>
      <c r="AO842" s="271"/>
      <c r="AP842" s="271"/>
      <c r="AQ842" s="271"/>
      <c r="AR842" s="271"/>
      <c r="AS842" s="271"/>
      <c r="AT842" s="271"/>
      <c r="AU842" s="271"/>
      <c r="AV842" s="271"/>
      <c r="AW842" s="271"/>
      <c r="AX842" s="271"/>
      <c r="AY842" s="271"/>
    </row>
    <row r="843" spans="1:51" ht="15.75" customHeight="1" x14ac:dyDescent="0.25">
      <c r="A843" s="271"/>
      <c r="B843" s="534"/>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c r="AL843" s="271"/>
      <c r="AM843" s="271"/>
      <c r="AN843" s="271"/>
      <c r="AO843" s="271"/>
      <c r="AP843" s="271"/>
      <c r="AQ843" s="271"/>
      <c r="AR843" s="271"/>
      <c r="AS843" s="271"/>
      <c r="AT843" s="271"/>
      <c r="AU843" s="271"/>
      <c r="AV843" s="271"/>
      <c r="AW843" s="271"/>
      <c r="AX843" s="271"/>
      <c r="AY843" s="271"/>
    </row>
    <row r="844" spans="1:51" ht="15.75" customHeight="1" x14ac:dyDescent="0.25">
      <c r="A844" s="271"/>
      <c r="B844" s="534"/>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c r="AL844" s="271"/>
      <c r="AM844" s="271"/>
      <c r="AN844" s="271"/>
      <c r="AO844" s="271"/>
      <c r="AP844" s="271"/>
      <c r="AQ844" s="271"/>
      <c r="AR844" s="271"/>
      <c r="AS844" s="271"/>
      <c r="AT844" s="271"/>
      <c r="AU844" s="271"/>
      <c r="AV844" s="271"/>
      <c r="AW844" s="271"/>
      <c r="AX844" s="271"/>
      <c r="AY844" s="271"/>
    </row>
    <row r="845" spans="1:51" ht="15.75" customHeight="1" x14ac:dyDescent="0.25">
      <c r="A845" s="271"/>
      <c r="B845" s="534"/>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c r="AL845" s="271"/>
      <c r="AM845" s="271"/>
      <c r="AN845" s="271"/>
      <c r="AO845" s="271"/>
      <c r="AP845" s="271"/>
      <c r="AQ845" s="271"/>
      <c r="AR845" s="271"/>
      <c r="AS845" s="271"/>
      <c r="AT845" s="271"/>
      <c r="AU845" s="271"/>
      <c r="AV845" s="271"/>
      <c r="AW845" s="271"/>
      <c r="AX845" s="271"/>
      <c r="AY845" s="271"/>
    </row>
    <row r="846" spans="1:51" ht="15.75" customHeight="1" x14ac:dyDescent="0.25">
      <c r="A846" s="271"/>
      <c r="B846" s="534"/>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c r="AL846" s="271"/>
      <c r="AM846" s="271"/>
      <c r="AN846" s="271"/>
      <c r="AO846" s="271"/>
      <c r="AP846" s="271"/>
      <c r="AQ846" s="271"/>
      <c r="AR846" s="271"/>
      <c r="AS846" s="271"/>
      <c r="AT846" s="271"/>
      <c r="AU846" s="271"/>
      <c r="AV846" s="271"/>
      <c r="AW846" s="271"/>
      <c r="AX846" s="271"/>
      <c r="AY846" s="271"/>
    </row>
    <row r="847" spans="1:51" ht="15.75" customHeight="1" x14ac:dyDescent="0.25">
      <c r="A847" s="271"/>
      <c r="B847" s="534"/>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c r="AL847" s="271"/>
      <c r="AM847" s="271"/>
      <c r="AN847" s="271"/>
      <c r="AO847" s="271"/>
      <c r="AP847" s="271"/>
      <c r="AQ847" s="271"/>
      <c r="AR847" s="271"/>
      <c r="AS847" s="271"/>
      <c r="AT847" s="271"/>
      <c r="AU847" s="271"/>
      <c r="AV847" s="271"/>
      <c r="AW847" s="271"/>
      <c r="AX847" s="271"/>
      <c r="AY847" s="271"/>
    </row>
    <row r="848" spans="1:51" ht="15.75" customHeight="1" x14ac:dyDescent="0.25">
      <c r="A848" s="271"/>
      <c r="B848" s="534"/>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c r="AL848" s="271"/>
      <c r="AM848" s="271"/>
      <c r="AN848" s="271"/>
      <c r="AO848" s="271"/>
      <c r="AP848" s="271"/>
      <c r="AQ848" s="271"/>
      <c r="AR848" s="271"/>
      <c r="AS848" s="271"/>
      <c r="AT848" s="271"/>
      <c r="AU848" s="271"/>
      <c r="AV848" s="271"/>
      <c r="AW848" s="271"/>
      <c r="AX848" s="271"/>
      <c r="AY848" s="271"/>
    </row>
    <row r="849" spans="1:51" ht="15.75" customHeight="1" x14ac:dyDescent="0.25">
      <c r="A849" s="271"/>
      <c r="B849" s="534"/>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c r="AL849" s="271"/>
      <c r="AM849" s="271"/>
      <c r="AN849" s="271"/>
      <c r="AO849" s="271"/>
      <c r="AP849" s="271"/>
      <c r="AQ849" s="271"/>
      <c r="AR849" s="271"/>
      <c r="AS849" s="271"/>
      <c r="AT849" s="271"/>
      <c r="AU849" s="271"/>
      <c r="AV849" s="271"/>
      <c r="AW849" s="271"/>
      <c r="AX849" s="271"/>
      <c r="AY849" s="271"/>
    </row>
    <row r="850" spans="1:51" ht="15.75" customHeight="1" x14ac:dyDescent="0.25">
      <c r="A850" s="271"/>
      <c r="B850" s="534"/>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c r="AL850" s="271"/>
      <c r="AM850" s="271"/>
      <c r="AN850" s="271"/>
      <c r="AO850" s="271"/>
      <c r="AP850" s="271"/>
      <c r="AQ850" s="271"/>
      <c r="AR850" s="271"/>
      <c r="AS850" s="271"/>
      <c r="AT850" s="271"/>
      <c r="AU850" s="271"/>
      <c r="AV850" s="271"/>
      <c r="AW850" s="271"/>
      <c r="AX850" s="271"/>
      <c r="AY850" s="271"/>
    </row>
    <row r="851" spans="1:51" ht="15.75" customHeight="1" x14ac:dyDescent="0.25">
      <c r="A851" s="271"/>
      <c r="B851" s="534"/>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c r="AL851" s="271"/>
      <c r="AM851" s="271"/>
      <c r="AN851" s="271"/>
      <c r="AO851" s="271"/>
      <c r="AP851" s="271"/>
      <c r="AQ851" s="271"/>
      <c r="AR851" s="271"/>
      <c r="AS851" s="271"/>
      <c r="AT851" s="271"/>
      <c r="AU851" s="271"/>
      <c r="AV851" s="271"/>
      <c r="AW851" s="271"/>
      <c r="AX851" s="271"/>
      <c r="AY851" s="271"/>
    </row>
    <row r="852" spans="1:51" ht="15.75" customHeight="1" x14ac:dyDescent="0.25">
      <c r="A852" s="271"/>
      <c r="B852" s="534"/>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c r="AL852" s="271"/>
      <c r="AM852" s="271"/>
      <c r="AN852" s="271"/>
      <c r="AO852" s="271"/>
      <c r="AP852" s="271"/>
      <c r="AQ852" s="271"/>
      <c r="AR852" s="271"/>
      <c r="AS852" s="271"/>
      <c r="AT852" s="271"/>
      <c r="AU852" s="271"/>
      <c r="AV852" s="271"/>
      <c r="AW852" s="271"/>
      <c r="AX852" s="271"/>
      <c r="AY852" s="271"/>
    </row>
    <row r="853" spans="1:51" ht="15.75" customHeight="1" x14ac:dyDescent="0.25">
      <c r="A853" s="271"/>
      <c r="B853" s="534"/>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c r="AL853" s="271"/>
      <c r="AM853" s="271"/>
      <c r="AN853" s="271"/>
      <c r="AO853" s="271"/>
      <c r="AP853" s="271"/>
      <c r="AQ853" s="271"/>
      <c r="AR853" s="271"/>
      <c r="AS853" s="271"/>
      <c r="AT853" s="271"/>
      <c r="AU853" s="271"/>
      <c r="AV853" s="271"/>
      <c r="AW853" s="271"/>
      <c r="AX853" s="271"/>
      <c r="AY853" s="271"/>
    </row>
    <row r="854" spans="1:51" ht="15.75" customHeight="1" x14ac:dyDescent="0.25">
      <c r="A854" s="271"/>
      <c r="B854" s="534"/>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c r="AL854" s="271"/>
      <c r="AM854" s="271"/>
      <c r="AN854" s="271"/>
      <c r="AO854" s="271"/>
      <c r="AP854" s="271"/>
      <c r="AQ854" s="271"/>
      <c r="AR854" s="271"/>
      <c r="AS854" s="271"/>
      <c r="AT854" s="271"/>
      <c r="AU854" s="271"/>
      <c r="AV854" s="271"/>
      <c r="AW854" s="271"/>
      <c r="AX854" s="271"/>
      <c r="AY854" s="271"/>
    </row>
    <row r="855" spans="1:51" ht="15.75" customHeight="1" x14ac:dyDescent="0.25">
      <c r="A855" s="271"/>
      <c r="B855" s="534"/>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c r="AL855" s="271"/>
      <c r="AM855" s="271"/>
      <c r="AN855" s="271"/>
      <c r="AO855" s="271"/>
      <c r="AP855" s="271"/>
      <c r="AQ855" s="271"/>
      <c r="AR855" s="271"/>
      <c r="AS855" s="271"/>
      <c r="AT855" s="271"/>
      <c r="AU855" s="271"/>
      <c r="AV855" s="271"/>
      <c r="AW855" s="271"/>
      <c r="AX855" s="271"/>
      <c r="AY855" s="271"/>
    </row>
    <row r="856" spans="1:51" ht="15.75" customHeight="1" x14ac:dyDescent="0.25">
      <c r="A856" s="271"/>
      <c r="B856" s="534"/>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c r="AL856" s="271"/>
      <c r="AM856" s="271"/>
      <c r="AN856" s="271"/>
      <c r="AO856" s="271"/>
      <c r="AP856" s="271"/>
      <c r="AQ856" s="271"/>
      <c r="AR856" s="271"/>
      <c r="AS856" s="271"/>
      <c r="AT856" s="271"/>
      <c r="AU856" s="271"/>
      <c r="AV856" s="271"/>
      <c r="AW856" s="271"/>
      <c r="AX856" s="271"/>
      <c r="AY856" s="271"/>
    </row>
    <row r="857" spans="1:51" ht="15.75" customHeight="1" x14ac:dyDescent="0.25">
      <c r="A857" s="271"/>
      <c r="B857" s="534"/>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c r="AL857" s="271"/>
      <c r="AM857" s="271"/>
      <c r="AN857" s="271"/>
      <c r="AO857" s="271"/>
      <c r="AP857" s="271"/>
      <c r="AQ857" s="271"/>
      <c r="AR857" s="271"/>
      <c r="AS857" s="271"/>
      <c r="AT857" s="271"/>
      <c r="AU857" s="271"/>
      <c r="AV857" s="271"/>
      <c r="AW857" s="271"/>
      <c r="AX857" s="271"/>
      <c r="AY857" s="271"/>
    </row>
    <row r="858" spans="1:51" ht="15.75" customHeight="1" x14ac:dyDescent="0.25">
      <c r="A858" s="271"/>
      <c r="B858" s="534"/>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c r="AL858" s="271"/>
      <c r="AM858" s="271"/>
      <c r="AN858" s="271"/>
      <c r="AO858" s="271"/>
      <c r="AP858" s="271"/>
      <c r="AQ858" s="271"/>
      <c r="AR858" s="271"/>
      <c r="AS858" s="271"/>
      <c r="AT858" s="271"/>
      <c r="AU858" s="271"/>
      <c r="AV858" s="271"/>
      <c r="AW858" s="271"/>
      <c r="AX858" s="271"/>
      <c r="AY858" s="271"/>
    </row>
    <row r="859" spans="1:51" ht="15.75" customHeight="1" x14ac:dyDescent="0.25">
      <c r="A859" s="271"/>
      <c r="B859" s="534"/>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c r="AL859" s="271"/>
      <c r="AM859" s="271"/>
      <c r="AN859" s="271"/>
      <c r="AO859" s="271"/>
      <c r="AP859" s="271"/>
      <c r="AQ859" s="271"/>
      <c r="AR859" s="271"/>
      <c r="AS859" s="271"/>
      <c r="AT859" s="271"/>
      <c r="AU859" s="271"/>
      <c r="AV859" s="271"/>
      <c r="AW859" s="271"/>
      <c r="AX859" s="271"/>
      <c r="AY859" s="271"/>
    </row>
    <row r="860" spans="1:51" ht="15.75" customHeight="1" x14ac:dyDescent="0.25">
      <c r="A860" s="271"/>
      <c r="B860" s="534"/>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c r="AL860" s="271"/>
      <c r="AM860" s="271"/>
      <c r="AN860" s="271"/>
      <c r="AO860" s="271"/>
      <c r="AP860" s="271"/>
      <c r="AQ860" s="271"/>
      <c r="AR860" s="271"/>
      <c r="AS860" s="271"/>
      <c r="AT860" s="271"/>
      <c r="AU860" s="271"/>
      <c r="AV860" s="271"/>
      <c r="AW860" s="271"/>
      <c r="AX860" s="271"/>
      <c r="AY860" s="271"/>
    </row>
    <row r="861" spans="1:51" ht="15.75" customHeight="1" x14ac:dyDescent="0.25">
      <c r="A861" s="271"/>
      <c r="B861" s="534"/>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c r="AL861" s="271"/>
      <c r="AM861" s="271"/>
      <c r="AN861" s="271"/>
      <c r="AO861" s="271"/>
      <c r="AP861" s="271"/>
      <c r="AQ861" s="271"/>
      <c r="AR861" s="271"/>
      <c r="AS861" s="271"/>
      <c r="AT861" s="271"/>
      <c r="AU861" s="271"/>
      <c r="AV861" s="271"/>
      <c r="AW861" s="271"/>
      <c r="AX861" s="271"/>
      <c r="AY861" s="271"/>
    </row>
    <row r="862" spans="1:51" ht="15.75" customHeight="1" x14ac:dyDescent="0.25">
      <c r="A862" s="271"/>
      <c r="B862" s="534"/>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c r="AL862" s="271"/>
      <c r="AM862" s="271"/>
      <c r="AN862" s="271"/>
      <c r="AO862" s="271"/>
      <c r="AP862" s="271"/>
      <c r="AQ862" s="271"/>
      <c r="AR862" s="271"/>
      <c r="AS862" s="271"/>
      <c r="AT862" s="271"/>
      <c r="AU862" s="271"/>
      <c r="AV862" s="271"/>
      <c r="AW862" s="271"/>
      <c r="AX862" s="271"/>
      <c r="AY862" s="271"/>
    </row>
    <row r="863" spans="1:51" ht="15.75" customHeight="1" x14ac:dyDescent="0.25">
      <c r="A863" s="271"/>
      <c r="B863" s="534"/>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c r="AL863" s="271"/>
      <c r="AM863" s="271"/>
      <c r="AN863" s="271"/>
      <c r="AO863" s="271"/>
      <c r="AP863" s="271"/>
      <c r="AQ863" s="271"/>
      <c r="AR863" s="271"/>
      <c r="AS863" s="271"/>
      <c r="AT863" s="271"/>
      <c r="AU863" s="271"/>
      <c r="AV863" s="271"/>
      <c r="AW863" s="271"/>
      <c r="AX863" s="271"/>
      <c r="AY863" s="271"/>
    </row>
    <row r="864" spans="1:51" ht="15.75" customHeight="1" x14ac:dyDescent="0.25">
      <c r="A864" s="271"/>
      <c r="B864" s="534"/>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c r="AL864" s="271"/>
      <c r="AM864" s="271"/>
      <c r="AN864" s="271"/>
      <c r="AO864" s="271"/>
      <c r="AP864" s="271"/>
      <c r="AQ864" s="271"/>
      <c r="AR864" s="271"/>
      <c r="AS864" s="271"/>
      <c r="AT864" s="271"/>
      <c r="AU864" s="271"/>
      <c r="AV864" s="271"/>
      <c r="AW864" s="271"/>
      <c r="AX864" s="271"/>
      <c r="AY864" s="271"/>
    </row>
    <row r="865" spans="1:51" ht="15.75" customHeight="1" x14ac:dyDescent="0.25">
      <c r="A865" s="271"/>
      <c r="B865" s="534"/>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c r="AL865" s="271"/>
      <c r="AM865" s="271"/>
      <c r="AN865" s="271"/>
      <c r="AO865" s="271"/>
      <c r="AP865" s="271"/>
      <c r="AQ865" s="271"/>
      <c r="AR865" s="271"/>
      <c r="AS865" s="271"/>
      <c r="AT865" s="271"/>
      <c r="AU865" s="271"/>
      <c r="AV865" s="271"/>
      <c r="AW865" s="271"/>
      <c r="AX865" s="271"/>
      <c r="AY865" s="271"/>
    </row>
    <row r="866" spans="1:51" ht="15.75" customHeight="1" x14ac:dyDescent="0.25">
      <c r="A866" s="271"/>
      <c r="B866" s="534"/>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c r="AL866" s="271"/>
      <c r="AM866" s="271"/>
      <c r="AN866" s="271"/>
      <c r="AO866" s="271"/>
      <c r="AP866" s="271"/>
      <c r="AQ866" s="271"/>
      <c r="AR866" s="271"/>
      <c r="AS866" s="271"/>
      <c r="AT866" s="271"/>
      <c r="AU866" s="271"/>
      <c r="AV866" s="271"/>
      <c r="AW866" s="271"/>
      <c r="AX866" s="271"/>
      <c r="AY866" s="271"/>
    </row>
    <row r="867" spans="1:51" ht="15.75" customHeight="1" x14ac:dyDescent="0.25">
      <c r="A867" s="271"/>
      <c r="B867" s="534"/>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c r="AL867" s="271"/>
      <c r="AM867" s="271"/>
      <c r="AN867" s="271"/>
      <c r="AO867" s="271"/>
      <c r="AP867" s="271"/>
      <c r="AQ867" s="271"/>
      <c r="AR867" s="271"/>
      <c r="AS867" s="271"/>
      <c r="AT867" s="271"/>
      <c r="AU867" s="271"/>
      <c r="AV867" s="271"/>
      <c r="AW867" s="271"/>
      <c r="AX867" s="271"/>
      <c r="AY867" s="271"/>
    </row>
    <row r="868" spans="1:51" ht="15.75" customHeight="1" x14ac:dyDescent="0.25">
      <c r="A868" s="271"/>
      <c r="B868" s="534"/>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c r="AL868" s="271"/>
      <c r="AM868" s="271"/>
      <c r="AN868" s="271"/>
      <c r="AO868" s="271"/>
      <c r="AP868" s="271"/>
      <c r="AQ868" s="271"/>
      <c r="AR868" s="271"/>
      <c r="AS868" s="271"/>
      <c r="AT868" s="271"/>
      <c r="AU868" s="271"/>
      <c r="AV868" s="271"/>
      <c r="AW868" s="271"/>
      <c r="AX868" s="271"/>
      <c r="AY868" s="271"/>
    </row>
    <row r="869" spans="1:51" ht="15.75" customHeight="1" x14ac:dyDescent="0.25">
      <c r="A869" s="271"/>
      <c r="B869" s="534"/>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c r="AL869" s="271"/>
      <c r="AM869" s="271"/>
      <c r="AN869" s="271"/>
      <c r="AO869" s="271"/>
      <c r="AP869" s="271"/>
      <c r="AQ869" s="271"/>
      <c r="AR869" s="271"/>
      <c r="AS869" s="271"/>
      <c r="AT869" s="271"/>
      <c r="AU869" s="271"/>
      <c r="AV869" s="271"/>
      <c r="AW869" s="271"/>
      <c r="AX869" s="271"/>
      <c r="AY869" s="271"/>
    </row>
    <row r="870" spans="1:51" ht="15.75" customHeight="1" x14ac:dyDescent="0.25">
      <c r="A870" s="271"/>
      <c r="B870" s="534"/>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c r="AL870" s="271"/>
      <c r="AM870" s="271"/>
      <c r="AN870" s="271"/>
      <c r="AO870" s="271"/>
      <c r="AP870" s="271"/>
      <c r="AQ870" s="271"/>
      <c r="AR870" s="271"/>
      <c r="AS870" s="271"/>
      <c r="AT870" s="271"/>
      <c r="AU870" s="271"/>
      <c r="AV870" s="271"/>
      <c r="AW870" s="271"/>
      <c r="AX870" s="271"/>
      <c r="AY870" s="271"/>
    </row>
    <row r="871" spans="1:51" ht="15.75" customHeight="1" x14ac:dyDescent="0.25">
      <c r="A871" s="271"/>
      <c r="B871" s="534"/>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c r="AL871" s="271"/>
      <c r="AM871" s="271"/>
      <c r="AN871" s="271"/>
      <c r="AO871" s="271"/>
      <c r="AP871" s="271"/>
      <c r="AQ871" s="271"/>
      <c r="AR871" s="271"/>
      <c r="AS871" s="271"/>
      <c r="AT871" s="271"/>
      <c r="AU871" s="271"/>
      <c r="AV871" s="271"/>
      <c r="AW871" s="271"/>
      <c r="AX871" s="271"/>
      <c r="AY871" s="271"/>
    </row>
    <row r="872" spans="1:51" ht="15.75" customHeight="1" x14ac:dyDescent="0.25">
      <c r="A872" s="271"/>
      <c r="B872" s="534"/>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c r="AL872" s="271"/>
      <c r="AM872" s="271"/>
      <c r="AN872" s="271"/>
      <c r="AO872" s="271"/>
      <c r="AP872" s="271"/>
      <c r="AQ872" s="271"/>
      <c r="AR872" s="271"/>
      <c r="AS872" s="271"/>
      <c r="AT872" s="271"/>
      <c r="AU872" s="271"/>
      <c r="AV872" s="271"/>
      <c r="AW872" s="271"/>
      <c r="AX872" s="271"/>
      <c r="AY872" s="271"/>
    </row>
    <row r="873" spans="1:51" ht="15.75" customHeight="1" x14ac:dyDescent="0.25">
      <c r="A873" s="271"/>
      <c r="B873" s="534"/>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c r="AL873" s="271"/>
      <c r="AM873" s="271"/>
      <c r="AN873" s="271"/>
      <c r="AO873" s="271"/>
      <c r="AP873" s="271"/>
      <c r="AQ873" s="271"/>
      <c r="AR873" s="271"/>
      <c r="AS873" s="271"/>
      <c r="AT873" s="271"/>
      <c r="AU873" s="271"/>
      <c r="AV873" s="271"/>
      <c r="AW873" s="271"/>
      <c r="AX873" s="271"/>
      <c r="AY873" s="271"/>
    </row>
    <row r="874" spans="1:51" ht="15.75" customHeight="1" x14ac:dyDescent="0.25">
      <c r="A874" s="271"/>
      <c r="B874" s="534"/>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c r="AL874" s="271"/>
      <c r="AM874" s="271"/>
      <c r="AN874" s="271"/>
      <c r="AO874" s="271"/>
      <c r="AP874" s="271"/>
      <c r="AQ874" s="271"/>
      <c r="AR874" s="271"/>
      <c r="AS874" s="271"/>
      <c r="AT874" s="271"/>
      <c r="AU874" s="271"/>
      <c r="AV874" s="271"/>
      <c r="AW874" s="271"/>
      <c r="AX874" s="271"/>
      <c r="AY874" s="271"/>
    </row>
    <row r="875" spans="1:51" ht="15.75" customHeight="1" x14ac:dyDescent="0.25">
      <c r="A875" s="271"/>
      <c r="B875" s="534"/>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c r="AL875" s="271"/>
      <c r="AM875" s="271"/>
      <c r="AN875" s="271"/>
      <c r="AO875" s="271"/>
      <c r="AP875" s="271"/>
      <c r="AQ875" s="271"/>
      <c r="AR875" s="271"/>
      <c r="AS875" s="271"/>
      <c r="AT875" s="271"/>
      <c r="AU875" s="271"/>
      <c r="AV875" s="271"/>
      <c r="AW875" s="271"/>
      <c r="AX875" s="271"/>
      <c r="AY875" s="271"/>
    </row>
    <row r="876" spans="1:51" ht="15.75" customHeight="1" x14ac:dyDescent="0.25">
      <c r="A876" s="271"/>
      <c r="B876" s="534"/>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c r="AL876" s="271"/>
      <c r="AM876" s="271"/>
      <c r="AN876" s="271"/>
      <c r="AO876" s="271"/>
      <c r="AP876" s="271"/>
      <c r="AQ876" s="271"/>
      <c r="AR876" s="271"/>
      <c r="AS876" s="271"/>
      <c r="AT876" s="271"/>
      <c r="AU876" s="271"/>
      <c r="AV876" s="271"/>
      <c r="AW876" s="271"/>
      <c r="AX876" s="271"/>
      <c r="AY876" s="271"/>
    </row>
    <row r="877" spans="1:51" ht="15.75" customHeight="1" x14ac:dyDescent="0.25">
      <c r="A877" s="271"/>
      <c r="B877" s="534"/>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c r="AL877" s="271"/>
      <c r="AM877" s="271"/>
      <c r="AN877" s="271"/>
      <c r="AO877" s="271"/>
      <c r="AP877" s="271"/>
      <c r="AQ877" s="271"/>
      <c r="AR877" s="271"/>
      <c r="AS877" s="271"/>
      <c r="AT877" s="271"/>
      <c r="AU877" s="271"/>
      <c r="AV877" s="271"/>
      <c r="AW877" s="271"/>
      <c r="AX877" s="271"/>
      <c r="AY877" s="271"/>
    </row>
    <row r="878" spans="1:51" ht="15.75" customHeight="1" x14ac:dyDescent="0.25">
      <c r="A878" s="271"/>
      <c r="B878" s="534"/>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c r="AL878" s="271"/>
      <c r="AM878" s="271"/>
      <c r="AN878" s="271"/>
      <c r="AO878" s="271"/>
      <c r="AP878" s="271"/>
      <c r="AQ878" s="271"/>
      <c r="AR878" s="271"/>
      <c r="AS878" s="271"/>
      <c r="AT878" s="271"/>
      <c r="AU878" s="271"/>
      <c r="AV878" s="271"/>
      <c r="AW878" s="271"/>
      <c r="AX878" s="271"/>
      <c r="AY878" s="271"/>
    </row>
    <row r="879" spans="1:51" ht="15.75" customHeight="1" x14ac:dyDescent="0.25">
      <c r="A879" s="271"/>
      <c r="B879" s="534"/>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c r="AL879" s="271"/>
      <c r="AM879" s="271"/>
      <c r="AN879" s="271"/>
      <c r="AO879" s="271"/>
      <c r="AP879" s="271"/>
      <c r="AQ879" s="271"/>
      <c r="AR879" s="271"/>
      <c r="AS879" s="271"/>
      <c r="AT879" s="271"/>
      <c r="AU879" s="271"/>
      <c r="AV879" s="271"/>
      <c r="AW879" s="271"/>
      <c r="AX879" s="271"/>
      <c r="AY879" s="271"/>
    </row>
    <row r="880" spans="1:51" ht="15.75" customHeight="1" x14ac:dyDescent="0.25">
      <c r="A880" s="271"/>
      <c r="B880" s="534"/>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c r="AL880" s="271"/>
      <c r="AM880" s="271"/>
      <c r="AN880" s="271"/>
      <c r="AO880" s="271"/>
      <c r="AP880" s="271"/>
      <c r="AQ880" s="271"/>
      <c r="AR880" s="271"/>
      <c r="AS880" s="271"/>
      <c r="AT880" s="271"/>
      <c r="AU880" s="271"/>
      <c r="AV880" s="271"/>
      <c r="AW880" s="271"/>
      <c r="AX880" s="271"/>
      <c r="AY880" s="271"/>
    </row>
    <row r="881" spans="1:51" ht="15.75" customHeight="1" x14ac:dyDescent="0.25">
      <c r="A881" s="271"/>
      <c r="B881" s="534"/>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c r="AL881" s="271"/>
      <c r="AM881" s="271"/>
      <c r="AN881" s="271"/>
      <c r="AO881" s="271"/>
      <c r="AP881" s="271"/>
      <c r="AQ881" s="271"/>
      <c r="AR881" s="271"/>
      <c r="AS881" s="271"/>
      <c r="AT881" s="271"/>
      <c r="AU881" s="271"/>
      <c r="AV881" s="271"/>
      <c r="AW881" s="271"/>
      <c r="AX881" s="271"/>
      <c r="AY881" s="271"/>
    </row>
    <row r="882" spans="1:51" ht="15.75" customHeight="1" x14ac:dyDescent="0.25">
      <c r="A882" s="271"/>
      <c r="B882" s="534"/>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c r="AL882" s="271"/>
      <c r="AM882" s="271"/>
      <c r="AN882" s="271"/>
      <c r="AO882" s="271"/>
      <c r="AP882" s="271"/>
      <c r="AQ882" s="271"/>
      <c r="AR882" s="271"/>
      <c r="AS882" s="271"/>
      <c r="AT882" s="271"/>
      <c r="AU882" s="271"/>
      <c r="AV882" s="271"/>
      <c r="AW882" s="271"/>
      <c r="AX882" s="271"/>
      <c r="AY882" s="271"/>
    </row>
    <row r="883" spans="1:51" ht="15.75" customHeight="1" x14ac:dyDescent="0.25">
      <c r="A883" s="271"/>
      <c r="B883" s="534"/>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c r="AL883" s="271"/>
      <c r="AM883" s="271"/>
      <c r="AN883" s="271"/>
      <c r="AO883" s="271"/>
      <c r="AP883" s="271"/>
      <c r="AQ883" s="271"/>
      <c r="AR883" s="271"/>
      <c r="AS883" s="271"/>
      <c r="AT883" s="271"/>
      <c r="AU883" s="271"/>
      <c r="AV883" s="271"/>
      <c r="AW883" s="271"/>
      <c r="AX883" s="271"/>
      <c r="AY883" s="271"/>
    </row>
    <row r="884" spans="1:51" ht="15.75" customHeight="1" x14ac:dyDescent="0.25">
      <c r="A884" s="271"/>
      <c r="B884" s="534"/>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c r="AL884" s="271"/>
      <c r="AM884" s="271"/>
      <c r="AN884" s="271"/>
      <c r="AO884" s="271"/>
      <c r="AP884" s="271"/>
      <c r="AQ884" s="271"/>
      <c r="AR884" s="271"/>
      <c r="AS884" s="271"/>
      <c r="AT884" s="271"/>
      <c r="AU884" s="271"/>
      <c r="AV884" s="271"/>
      <c r="AW884" s="271"/>
      <c r="AX884" s="271"/>
      <c r="AY884" s="271"/>
    </row>
    <row r="885" spans="1:51" ht="15.75" customHeight="1" x14ac:dyDescent="0.25">
      <c r="A885" s="271"/>
      <c r="B885" s="534"/>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c r="AL885" s="271"/>
      <c r="AM885" s="271"/>
      <c r="AN885" s="271"/>
      <c r="AO885" s="271"/>
      <c r="AP885" s="271"/>
      <c r="AQ885" s="271"/>
      <c r="AR885" s="271"/>
      <c r="AS885" s="271"/>
      <c r="AT885" s="271"/>
      <c r="AU885" s="271"/>
      <c r="AV885" s="271"/>
      <c r="AW885" s="271"/>
      <c r="AX885" s="271"/>
      <c r="AY885" s="271"/>
    </row>
    <row r="886" spans="1:51" ht="15.75" customHeight="1" x14ac:dyDescent="0.25">
      <c r="A886" s="271"/>
      <c r="B886" s="534"/>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c r="AL886" s="271"/>
      <c r="AM886" s="271"/>
      <c r="AN886" s="271"/>
      <c r="AO886" s="271"/>
      <c r="AP886" s="271"/>
      <c r="AQ886" s="271"/>
      <c r="AR886" s="271"/>
      <c r="AS886" s="271"/>
      <c r="AT886" s="271"/>
      <c r="AU886" s="271"/>
      <c r="AV886" s="271"/>
      <c r="AW886" s="271"/>
      <c r="AX886" s="271"/>
      <c r="AY886" s="271"/>
    </row>
    <row r="887" spans="1:51" ht="15.75" customHeight="1" x14ac:dyDescent="0.25">
      <c r="A887" s="271"/>
      <c r="B887" s="534"/>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c r="AL887" s="271"/>
      <c r="AM887" s="271"/>
      <c r="AN887" s="271"/>
      <c r="AO887" s="271"/>
      <c r="AP887" s="271"/>
      <c r="AQ887" s="271"/>
      <c r="AR887" s="271"/>
      <c r="AS887" s="271"/>
      <c r="AT887" s="271"/>
      <c r="AU887" s="271"/>
      <c r="AV887" s="271"/>
      <c r="AW887" s="271"/>
      <c r="AX887" s="271"/>
      <c r="AY887" s="271"/>
    </row>
    <row r="888" spans="1:51" ht="15.75" customHeight="1" x14ac:dyDescent="0.25">
      <c r="A888" s="271"/>
      <c r="B888" s="534"/>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c r="AL888" s="271"/>
      <c r="AM888" s="271"/>
      <c r="AN888" s="271"/>
      <c r="AO888" s="271"/>
      <c r="AP888" s="271"/>
      <c r="AQ888" s="271"/>
      <c r="AR888" s="271"/>
      <c r="AS888" s="271"/>
      <c r="AT888" s="271"/>
      <c r="AU888" s="271"/>
      <c r="AV888" s="271"/>
      <c r="AW888" s="271"/>
      <c r="AX888" s="271"/>
      <c r="AY888" s="271"/>
    </row>
    <row r="889" spans="1:51" ht="15.75" customHeight="1" x14ac:dyDescent="0.25">
      <c r="A889" s="271"/>
      <c r="B889" s="534"/>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c r="AL889" s="271"/>
      <c r="AM889" s="271"/>
      <c r="AN889" s="271"/>
      <c r="AO889" s="271"/>
      <c r="AP889" s="271"/>
      <c r="AQ889" s="271"/>
      <c r="AR889" s="271"/>
      <c r="AS889" s="271"/>
      <c r="AT889" s="271"/>
      <c r="AU889" s="271"/>
      <c r="AV889" s="271"/>
      <c r="AW889" s="271"/>
      <c r="AX889" s="271"/>
      <c r="AY889" s="271"/>
    </row>
    <row r="890" spans="1:51" ht="15.75" customHeight="1" x14ac:dyDescent="0.25">
      <c r="A890" s="271"/>
      <c r="B890" s="534"/>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c r="AL890" s="271"/>
      <c r="AM890" s="271"/>
      <c r="AN890" s="271"/>
      <c r="AO890" s="271"/>
      <c r="AP890" s="271"/>
      <c r="AQ890" s="271"/>
      <c r="AR890" s="271"/>
      <c r="AS890" s="271"/>
      <c r="AT890" s="271"/>
      <c r="AU890" s="271"/>
      <c r="AV890" s="271"/>
      <c r="AW890" s="271"/>
      <c r="AX890" s="271"/>
      <c r="AY890" s="271"/>
    </row>
    <row r="891" spans="1:51" ht="15.75" customHeight="1" x14ac:dyDescent="0.25">
      <c r="A891" s="271"/>
      <c r="B891" s="534"/>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c r="AL891" s="271"/>
      <c r="AM891" s="271"/>
      <c r="AN891" s="271"/>
      <c r="AO891" s="271"/>
      <c r="AP891" s="271"/>
      <c r="AQ891" s="271"/>
      <c r="AR891" s="271"/>
      <c r="AS891" s="271"/>
      <c r="AT891" s="271"/>
      <c r="AU891" s="271"/>
      <c r="AV891" s="271"/>
      <c r="AW891" s="271"/>
      <c r="AX891" s="271"/>
      <c r="AY891" s="271"/>
    </row>
    <row r="892" spans="1:51" ht="15.75" customHeight="1" x14ac:dyDescent="0.25">
      <c r="A892" s="271"/>
      <c r="B892" s="534"/>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c r="AL892" s="271"/>
      <c r="AM892" s="271"/>
      <c r="AN892" s="271"/>
      <c r="AO892" s="271"/>
      <c r="AP892" s="271"/>
      <c r="AQ892" s="271"/>
      <c r="AR892" s="271"/>
      <c r="AS892" s="271"/>
      <c r="AT892" s="271"/>
      <c r="AU892" s="271"/>
      <c r="AV892" s="271"/>
      <c r="AW892" s="271"/>
      <c r="AX892" s="271"/>
      <c r="AY892" s="271"/>
    </row>
    <row r="893" spans="1:51" ht="15.75" customHeight="1" x14ac:dyDescent="0.25">
      <c r="A893" s="271"/>
      <c r="B893" s="534"/>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c r="AL893" s="271"/>
      <c r="AM893" s="271"/>
      <c r="AN893" s="271"/>
      <c r="AO893" s="271"/>
      <c r="AP893" s="271"/>
      <c r="AQ893" s="271"/>
      <c r="AR893" s="271"/>
      <c r="AS893" s="271"/>
      <c r="AT893" s="271"/>
      <c r="AU893" s="271"/>
      <c r="AV893" s="271"/>
      <c r="AW893" s="271"/>
      <c r="AX893" s="271"/>
      <c r="AY893" s="271"/>
    </row>
    <row r="894" spans="1:51" ht="15.75" customHeight="1" x14ac:dyDescent="0.25">
      <c r="A894" s="271"/>
      <c r="B894" s="534"/>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c r="AL894" s="271"/>
      <c r="AM894" s="271"/>
      <c r="AN894" s="271"/>
      <c r="AO894" s="271"/>
      <c r="AP894" s="271"/>
      <c r="AQ894" s="271"/>
      <c r="AR894" s="271"/>
      <c r="AS894" s="271"/>
      <c r="AT894" s="271"/>
      <c r="AU894" s="271"/>
      <c r="AV894" s="271"/>
      <c r="AW894" s="271"/>
      <c r="AX894" s="271"/>
      <c r="AY894" s="271"/>
    </row>
    <row r="895" spans="1:51" ht="15.75" customHeight="1" x14ac:dyDescent="0.25">
      <c r="A895" s="271"/>
      <c r="B895" s="534"/>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c r="AL895" s="271"/>
      <c r="AM895" s="271"/>
      <c r="AN895" s="271"/>
      <c r="AO895" s="271"/>
      <c r="AP895" s="271"/>
      <c r="AQ895" s="271"/>
      <c r="AR895" s="271"/>
      <c r="AS895" s="271"/>
      <c r="AT895" s="271"/>
      <c r="AU895" s="271"/>
      <c r="AV895" s="271"/>
      <c r="AW895" s="271"/>
      <c r="AX895" s="271"/>
      <c r="AY895" s="271"/>
    </row>
    <row r="896" spans="1:51" ht="15.75" customHeight="1" x14ac:dyDescent="0.25">
      <c r="A896" s="271"/>
      <c r="B896" s="534"/>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c r="AL896" s="271"/>
      <c r="AM896" s="271"/>
      <c r="AN896" s="271"/>
      <c r="AO896" s="271"/>
      <c r="AP896" s="271"/>
      <c r="AQ896" s="271"/>
      <c r="AR896" s="271"/>
      <c r="AS896" s="271"/>
      <c r="AT896" s="271"/>
      <c r="AU896" s="271"/>
      <c r="AV896" s="271"/>
      <c r="AW896" s="271"/>
      <c r="AX896" s="271"/>
      <c r="AY896" s="271"/>
    </row>
    <row r="897" spans="1:51" ht="15.75" customHeight="1" x14ac:dyDescent="0.25">
      <c r="A897" s="271"/>
      <c r="B897" s="534"/>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c r="AL897" s="271"/>
      <c r="AM897" s="271"/>
      <c r="AN897" s="271"/>
      <c r="AO897" s="271"/>
      <c r="AP897" s="271"/>
      <c r="AQ897" s="271"/>
      <c r="AR897" s="271"/>
      <c r="AS897" s="271"/>
      <c r="AT897" s="271"/>
      <c r="AU897" s="271"/>
      <c r="AV897" s="271"/>
      <c r="AW897" s="271"/>
      <c r="AX897" s="271"/>
      <c r="AY897" s="271"/>
    </row>
    <row r="898" spans="1:51" ht="15.75" customHeight="1" x14ac:dyDescent="0.25">
      <c r="A898" s="271"/>
      <c r="B898" s="534"/>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c r="AL898" s="271"/>
      <c r="AM898" s="271"/>
      <c r="AN898" s="271"/>
      <c r="AO898" s="271"/>
      <c r="AP898" s="271"/>
      <c r="AQ898" s="271"/>
      <c r="AR898" s="271"/>
      <c r="AS898" s="271"/>
      <c r="AT898" s="271"/>
      <c r="AU898" s="271"/>
      <c r="AV898" s="271"/>
      <c r="AW898" s="271"/>
      <c r="AX898" s="271"/>
      <c r="AY898" s="271"/>
    </row>
    <row r="899" spans="1:51" ht="15.75" customHeight="1" x14ac:dyDescent="0.25">
      <c r="A899" s="271"/>
      <c r="B899" s="534"/>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c r="AL899" s="271"/>
      <c r="AM899" s="271"/>
      <c r="AN899" s="271"/>
      <c r="AO899" s="271"/>
      <c r="AP899" s="271"/>
      <c r="AQ899" s="271"/>
      <c r="AR899" s="271"/>
      <c r="AS899" s="271"/>
      <c r="AT899" s="271"/>
      <c r="AU899" s="271"/>
      <c r="AV899" s="271"/>
      <c r="AW899" s="271"/>
      <c r="AX899" s="271"/>
      <c r="AY899" s="271"/>
    </row>
    <row r="900" spans="1:51" ht="15.75" customHeight="1" x14ac:dyDescent="0.25">
      <c r="A900" s="271"/>
      <c r="B900" s="534"/>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c r="AL900" s="271"/>
      <c r="AM900" s="271"/>
      <c r="AN900" s="271"/>
      <c r="AO900" s="271"/>
      <c r="AP900" s="271"/>
      <c r="AQ900" s="271"/>
      <c r="AR900" s="271"/>
      <c r="AS900" s="271"/>
      <c r="AT900" s="271"/>
      <c r="AU900" s="271"/>
      <c r="AV900" s="271"/>
      <c r="AW900" s="271"/>
      <c r="AX900" s="271"/>
      <c r="AY900" s="271"/>
    </row>
    <row r="901" spans="1:51" ht="15.75" customHeight="1" x14ac:dyDescent="0.25">
      <c r="A901" s="271"/>
      <c r="B901" s="534"/>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c r="AL901" s="271"/>
      <c r="AM901" s="271"/>
      <c r="AN901" s="271"/>
      <c r="AO901" s="271"/>
      <c r="AP901" s="271"/>
      <c r="AQ901" s="271"/>
      <c r="AR901" s="271"/>
      <c r="AS901" s="271"/>
      <c r="AT901" s="271"/>
      <c r="AU901" s="271"/>
      <c r="AV901" s="271"/>
      <c r="AW901" s="271"/>
      <c r="AX901" s="271"/>
      <c r="AY901" s="271"/>
    </row>
    <row r="902" spans="1:51" ht="15.75" customHeight="1" x14ac:dyDescent="0.25">
      <c r="A902" s="271"/>
      <c r="B902" s="534"/>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c r="AL902" s="271"/>
      <c r="AM902" s="271"/>
      <c r="AN902" s="271"/>
      <c r="AO902" s="271"/>
      <c r="AP902" s="271"/>
      <c r="AQ902" s="271"/>
      <c r="AR902" s="271"/>
      <c r="AS902" s="271"/>
      <c r="AT902" s="271"/>
      <c r="AU902" s="271"/>
      <c r="AV902" s="271"/>
      <c r="AW902" s="271"/>
      <c r="AX902" s="271"/>
      <c r="AY902" s="271"/>
    </row>
    <row r="903" spans="1:51" ht="15.75" customHeight="1" x14ac:dyDescent="0.25">
      <c r="A903" s="271"/>
      <c r="B903" s="534"/>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c r="AL903" s="271"/>
      <c r="AM903" s="271"/>
      <c r="AN903" s="271"/>
      <c r="AO903" s="271"/>
      <c r="AP903" s="271"/>
      <c r="AQ903" s="271"/>
      <c r="AR903" s="271"/>
      <c r="AS903" s="271"/>
      <c r="AT903" s="271"/>
      <c r="AU903" s="271"/>
      <c r="AV903" s="271"/>
      <c r="AW903" s="271"/>
      <c r="AX903" s="271"/>
      <c r="AY903" s="271"/>
    </row>
    <row r="904" spans="1:51" ht="15.75" customHeight="1" x14ac:dyDescent="0.25">
      <c r="A904" s="271"/>
      <c r="B904" s="534"/>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c r="AL904" s="271"/>
      <c r="AM904" s="271"/>
      <c r="AN904" s="271"/>
      <c r="AO904" s="271"/>
      <c r="AP904" s="271"/>
      <c r="AQ904" s="271"/>
      <c r="AR904" s="271"/>
      <c r="AS904" s="271"/>
      <c r="AT904" s="271"/>
      <c r="AU904" s="271"/>
      <c r="AV904" s="271"/>
      <c r="AW904" s="271"/>
      <c r="AX904" s="271"/>
      <c r="AY904" s="271"/>
    </row>
    <row r="905" spans="1:51" ht="15.75" customHeight="1" x14ac:dyDescent="0.25">
      <c r="A905" s="271"/>
      <c r="B905" s="534"/>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c r="AL905" s="271"/>
      <c r="AM905" s="271"/>
      <c r="AN905" s="271"/>
      <c r="AO905" s="271"/>
      <c r="AP905" s="271"/>
      <c r="AQ905" s="271"/>
      <c r="AR905" s="271"/>
      <c r="AS905" s="271"/>
      <c r="AT905" s="271"/>
      <c r="AU905" s="271"/>
      <c r="AV905" s="271"/>
      <c r="AW905" s="271"/>
      <c r="AX905" s="271"/>
      <c r="AY905" s="271"/>
    </row>
    <row r="906" spans="1:51" ht="15.75" customHeight="1" x14ac:dyDescent="0.25">
      <c r="A906" s="271"/>
      <c r="B906" s="534"/>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c r="AL906" s="271"/>
      <c r="AM906" s="271"/>
      <c r="AN906" s="271"/>
      <c r="AO906" s="271"/>
      <c r="AP906" s="271"/>
      <c r="AQ906" s="271"/>
      <c r="AR906" s="271"/>
      <c r="AS906" s="271"/>
      <c r="AT906" s="271"/>
      <c r="AU906" s="271"/>
      <c r="AV906" s="271"/>
      <c r="AW906" s="271"/>
      <c r="AX906" s="271"/>
      <c r="AY906" s="271"/>
    </row>
    <row r="907" spans="1:51" ht="15.75" customHeight="1" x14ac:dyDescent="0.25">
      <c r="A907" s="271"/>
      <c r="B907" s="534"/>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c r="AL907" s="271"/>
      <c r="AM907" s="271"/>
      <c r="AN907" s="271"/>
      <c r="AO907" s="271"/>
      <c r="AP907" s="271"/>
      <c r="AQ907" s="271"/>
      <c r="AR907" s="271"/>
      <c r="AS907" s="271"/>
      <c r="AT907" s="271"/>
      <c r="AU907" s="271"/>
      <c r="AV907" s="271"/>
      <c r="AW907" s="271"/>
      <c r="AX907" s="271"/>
      <c r="AY907" s="271"/>
    </row>
    <row r="908" spans="1:51" ht="15.75" customHeight="1" x14ac:dyDescent="0.25">
      <c r="A908" s="271"/>
      <c r="B908" s="534"/>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c r="AL908" s="271"/>
      <c r="AM908" s="271"/>
      <c r="AN908" s="271"/>
      <c r="AO908" s="271"/>
      <c r="AP908" s="271"/>
      <c r="AQ908" s="271"/>
      <c r="AR908" s="271"/>
      <c r="AS908" s="271"/>
      <c r="AT908" s="271"/>
      <c r="AU908" s="271"/>
      <c r="AV908" s="271"/>
      <c r="AW908" s="271"/>
      <c r="AX908" s="271"/>
      <c r="AY908" s="271"/>
    </row>
    <row r="909" spans="1:51" ht="15.75" customHeight="1" x14ac:dyDescent="0.25">
      <c r="A909" s="271"/>
      <c r="B909" s="534"/>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c r="AL909" s="271"/>
      <c r="AM909" s="271"/>
      <c r="AN909" s="271"/>
      <c r="AO909" s="271"/>
      <c r="AP909" s="271"/>
      <c r="AQ909" s="271"/>
      <c r="AR909" s="271"/>
      <c r="AS909" s="271"/>
      <c r="AT909" s="271"/>
      <c r="AU909" s="271"/>
      <c r="AV909" s="271"/>
      <c r="AW909" s="271"/>
      <c r="AX909" s="271"/>
      <c r="AY909" s="271"/>
    </row>
    <row r="910" spans="1:51" ht="15.75" customHeight="1" x14ac:dyDescent="0.25">
      <c r="A910" s="271"/>
      <c r="B910" s="534"/>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c r="AL910" s="271"/>
      <c r="AM910" s="271"/>
      <c r="AN910" s="271"/>
      <c r="AO910" s="271"/>
      <c r="AP910" s="271"/>
      <c r="AQ910" s="271"/>
      <c r="AR910" s="271"/>
      <c r="AS910" s="271"/>
      <c r="AT910" s="271"/>
      <c r="AU910" s="271"/>
      <c r="AV910" s="271"/>
      <c r="AW910" s="271"/>
      <c r="AX910" s="271"/>
      <c r="AY910" s="271"/>
    </row>
    <row r="911" spans="1:51" ht="15.75" customHeight="1" x14ac:dyDescent="0.25">
      <c r="A911" s="271"/>
      <c r="B911" s="534"/>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c r="AL911" s="271"/>
      <c r="AM911" s="271"/>
      <c r="AN911" s="271"/>
      <c r="AO911" s="271"/>
      <c r="AP911" s="271"/>
      <c r="AQ911" s="271"/>
      <c r="AR911" s="271"/>
      <c r="AS911" s="271"/>
      <c r="AT911" s="271"/>
      <c r="AU911" s="271"/>
      <c r="AV911" s="271"/>
      <c r="AW911" s="271"/>
      <c r="AX911" s="271"/>
      <c r="AY911" s="271"/>
    </row>
    <row r="912" spans="1:51" ht="15.75" customHeight="1" x14ac:dyDescent="0.25">
      <c r="A912" s="271"/>
      <c r="B912" s="534"/>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c r="AL912" s="271"/>
      <c r="AM912" s="271"/>
      <c r="AN912" s="271"/>
      <c r="AO912" s="271"/>
      <c r="AP912" s="271"/>
      <c r="AQ912" s="271"/>
      <c r="AR912" s="271"/>
      <c r="AS912" s="271"/>
      <c r="AT912" s="271"/>
      <c r="AU912" s="271"/>
      <c r="AV912" s="271"/>
      <c r="AW912" s="271"/>
      <c r="AX912" s="271"/>
      <c r="AY912" s="271"/>
    </row>
    <row r="913" spans="1:51" ht="15.75" customHeight="1" x14ac:dyDescent="0.25">
      <c r="A913" s="271"/>
      <c r="B913" s="534"/>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c r="AL913" s="271"/>
      <c r="AM913" s="271"/>
      <c r="AN913" s="271"/>
      <c r="AO913" s="271"/>
      <c r="AP913" s="271"/>
      <c r="AQ913" s="271"/>
      <c r="AR913" s="271"/>
      <c r="AS913" s="271"/>
      <c r="AT913" s="271"/>
      <c r="AU913" s="271"/>
      <c r="AV913" s="271"/>
      <c r="AW913" s="271"/>
      <c r="AX913" s="271"/>
      <c r="AY913" s="271"/>
    </row>
    <row r="914" spans="1:51" ht="15.75" customHeight="1" x14ac:dyDescent="0.25">
      <c r="A914" s="271"/>
      <c r="B914" s="534"/>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c r="AL914" s="271"/>
      <c r="AM914" s="271"/>
      <c r="AN914" s="271"/>
      <c r="AO914" s="271"/>
      <c r="AP914" s="271"/>
      <c r="AQ914" s="271"/>
      <c r="AR914" s="271"/>
      <c r="AS914" s="271"/>
      <c r="AT914" s="271"/>
      <c r="AU914" s="271"/>
      <c r="AV914" s="271"/>
      <c r="AW914" s="271"/>
      <c r="AX914" s="271"/>
      <c r="AY914" s="271"/>
    </row>
    <row r="915" spans="1:51" ht="15.75" customHeight="1" x14ac:dyDescent="0.25">
      <c r="A915" s="271"/>
      <c r="B915" s="534"/>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c r="AL915" s="271"/>
      <c r="AM915" s="271"/>
      <c r="AN915" s="271"/>
      <c r="AO915" s="271"/>
      <c r="AP915" s="271"/>
      <c r="AQ915" s="271"/>
      <c r="AR915" s="271"/>
      <c r="AS915" s="271"/>
      <c r="AT915" s="271"/>
      <c r="AU915" s="271"/>
      <c r="AV915" s="271"/>
      <c r="AW915" s="271"/>
      <c r="AX915" s="271"/>
      <c r="AY915" s="271"/>
    </row>
    <row r="916" spans="1:51" ht="15.75" customHeight="1" x14ac:dyDescent="0.25">
      <c r="A916" s="271"/>
      <c r="B916" s="534"/>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c r="AL916" s="271"/>
      <c r="AM916" s="271"/>
      <c r="AN916" s="271"/>
      <c r="AO916" s="271"/>
      <c r="AP916" s="271"/>
      <c r="AQ916" s="271"/>
      <c r="AR916" s="271"/>
      <c r="AS916" s="271"/>
      <c r="AT916" s="271"/>
      <c r="AU916" s="271"/>
      <c r="AV916" s="271"/>
      <c r="AW916" s="271"/>
      <c r="AX916" s="271"/>
      <c r="AY916" s="271"/>
    </row>
    <row r="917" spans="1:51" ht="15.75" customHeight="1" x14ac:dyDescent="0.25">
      <c r="A917" s="271"/>
      <c r="B917" s="534"/>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c r="AL917" s="271"/>
      <c r="AM917" s="271"/>
      <c r="AN917" s="271"/>
      <c r="AO917" s="271"/>
      <c r="AP917" s="271"/>
      <c r="AQ917" s="271"/>
      <c r="AR917" s="271"/>
      <c r="AS917" s="271"/>
      <c r="AT917" s="271"/>
      <c r="AU917" s="271"/>
      <c r="AV917" s="271"/>
      <c r="AW917" s="271"/>
      <c r="AX917" s="271"/>
      <c r="AY917" s="271"/>
    </row>
    <row r="918" spans="1:51" ht="15.75" customHeight="1" x14ac:dyDescent="0.25">
      <c r="A918" s="271"/>
      <c r="B918" s="534"/>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c r="AL918" s="271"/>
      <c r="AM918" s="271"/>
      <c r="AN918" s="271"/>
      <c r="AO918" s="271"/>
      <c r="AP918" s="271"/>
      <c r="AQ918" s="271"/>
      <c r="AR918" s="271"/>
      <c r="AS918" s="271"/>
      <c r="AT918" s="271"/>
      <c r="AU918" s="271"/>
      <c r="AV918" s="271"/>
      <c r="AW918" s="271"/>
      <c r="AX918" s="271"/>
      <c r="AY918" s="271"/>
    </row>
    <row r="919" spans="1:51" ht="15.75" customHeight="1" x14ac:dyDescent="0.25">
      <c r="A919" s="271"/>
      <c r="B919" s="534"/>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c r="AL919" s="271"/>
      <c r="AM919" s="271"/>
      <c r="AN919" s="271"/>
      <c r="AO919" s="271"/>
      <c r="AP919" s="271"/>
      <c r="AQ919" s="271"/>
      <c r="AR919" s="271"/>
      <c r="AS919" s="271"/>
      <c r="AT919" s="271"/>
      <c r="AU919" s="271"/>
      <c r="AV919" s="271"/>
      <c r="AW919" s="271"/>
      <c r="AX919" s="271"/>
      <c r="AY919" s="271"/>
    </row>
    <row r="920" spans="1:51" ht="15.75" customHeight="1" x14ac:dyDescent="0.25">
      <c r="A920" s="271"/>
      <c r="B920" s="534"/>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c r="AL920" s="271"/>
      <c r="AM920" s="271"/>
      <c r="AN920" s="271"/>
      <c r="AO920" s="271"/>
      <c r="AP920" s="271"/>
      <c r="AQ920" s="271"/>
      <c r="AR920" s="271"/>
      <c r="AS920" s="271"/>
      <c r="AT920" s="271"/>
      <c r="AU920" s="271"/>
      <c r="AV920" s="271"/>
      <c r="AW920" s="271"/>
      <c r="AX920" s="271"/>
      <c r="AY920" s="271"/>
    </row>
    <row r="921" spans="1:51" ht="15.75" customHeight="1" x14ac:dyDescent="0.25">
      <c r="A921" s="271"/>
      <c r="B921" s="534"/>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c r="AL921" s="271"/>
      <c r="AM921" s="271"/>
      <c r="AN921" s="271"/>
      <c r="AO921" s="271"/>
      <c r="AP921" s="271"/>
      <c r="AQ921" s="271"/>
      <c r="AR921" s="271"/>
      <c r="AS921" s="271"/>
      <c r="AT921" s="271"/>
      <c r="AU921" s="271"/>
      <c r="AV921" s="271"/>
      <c r="AW921" s="271"/>
      <c r="AX921" s="271"/>
      <c r="AY921" s="271"/>
    </row>
    <row r="922" spans="1:51" ht="15.75" customHeight="1" x14ac:dyDescent="0.25">
      <c r="A922" s="271"/>
      <c r="B922" s="534"/>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c r="AL922" s="271"/>
      <c r="AM922" s="271"/>
      <c r="AN922" s="271"/>
      <c r="AO922" s="271"/>
      <c r="AP922" s="271"/>
      <c r="AQ922" s="271"/>
      <c r="AR922" s="271"/>
      <c r="AS922" s="271"/>
      <c r="AT922" s="271"/>
      <c r="AU922" s="271"/>
      <c r="AV922" s="271"/>
      <c r="AW922" s="271"/>
      <c r="AX922" s="271"/>
      <c r="AY922" s="271"/>
    </row>
    <row r="923" spans="1:51" ht="15.75" customHeight="1" x14ac:dyDescent="0.25">
      <c r="A923" s="271"/>
      <c r="B923" s="534"/>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c r="AL923" s="271"/>
      <c r="AM923" s="271"/>
      <c r="AN923" s="271"/>
      <c r="AO923" s="271"/>
      <c r="AP923" s="271"/>
      <c r="AQ923" s="271"/>
      <c r="AR923" s="271"/>
      <c r="AS923" s="271"/>
      <c r="AT923" s="271"/>
      <c r="AU923" s="271"/>
      <c r="AV923" s="271"/>
      <c r="AW923" s="271"/>
      <c r="AX923" s="271"/>
      <c r="AY923" s="271"/>
    </row>
    <row r="924" spans="1:51" ht="15.75" customHeight="1" x14ac:dyDescent="0.25">
      <c r="A924" s="271"/>
      <c r="B924" s="534"/>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c r="AL924" s="271"/>
      <c r="AM924" s="271"/>
      <c r="AN924" s="271"/>
      <c r="AO924" s="271"/>
      <c r="AP924" s="271"/>
      <c r="AQ924" s="271"/>
      <c r="AR924" s="271"/>
      <c r="AS924" s="271"/>
      <c r="AT924" s="271"/>
      <c r="AU924" s="271"/>
      <c r="AV924" s="271"/>
      <c r="AW924" s="271"/>
      <c r="AX924" s="271"/>
      <c r="AY924" s="271"/>
    </row>
    <row r="925" spans="1:51" ht="15.75" customHeight="1" x14ac:dyDescent="0.25">
      <c r="A925" s="271"/>
      <c r="B925" s="534"/>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c r="AL925" s="271"/>
      <c r="AM925" s="271"/>
      <c r="AN925" s="271"/>
      <c r="AO925" s="271"/>
      <c r="AP925" s="271"/>
      <c r="AQ925" s="271"/>
      <c r="AR925" s="271"/>
      <c r="AS925" s="271"/>
      <c r="AT925" s="271"/>
      <c r="AU925" s="271"/>
      <c r="AV925" s="271"/>
      <c r="AW925" s="271"/>
      <c r="AX925" s="271"/>
      <c r="AY925" s="271"/>
    </row>
    <row r="926" spans="1:51" ht="15.75" customHeight="1" x14ac:dyDescent="0.25">
      <c r="A926" s="271"/>
      <c r="B926" s="534"/>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c r="AL926" s="271"/>
      <c r="AM926" s="271"/>
      <c r="AN926" s="271"/>
      <c r="AO926" s="271"/>
      <c r="AP926" s="271"/>
      <c r="AQ926" s="271"/>
      <c r="AR926" s="271"/>
      <c r="AS926" s="271"/>
      <c r="AT926" s="271"/>
      <c r="AU926" s="271"/>
      <c r="AV926" s="271"/>
      <c r="AW926" s="271"/>
      <c r="AX926" s="271"/>
      <c r="AY926" s="271"/>
    </row>
    <row r="927" spans="1:51" ht="15.75" customHeight="1" x14ac:dyDescent="0.25">
      <c r="A927" s="271"/>
      <c r="B927" s="534"/>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c r="AL927" s="271"/>
      <c r="AM927" s="271"/>
      <c r="AN927" s="271"/>
      <c r="AO927" s="271"/>
      <c r="AP927" s="271"/>
      <c r="AQ927" s="271"/>
      <c r="AR927" s="271"/>
      <c r="AS927" s="271"/>
      <c r="AT927" s="271"/>
      <c r="AU927" s="271"/>
      <c r="AV927" s="271"/>
      <c r="AW927" s="271"/>
      <c r="AX927" s="271"/>
      <c r="AY927" s="271"/>
    </row>
    <row r="928" spans="1:51" ht="15.75" customHeight="1" x14ac:dyDescent="0.25">
      <c r="A928" s="271"/>
      <c r="B928" s="534"/>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c r="AL928" s="271"/>
      <c r="AM928" s="271"/>
      <c r="AN928" s="271"/>
      <c r="AO928" s="271"/>
      <c r="AP928" s="271"/>
      <c r="AQ928" s="271"/>
      <c r="AR928" s="271"/>
      <c r="AS928" s="271"/>
      <c r="AT928" s="271"/>
      <c r="AU928" s="271"/>
      <c r="AV928" s="271"/>
      <c r="AW928" s="271"/>
      <c r="AX928" s="271"/>
      <c r="AY928" s="271"/>
    </row>
    <row r="929" spans="1:51" ht="15.75" customHeight="1" x14ac:dyDescent="0.25">
      <c r="A929" s="271"/>
      <c r="B929" s="534"/>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c r="AL929" s="271"/>
      <c r="AM929" s="271"/>
      <c r="AN929" s="271"/>
      <c r="AO929" s="271"/>
      <c r="AP929" s="271"/>
      <c r="AQ929" s="271"/>
      <c r="AR929" s="271"/>
      <c r="AS929" s="271"/>
      <c r="AT929" s="271"/>
      <c r="AU929" s="271"/>
      <c r="AV929" s="271"/>
      <c r="AW929" s="271"/>
      <c r="AX929" s="271"/>
      <c r="AY929" s="271"/>
    </row>
    <row r="930" spans="1:51" ht="15.75" customHeight="1" x14ac:dyDescent="0.25">
      <c r="A930" s="271"/>
      <c r="B930" s="534"/>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c r="AL930" s="271"/>
      <c r="AM930" s="271"/>
      <c r="AN930" s="271"/>
      <c r="AO930" s="271"/>
      <c r="AP930" s="271"/>
      <c r="AQ930" s="271"/>
      <c r="AR930" s="271"/>
      <c r="AS930" s="271"/>
      <c r="AT930" s="271"/>
      <c r="AU930" s="271"/>
      <c r="AV930" s="271"/>
      <c r="AW930" s="271"/>
      <c r="AX930" s="271"/>
      <c r="AY930" s="271"/>
    </row>
    <row r="931" spans="1:51" ht="15.75" customHeight="1" x14ac:dyDescent="0.25">
      <c r="A931" s="271"/>
      <c r="B931" s="534"/>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c r="AL931" s="271"/>
      <c r="AM931" s="271"/>
      <c r="AN931" s="271"/>
      <c r="AO931" s="271"/>
      <c r="AP931" s="271"/>
      <c r="AQ931" s="271"/>
      <c r="AR931" s="271"/>
      <c r="AS931" s="271"/>
      <c r="AT931" s="271"/>
      <c r="AU931" s="271"/>
      <c r="AV931" s="271"/>
      <c r="AW931" s="271"/>
      <c r="AX931" s="271"/>
      <c r="AY931" s="271"/>
    </row>
    <row r="932" spans="1:51" ht="15.75" customHeight="1" x14ac:dyDescent="0.25">
      <c r="A932" s="271"/>
      <c r="B932" s="534"/>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c r="AL932" s="271"/>
      <c r="AM932" s="271"/>
      <c r="AN932" s="271"/>
      <c r="AO932" s="271"/>
      <c r="AP932" s="271"/>
      <c r="AQ932" s="271"/>
      <c r="AR932" s="271"/>
      <c r="AS932" s="271"/>
      <c r="AT932" s="271"/>
      <c r="AU932" s="271"/>
      <c r="AV932" s="271"/>
      <c r="AW932" s="271"/>
      <c r="AX932" s="271"/>
      <c r="AY932" s="271"/>
    </row>
    <row r="933" spans="1:51" ht="15.75" customHeight="1" x14ac:dyDescent="0.25">
      <c r="A933" s="271"/>
      <c r="B933" s="534"/>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c r="AL933" s="271"/>
      <c r="AM933" s="271"/>
      <c r="AN933" s="271"/>
      <c r="AO933" s="271"/>
      <c r="AP933" s="271"/>
      <c r="AQ933" s="271"/>
      <c r="AR933" s="271"/>
      <c r="AS933" s="271"/>
      <c r="AT933" s="271"/>
      <c r="AU933" s="271"/>
      <c r="AV933" s="271"/>
      <c r="AW933" s="271"/>
      <c r="AX933" s="271"/>
      <c r="AY933" s="271"/>
    </row>
    <row r="934" spans="1:51" ht="15.75" customHeight="1" x14ac:dyDescent="0.25">
      <c r="A934" s="271"/>
      <c r="B934" s="534"/>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c r="AL934" s="271"/>
      <c r="AM934" s="271"/>
      <c r="AN934" s="271"/>
      <c r="AO934" s="271"/>
      <c r="AP934" s="271"/>
      <c r="AQ934" s="271"/>
      <c r="AR934" s="271"/>
      <c r="AS934" s="271"/>
      <c r="AT934" s="271"/>
      <c r="AU934" s="271"/>
      <c r="AV934" s="271"/>
      <c r="AW934" s="271"/>
      <c r="AX934" s="271"/>
      <c r="AY934" s="271"/>
    </row>
    <row r="935" spans="1:51" ht="15.75" customHeight="1" x14ac:dyDescent="0.25">
      <c r="A935" s="271"/>
      <c r="B935" s="534"/>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c r="AL935" s="271"/>
      <c r="AM935" s="271"/>
      <c r="AN935" s="271"/>
      <c r="AO935" s="271"/>
      <c r="AP935" s="271"/>
      <c r="AQ935" s="271"/>
      <c r="AR935" s="271"/>
      <c r="AS935" s="271"/>
      <c r="AT935" s="271"/>
      <c r="AU935" s="271"/>
      <c r="AV935" s="271"/>
      <c r="AW935" s="271"/>
      <c r="AX935" s="271"/>
      <c r="AY935" s="271"/>
    </row>
    <row r="936" spans="1:51" ht="15.75" customHeight="1" x14ac:dyDescent="0.25">
      <c r="A936" s="271"/>
      <c r="B936" s="534"/>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c r="AL936" s="271"/>
      <c r="AM936" s="271"/>
      <c r="AN936" s="271"/>
      <c r="AO936" s="271"/>
      <c r="AP936" s="271"/>
      <c r="AQ936" s="271"/>
      <c r="AR936" s="271"/>
      <c r="AS936" s="271"/>
      <c r="AT936" s="271"/>
      <c r="AU936" s="271"/>
      <c r="AV936" s="271"/>
      <c r="AW936" s="271"/>
      <c r="AX936" s="271"/>
      <c r="AY936" s="271"/>
    </row>
    <row r="937" spans="1:51" ht="15.75" customHeight="1" x14ac:dyDescent="0.25">
      <c r="A937" s="271"/>
      <c r="B937" s="534"/>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c r="AL937" s="271"/>
      <c r="AM937" s="271"/>
      <c r="AN937" s="271"/>
      <c r="AO937" s="271"/>
      <c r="AP937" s="271"/>
      <c r="AQ937" s="271"/>
      <c r="AR937" s="271"/>
      <c r="AS937" s="271"/>
      <c r="AT937" s="271"/>
      <c r="AU937" s="271"/>
      <c r="AV937" s="271"/>
      <c r="AW937" s="271"/>
      <c r="AX937" s="271"/>
      <c r="AY937" s="271"/>
    </row>
    <row r="938" spans="1:51" ht="15.75" customHeight="1" x14ac:dyDescent="0.25">
      <c r="A938" s="271"/>
      <c r="B938" s="534"/>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c r="AL938" s="271"/>
      <c r="AM938" s="271"/>
      <c r="AN938" s="271"/>
      <c r="AO938" s="271"/>
      <c r="AP938" s="271"/>
      <c r="AQ938" s="271"/>
      <c r="AR938" s="271"/>
      <c r="AS938" s="271"/>
      <c r="AT938" s="271"/>
      <c r="AU938" s="271"/>
      <c r="AV938" s="271"/>
      <c r="AW938" s="271"/>
      <c r="AX938" s="271"/>
      <c r="AY938" s="271"/>
    </row>
    <row r="939" spans="1:51" ht="15.75" customHeight="1" x14ac:dyDescent="0.25">
      <c r="A939" s="271"/>
      <c r="B939" s="534"/>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c r="AL939" s="271"/>
      <c r="AM939" s="271"/>
      <c r="AN939" s="271"/>
      <c r="AO939" s="271"/>
      <c r="AP939" s="271"/>
      <c r="AQ939" s="271"/>
      <c r="AR939" s="271"/>
      <c r="AS939" s="271"/>
      <c r="AT939" s="271"/>
      <c r="AU939" s="271"/>
      <c r="AV939" s="271"/>
      <c r="AW939" s="271"/>
      <c r="AX939" s="271"/>
      <c r="AY939" s="271"/>
    </row>
    <row r="940" spans="1:51" ht="15.75" customHeight="1" x14ac:dyDescent="0.25">
      <c r="A940" s="271"/>
      <c r="B940" s="534"/>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c r="AL940" s="271"/>
      <c r="AM940" s="271"/>
      <c r="AN940" s="271"/>
      <c r="AO940" s="271"/>
      <c r="AP940" s="271"/>
      <c r="AQ940" s="271"/>
      <c r="AR940" s="271"/>
      <c r="AS940" s="271"/>
      <c r="AT940" s="271"/>
      <c r="AU940" s="271"/>
      <c r="AV940" s="271"/>
      <c r="AW940" s="271"/>
      <c r="AX940" s="271"/>
      <c r="AY940" s="271"/>
    </row>
    <row r="941" spans="1:51" ht="15.75" customHeight="1" x14ac:dyDescent="0.25">
      <c r="A941" s="271"/>
      <c r="B941" s="534"/>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c r="AL941" s="271"/>
      <c r="AM941" s="271"/>
      <c r="AN941" s="271"/>
      <c r="AO941" s="271"/>
      <c r="AP941" s="271"/>
      <c r="AQ941" s="271"/>
      <c r="AR941" s="271"/>
      <c r="AS941" s="271"/>
      <c r="AT941" s="271"/>
      <c r="AU941" s="271"/>
      <c r="AV941" s="271"/>
      <c r="AW941" s="271"/>
      <c r="AX941" s="271"/>
      <c r="AY941" s="271"/>
    </row>
    <row r="942" spans="1:51" ht="15.75" customHeight="1" x14ac:dyDescent="0.25">
      <c r="A942" s="271"/>
      <c r="B942" s="534"/>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c r="AL942" s="271"/>
      <c r="AM942" s="271"/>
      <c r="AN942" s="271"/>
      <c r="AO942" s="271"/>
      <c r="AP942" s="271"/>
      <c r="AQ942" s="271"/>
      <c r="AR942" s="271"/>
      <c r="AS942" s="271"/>
      <c r="AT942" s="271"/>
      <c r="AU942" s="271"/>
      <c r="AV942" s="271"/>
      <c r="AW942" s="271"/>
      <c r="AX942" s="271"/>
      <c r="AY942" s="271"/>
    </row>
    <row r="943" spans="1:51" ht="15.75" customHeight="1" x14ac:dyDescent="0.25">
      <c r="A943" s="271"/>
      <c r="B943" s="534"/>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c r="AL943" s="271"/>
      <c r="AM943" s="271"/>
      <c r="AN943" s="271"/>
      <c r="AO943" s="271"/>
      <c r="AP943" s="271"/>
      <c r="AQ943" s="271"/>
      <c r="AR943" s="271"/>
      <c r="AS943" s="271"/>
      <c r="AT943" s="271"/>
      <c r="AU943" s="271"/>
      <c r="AV943" s="271"/>
      <c r="AW943" s="271"/>
      <c r="AX943" s="271"/>
      <c r="AY943" s="271"/>
    </row>
    <row r="944" spans="1:51" ht="15.75" customHeight="1" x14ac:dyDescent="0.25">
      <c r="A944" s="271"/>
      <c r="B944" s="534"/>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c r="AL944" s="271"/>
      <c r="AM944" s="271"/>
      <c r="AN944" s="271"/>
      <c r="AO944" s="271"/>
      <c r="AP944" s="271"/>
      <c r="AQ944" s="271"/>
      <c r="AR944" s="271"/>
      <c r="AS944" s="271"/>
      <c r="AT944" s="271"/>
      <c r="AU944" s="271"/>
      <c r="AV944" s="271"/>
      <c r="AW944" s="271"/>
      <c r="AX944" s="271"/>
      <c r="AY944" s="271"/>
    </row>
    <row r="945" spans="1:51" ht="15.75" customHeight="1" x14ac:dyDescent="0.25">
      <c r="A945" s="271"/>
      <c r="B945" s="534"/>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c r="AL945" s="271"/>
      <c r="AM945" s="271"/>
      <c r="AN945" s="271"/>
      <c r="AO945" s="271"/>
      <c r="AP945" s="271"/>
      <c r="AQ945" s="271"/>
      <c r="AR945" s="271"/>
      <c r="AS945" s="271"/>
      <c r="AT945" s="271"/>
      <c r="AU945" s="271"/>
      <c r="AV945" s="271"/>
      <c r="AW945" s="271"/>
      <c r="AX945" s="271"/>
      <c r="AY945" s="271"/>
    </row>
    <row r="946" spans="1:51" ht="15.75" customHeight="1" x14ac:dyDescent="0.25">
      <c r="A946" s="271"/>
      <c r="B946" s="534"/>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c r="AL946" s="271"/>
      <c r="AM946" s="271"/>
      <c r="AN946" s="271"/>
      <c r="AO946" s="271"/>
      <c r="AP946" s="271"/>
      <c r="AQ946" s="271"/>
      <c r="AR946" s="271"/>
      <c r="AS946" s="271"/>
      <c r="AT946" s="271"/>
      <c r="AU946" s="271"/>
      <c r="AV946" s="271"/>
      <c r="AW946" s="271"/>
      <c r="AX946" s="271"/>
      <c r="AY946" s="271"/>
    </row>
    <row r="947" spans="1:51" ht="15.75" customHeight="1" x14ac:dyDescent="0.25">
      <c r="A947" s="271"/>
      <c r="B947" s="534"/>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c r="AL947" s="271"/>
      <c r="AM947" s="271"/>
      <c r="AN947" s="271"/>
      <c r="AO947" s="271"/>
      <c r="AP947" s="271"/>
      <c r="AQ947" s="271"/>
      <c r="AR947" s="271"/>
      <c r="AS947" s="271"/>
      <c r="AT947" s="271"/>
      <c r="AU947" s="271"/>
      <c r="AV947" s="271"/>
      <c r="AW947" s="271"/>
      <c r="AX947" s="271"/>
      <c r="AY947" s="271"/>
    </row>
    <row r="948" spans="1:51" ht="15.75" customHeight="1" x14ac:dyDescent="0.25">
      <c r="A948" s="271"/>
      <c r="B948" s="534"/>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c r="AL948" s="271"/>
      <c r="AM948" s="271"/>
      <c r="AN948" s="271"/>
      <c r="AO948" s="271"/>
      <c r="AP948" s="271"/>
      <c r="AQ948" s="271"/>
      <c r="AR948" s="271"/>
      <c r="AS948" s="271"/>
      <c r="AT948" s="271"/>
      <c r="AU948" s="271"/>
      <c r="AV948" s="271"/>
      <c r="AW948" s="271"/>
      <c r="AX948" s="271"/>
      <c r="AY948" s="271"/>
    </row>
    <row r="949" spans="1:51" ht="15.75" customHeight="1" x14ac:dyDescent="0.25">
      <c r="A949" s="271"/>
      <c r="B949" s="534"/>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c r="AL949" s="271"/>
      <c r="AM949" s="271"/>
      <c r="AN949" s="271"/>
      <c r="AO949" s="271"/>
      <c r="AP949" s="271"/>
      <c r="AQ949" s="271"/>
      <c r="AR949" s="271"/>
      <c r="AS949" s="271"/>
      <c r="AT949" s="271"/>
      <c r="AU949" s="271"/>
      <c r="AV949" s="271"/>
      <c r="AW949" s="271"/>
      <c r="AX949" s="271"/>
      <c r="AY949" s="271"/>
    </row>
    <row r="950" spans="1:51" ht="15.75" customHeight="1" x14ac:dyDescent="0.25">
      <c r="A950" s="271"/>
      <c r="B950" s="534"/>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c r="AL950" s="271"/>
      <c r="AM950" s="271"/>
      <c r="AN950" s="271"/>
      <c r="AO950" s="271"/>
      <c r="AP950" s="271"/>
      <c r="AQ950" s="271"/>
      <c r="AR950" s="271"/>
      <c r="AS950" s="271"/>
      <c r="AT950" s="271"/>
      <c r="AU950" s="271"/>
      <c r="AV950" s="271"/>
      <c r="AW950" s="271"/>
      <c r="AX950" s="271"/>
      <c r="AY950" s="271"/>
    </row>
    <row r="951" spans="1:51" ht="15.75" customHeight="1" x14ac:dyDescent="0.25">
      <c r="A951" s="271"/>
      <c r="B951" s="534"/>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c r="AL951" s="271"/>
      <c r="AM951" s="271"/>
      <c r="AN951" s="271"/>
      <c r="AO951" s="271"/>
      <c r="AP951" s="271"/>
      <c r="AQ951" s="271"/>
      <c r="AR951" s="271"/>
      <c r="AS951" s="271"/>
      <c r="AT951" s="271"/>
      <c r="AU951" s="271"/>
      <c r="AV951" s="271"/>
      <c r="AW951" s="271"/>
      <c r="AX951" s="271"/>
      <c r="AY951" s="271"/>
    </row>
    <row r="952" spans="1:51" ht="15.75" customHeight="1" x14ac:dyDescent="0.25">
      <c r="A952" s="271"/>
      <c r="B952" s="534"/>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c r="AL952" s="271"/>
      <c r="AM952" s="271"/>
      <c r="AN952" s="271"/>
      <c r="AO952" s="271"/>
      <c r="AP952" s="271"/>
      <c r="AQ952" s="271"/>
      <c r="AR952" s="271"/>
      <c r="AS952" s="271"/>
      <c r="AT952" s="271"/>
      <c r="AU952" s="271"/>
      <c r="AV952" s="271"/>
      <c r="AW952" s="271"/>
      <c r="AX952" s="271"/>
      <c r="AY952" s="271"/>
    </row>
    <row r="953" spans="1:51" ht="15.75" customHeight="1" x14ac:dyDescent="0.25">
      <c r="A953" s="271"/>
      <c r="B953" s="534"/>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c r="AL953" s="271"/>
      <c r="AM953" s="271"/>
      <c r="AN953" s="271"/>
      <c r="AO953" s="271"/>
      <c r="AP953" s="271"/>
      <c r="AQ953" s="271"/>
      <c r="AR953" s="271"/>
      <c r="AS953" s="271"/>
      <c r="AT953" s="271"/>
      <c r="AU953" s="271"/>
      <c r="AV953" s="271"/>
      <c r="AW953" s="271"/>
      <c r="AX953" s="271"/>
      <c r="AY953" s="271"/>
    </row>
    <row r="954" spans="1:51" ht="15.75" customHeight="1" x14ac:dyDescent="0.25">
      <c r="A954" s="271"/>
      <c r="B954" s="534"/>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c r="AL954" s="271"/>
      <c r="AM954" s="271"/>
      <c r="AN954" s="271"/>
      <c r="AO954" s="271"/>
      <c r="AP954" s="271"/>
      <c r="AQ954" s="271"/>
      <c r="AR954" s="271"/>
      <c r="AS954" s="271"/>
      <c r="AT954" s="271"/>
      <c r="AU954" s="271"/>
      <c r="AV954" s="271"/>
      <c r="AW954" s="271"/>
      <c r="AX954" s="271"/>
      <c r="AY954" s="271"/>
    </row>
    <row r="955" spans="1:51" ht="15.75" customHeight="1" x14ac:dyDescent="0.25">
      <c r="A955" s="271"/>
      <c r="B955" s="534"/>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c r="AL955" s="271"/>
      <c r="AM955" s="271"/>
      <c r="AN955" s="271"/>
      <c r="AO955" s="271"/>
      <c r="AP955" s="271"/>
      <c r="AQ955" s="271"/>
      <c r="AR955" s="271"/>
      <c r="AS955" s="271"/>
      <c r="AT955" s="271"/>
      <c r="AU955" s="271"/>
      <c r="AV955" s="271"/>
      <c r="AW955" s="271"/>
      <c r="AX955" s="271"/>
      <c r="AY955" s="271"/>
    </row>
    <row r="956" spans="1:51" ht="15.75" customHeight="1" x14ac:dyDescent="0.25">
      <c r="A956" s="271"/>
      <c r="B956" s="534"/>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c r="AL956" s="271"/>
      <c r="AM956" s="271"/>
      <c r="AN956" s="271"/>
      <c r="AO956" s="271"/>
      <c r="AP956" s="271"/>
      <c r="AQ956" s="271"/>
      <c r="AR956" s="271"/>
      <c r="AS956" s="271"/>
      <c r="AT956" s="271"/>
      <c r="AU956" s="271"/>
      <c r="AV956" s="271"/>
      <c r="AW956" s="271"/>
      <c r="AX956" s="271"/>
      <c r="AY956" s="271"/>
    </row>
    <row r="957" spans="1:51" ht="15.75" customHeight="1" x14ac:dyDescent="0.25">
      <c r="A957" s="271"/>
      <c r="B957" s="534"/>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c r="AL957" s="271"/>
      <c r="AM957" s="271"/>
      <c r="AN957" s="271"/>
      <c r="AO957" s="271"/>
      <c r="AP957" s="271"/>
      <c r="AQ957" s="271"/>
      <c r="AR957" s="271"/>
      <c r="AS957" s="271"/>
      <c r="AT957" s="271"/>
      <c r="AU957" s="271"/>
      <c r="AV957" s="271"/>
      <c r="AW957" s="271"/>
      <c r="AX957" s="271"/>
      <c r="AY957" s="271"/>
    </row>
    <row r="958" spans="1:51" ht="15.75" customHeight="1" x14ac:dyDescent="0.25">
      <c r="A958" s="271"/>
      <c r="B958" s="534"/>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c r="AL958" s="271"/>
      <c r="AM958" s="271"/>
      <c r="AN958" s="271"/>
      <c r="AO958" s="271"/>
      <c r="AP958" s="271"/>
      <c r="AQ958" s="271"/>
      <c r="AR958" s="271"/>
      <c r="AS958" s="271"/>
      <c r="AT958" s="271"/>
      <c r="AU958" s="271"/>
      <c r="AV958" s="271"/>
      <c r="AW958" s="271"/>
      <c r="AX958" s="271"/>
      <c r="AY958" s="271"/>
    </row>
    <row r="959" spans="1:51" ht="15.75" customHeight="1" x14ac:dyDescent="0.25">
      <c r="A959" s="271"/>
      <c r="B959" s="534"/>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c r="AL959" s="271"/>
      <c r="AM959" s="271"/>
      <c r="AN959" s="271"/>
      <c r="AO959" s="271"/>
      <c r="AP959" s="271"/>
      <c r="AQ959" s="271"/>
      <c r="AR959" s="271"/>
      <c r="AS959" s="271"/>
      <c r="AT959" s="271"/>
      <c r="AU959" s="271"/>
      <c r="AV959" s="271"/>
      <c r="AW959" s="271"/>
      <c r="AX959" s="271"/>
      <c r="AY959" s="271"/>
    </row>
    <row r="960" spans="1:51" ht="15.75" customHeight="1" x14ac:dyDescent="0.25">
      <c r="A960" s="271"/>
      <c r="B960" s="534"/>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c r="AL960" s="271"/>
      <c r="AM960" s="271"/>
      <c r="AN960" s="271"/>
      <c r="AO960" s="271"/>
      <c r="AP960" s="271"/>
      <c r="AQ960" s="271"/>
      <c r="AR960" s="271"/>
      <c r="AS960" s="271"/>
      <c r="AT960" s="271"/>
      <c r="AU960" s="271"/>
      <c r="AV960" s="271"/>
      <c r="AW960" s="271"/>
      <c r="AX960" s="271"/>
      <c r="AY960" s="271"/>
    </row>
    <row r="961" spans="1:51" ht="15.75" customHeight="1" x14ac:dyDescent="0.25">
      <c r="A961" s="271"/>
      <c r="B961" s="534"/>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c r="AL961" s="271"/>
      <c r="AM961" s="271"/>
      <c r="AN961" s="271"/>
      <c r="AO961" s="271"/>
      <c r="AP961" s="271"/>
      <c r="AQ961" s="271"/>
      <c r="AR961" s="271"/>
      <c r="AS961" s="271"/>
      <c r="AT961" s="271"/>
      <c r="AU961" s="271"/>
      <c r="AV961" s="271"/>
      <c r="AW961" s="271"/>
      <c r="AX961" s="271"/>
      <c r="AY961" s="271"/>
    </row>
    <row r="962" spans="1:51" ht="15.75" customHeight="1" x14ac:dyDescent="0.25">
      <c r="A962" s="271"/>
      <c r="B962" s="534"/>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c r="AL962" s="271"/>
      <c r="AM962" s="271"/>
      <c r="AN962" s="271"/>
      <c r="AO962" s="271"/>
      <c r="AP962" s="271"/>
      <c r="AQ962" s="271"/>
      <c r="AR962" s="271"/>
      <c r="AS962" s="271"/>
      <c r="AT962" s="271"/>
      <c r="AU962" s="271"/>
      <c r="AV962" s="271"/>
      <c r="AW962" s="271"/>
      <c r="AX962" s="271"/>
      <c r="AY962" s="271"/>
    </row>
    <row r="963" spans="1:51" ht="15.75" customHeight="1" x14ac:dyDescent="0.25">
      <c r="A963" s="271"/>
      <c r="B963" s="534"/>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c r="AL963" s="271"/>
      <c r="AM963" s="271"/>
      <c r="AN963" s="271"/>
      <c r="AO963" s="271"/>
      <c r="AP963" s="271"/>
      <c r="AQ963" s="271"/>
      <c r="AR963" s="271"/>
      <c r="AS963" s="271"/>
      <c r="AT963" s="271"/>
      <c r="AU963" s="271"/>
      <c r="AV963" s="271"/>
      <c r="AW963" s="271"/>
      <c r="AX963" s="271"/>
      <c r="AY963" s="271"/>
    </row>
    <row r="964" spans="1:51" ht="15.75" customHeight="1" x14ac:dyDescent="0.25">
      <c r="A964" s="271"/>
      <c r="B964" s="534"/>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c r="AL964" s="271"/>
      <c r="AM964" s="271"/>
      <c r="AN964" s="271"/>
      <c r="AO964" s="271"/>
      <c r="AP964" s="271"/>
      <c r="AQ964" s="271"/>
      <c r="AR964" s="271"/>
      <c r="AS964" s="271"/>
      <c r="AT964" s="271"/>
      <c r="AU964" s="271"/>
      <c r="AV964" s="271"/>
      <c r="AW964" s="271"/>
      <c r="AX964" s="271"/>
      <c r="AY964" s="271"/>
    </row>
    <row r="965" spans="1:51" ht="15.75" customHeight="1" x14ac:dyDescent="0.25">
      <c r="A965" s="271"/>
      <c r="B965" s="534"/>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c r="AL965" s="271"/>
      <c r="AM965" s="271"/>
      <c r="AN965" s="271"/>
      <c r="AO965" s="271"/>
      <c r="AP965" s="271"/>
      <c r="AQ965" s="271"/>
      <c r="AR965" s="271"/>
      <c r="AS965" s="271"/>
      <c r="AT965" s="271"/>
      <c r="AU965" s="271"/>
      <c r="AV965" s="271"/>
      <c r="AW965" s="271"/>
      <c r="AX965" s="271"/>
      <c r="AY965" s="271"/>
    </row>
    <row r="966" spans="1:51" ht="15.75" customHeight="1" x14ac:dyDescent="0.25">
      <c r="A966" s="271"/>
      <c r="B966" s="534"/>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c r="AL966" s="271"/>
      <c r="AM966" s="271"/>
      <c r="AN966" s="271"/>
      <c r="AO966" s="271"/>
      <c r="AP966" s="271"/>
      <c r="AQ966" s="271"/>
      <c r="AR966" s="271"/>
      <c r="AS966" s="271"/>
      <c r="AT966" s="271"/>
      <c r="AU966" s="271"/>
      <c r="AV966" s="271"/>
      <c r="AW966" s="271"/>
      <c r="AX966" s="271"/>
      <c r="AY966" s="271"/>
    </row>
    <row r="967" spans="1:51" ht="15.75" customHeight="1" x14ac:dyDescent="0.25">
      <c r="A967" s="271"/>
      <c r="B967" s="534"/>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c r="AL967" s="271"/>
      <c r="AM967" s="271"/>
      <c r="AN967" s="271"/>
      <c r="AO967" s="271"/>
      <c r="AP967" s="271"/>
      <c r="AQ967" s="271"/>
      <c r="AR967" s="271"/>
      <c r="AS967" s="271"/>
      <c r="AT967" s="271"/>
      <c r="AU967" s="271"/>
      <c r="AV967" s="271"/>
      <c r="AW967" s="271"/>
      <c r="AX967" s="271"/>
      <c r="AY967" s="271"/>
    </row>
    <row r="968" spans="1:51" ht="15.75" customHeight="1" x14ac:dyDescent="0.25">
      <c r="A968" s="271"/>
      <c r="B968" s="534"/>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c r="AL968" s="271"/>
      <c r="AM968" s="271"/>
      <c r="AN968" s="271"/>
      <c r="AO968" s="271"/>
      <c r="AP968" s="271"/>
      <c r="AQ968" s="271"/>
      <c r="AR968" s="271"/>
      <c r="AS968" s="271"/>
      <c r="AT968" s="271"/>
      <c r="AU968" s="271"/>
      <c r="AV968" s="271"/>
      <c r="AW968" s="271"/>
      <c r="AX968" s="271"/>
      <c r="AY968" s="271"/>
    </row>
    <row r="969" spans="1:51" ht="15.75" customHeight="1" x14ac:dyDescent="0.25">
      <c r="A969" s="271"/>
      <c r="B969" s="534"/>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c r="AL969" s="271"/>
      <c r="AM969" s="271"/>
      <c r="AN969" s="271"/>
      <c r="AO969" s="271"/>
      <c r="AP969" s="271"/>
      <c r="AQ969" s="271"/>
      <c r="AR969" s="271"/>
      <c r="AS969" s="271"/>
      <c r="AT969" s="271"/>
      <c r="AU969" s="271"/>
      <c r="AV969" s="271"/>
      <c r="AW969" s="271"/>
      <c r="AX969" s="271"/>
      <c r="AY969" s="271"/>
    </row>
    <row r="970" spans="1:51" ht="15.75" customHeight="1" x14ac:dyDescent="0.25">
      <c r="A970" s="271"/>
      <c r="B970" s="534"/>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c r="AL970" s="271"/>
      <c r="AM970" s="271"/>
      <c r="AN970" s="271"/>
      <c r="AO970" s="271"/>
      <c r="AP970" s="271"/>
      <c r="AQ970" s="271"/>
      <c r="AR970" s="271"/>
      <c r="AS970" s="271"/>
      <c r="AT970" s="271"/>
      <c r="AU970" s="271"/>
      <c r="AV970" s="271"/>
      <c r="AW970" s="271"/>
      <c r="AX970" s="271"/>
      <c r="AY970" s="271"/>
    </row>
    <row r="971" spans="1:51" ht="15.75" customHeight="1" x14ac:dyDescent="0.25">
      <c r="A971" s="271"/>
      <c r="B971" s="534"/>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c r="AL971" s="271"/>
      <c r="AM971" s="271"/>
      <c r="AN971" s="271"/>
      <c r="AO971" s="271"/>
      <c r="AP971" s="271"/>
      <c r="AQ971" s="271"/>
      <c r="AR971" s="271"/>
      <c r="AS971" s="271"/>
      <c r="AT971" s="271"/>
      <c r="AU971" s="271"/>
      <c r="AV971" s="271"/>
      <c r="AW971" s="271"/>
      <c r="AX971" s="271"/>
      <c r="AY971" s="271"/>
    </row>
    <row r="972" spans="1:51" ht="15.75" customHeight="1" x14ac:dyDescent="0.25">
      <c r="A972" s="271"/>
      <c r="B972" s="534"/>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c r="AL972" s="271"/>
      <c r="AM972" s="271"/>
      <c r="AN972" s="271"/>
      <c r="AO972" s="271"/>
      <c r="AP972" s="271"/>
      <c r="AQ972" s="271"/>
      <c r="AR972" s="271"/>
      <c r="AS972" s="271"/>
      <c r="AT972" s="271"/>
      <c r="AU972" s="271"/>
      <c r="AV972" s="271"/>
      <c r="AW972" s="271"/>
      <c r="AX972" s="271"/>
      <c r="AY972" s="271"/>
    </row>
    <row r="973" spans="1:51" ht="15.75" customHeight="1" x14ac:dyDescent="0.25">
      <c r="A973" s="271"/>
      <c r="B973" s="534"/>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c r="AL973" s="271"/>
      <c r="AM973" s="271"/>
      <c r="AN973" s="271"/>
      <c r="AO973" s="271"/>
      <c r="AP973" s="271"/>
      <c r="AQ973" s="271"/>
      <c r="AR973" s="271"/>
      <c r="AS973" s="271"/>
      <c r="AT973" s="271"/>
      <c r="AU973" s="271"/>
      <c r="AV973" s="271"/>
      <c r="AW973" s="271"/>
      <c r="AX973" s="271"/>
      <c r="AY973" s="271"/>
    </row>
    <row r="974" spans="1:51" ht="15.75" customHeight="1" x14ac:dyDescent="0.25">
      <c r="A974" s="271"/>
      <c r="B974" s="534"/>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c r="AL974" s="271"/>
      <c r="AM974" s="271"/>
      <c r="AN974" s="271"/>
      <c r="AO974" s="271"/>
      <c r="AP974" s="271"/>
      <c r="AQ974" s="271"/>
      <c r="AR974" s="271"/>
      <c r="AS974" s="271"/>
      <c r="AT974" s="271"/>
      <c r="AU974" s="271"/>
      <c r="AV974" s="271"/>
      <c r="AW974" s="271"/>
      <c r="AX974" s="271"/>
      <c r="AY974" s="271"/>
    </row>
    <row r="975" spans="1:51" ht="15.75" customHeight="1" x14ac:dyDescent="0.25">
      <c r="A975" s="271"/>
      <c r="B975" s="534"/>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c r="AL975" s="271"/>
      <c r="AM975" s="271"/>
      <c r="AN975" s="271"/>
      <c r="AO975" s="271"/>
      <c r="AP975" s="271"/>
      <c r="AQ975" s="271"/>
      <c r="AR975" s="271"/>
      <c r="AS975" s="271"/>
      <c r="AT975" s="271"/>
      <c r="AU975" s="271"/>
      <c r="AV975" s="271"/>
      <c r="AW975" s="271"/>
      <c r="AX975" s="271"/>
      <c r="AY975" s="271"/>
    </row>
    <row r="976" spans="1:51" ht="15.75" customHeight="1" x14ac:dyDescent="0.25">
      <c r="A976" s="271"/>
      <c r="B976" s="534"/>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c r="AL976" s="271"/>
      <c r="AM976" s="271"/>
      <c r="AN976" s="271"/>
      <c r="AO976" s="271"/>
      <c r="AP976" s="271"/>
      <c r="AQ976" s="271"/>
      <c r="AR976" s="271"/>
      <c r="AS976" s="271"/>
      <c r="AT976" s="271"/>
      <c r="AU976" s="271"/>
      <c r="AV976" s="271"/>
      <c r="AW976" s="271"/>
      <c r="AX976" s="271"/>
      <c r="AY976" s="271"/>
    </row>
    <row r="977" spans="1:51" ht="15.75" customHeight="1" x14ac:dyDescent="0.25">
      <c r="A977" s="271"/>
      <c r="B977" s="534"/>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c r="AL977" s="271"/>
      <c r="AM977" s="271"/>
      <c r="AN977" s="271"/>
      <c r="AO977" s="271"/>
      <c r="AP977" s="271"/>
      <c r="AQ977" s="271"/>
      <c r="AR977" s="271"/>
      <c r="AS977" s="271"/>
      <c r="AT977" s="271"/>
      <c r="AU977" s="271"/>
      <c r="AV977" s="271"/>
      <c r="AW977" s="271"/>
      <c r="AX977" s="271"/>
      <c r="AY977" s="271"/>
    </row>
    <row r="978" spans="1:51" ht="15.75" customHeight="1" x14ac:dyDescent="0.25">
      <c r="A978" s="271"/>
      <c r="B978" s="534"/>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c r="AL978" s="271"/>
      <c r="AM978" s="271"/>
      <c r="AN978" s="271"/>
      <c r="AO978" s="271"/>
      <c r="AP978" s="271"/>
      <c r="AQ978" s="271"/>
      <c r="AR978" s="271"/>
      <c r="AS978" s="271"/>
      <c r="AT978" s="271"/>
      <c r="AU978" s="271"/>
      <c r="AV978" s="271"/>
      <c r="AW978" s="271"/>
      <c r="AX978" s="271"/>
      <c r="AY978" s="271"/>
    </row>
    <row r="979" spans="1:51" ht="15.75" customHeight="1" x14ac:dyDescent="0.25">
      <c r="A979" s="271"/>
      <c r="B979" s="534"/>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c r="AL979" s="271"/>
      <c r="AM979" s="271"/>
      <c r="AN979" s="271"/>
      <c r="AO979" s="271"/>
      <c r="AP979" s="271"/>
      <c r="AQ979" s="271"/>
      <c r="AR979" s="271"/>
      <c r="AS979" s="271"/>
      <c r="AT979" s="271"/>
      <c r="AU979" s="271"/>
      <c r="AV979" s="271"/>
      <c r="AW979" s="271"/>
      <c r="AX979" s="271"/>
      <c r="AY979" s="271"/>
    </row>
    <row r="980" spans="1:51" ht="15.75" customHeight="1" x14ac:dyDescent="0.25">
      <c r="A980" s="271"/>
      <c r="B980" s="534"/>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c r="AL980" s="271"/>
      <c r="AM980" s="271"/>
      <c r="AN980" s="271"/>
      <c r="AO980" s="271"/>
      <c r="AP980" s="271"/>
      <c r="AQ980" s="271"/>
      <c r="AR980" s="271"/>
      <c r="AS980" s="271"/>
      <c r="AT980" s="271"/>
      <c r="AU980" s="271"/>
      <c r="AV980" s="271"/>
      <c r="AW980" s="271"/>
      <c r="AX980" s="271"/>
      <c r="AY980" s="271"/>
    </row>
    <row r="981" spans="1:51" ht="15.75" customHeight="1" x14ac:dyDescent="0.25">
      <c r="A981" s="271"/>
      <c r="B981" s="534"/>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c r="AL981" s="271"/>
      <c r="AM981" s="271"/>
      <c r="AN981" s="271"/>
      <c r="AO981" s="271"/>
      <c r="AP981" s="271"/>
      <c r="AQ981" s="271"/>
      <c r="AR981" s="271"/>
      <c r="AS981" s="271"/>
      <c r="AT981" s="271"/>
      <c r="AU981" s="271"/>
      <c r="AV981" s="271"/>
      <c r="AW981" s="271"/>
      <c r="AX981" s="271"/>
      <c r="AY981" s="271"/>
    </row>
    <row r="982" spans="1:51" ht="15.75" customHeight="1" x14ac:dyDescent="0.25">
      <c r="A982" s="271"/>
      <c r="B982" s="534"/>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c r="AL982" s="271"/>
      <c r="AM982" s="271"/>
      <c r="AN982" s="271"/>
      <c r="AO982" s="271"/>
      <c r="AP982" s="271"/>
      <c r="AQ982" s="271"/>
      <c r="AR982" s="271"/>
      <c r="AS982" s="271"/>
      <c r="AT982" s="271"/>
      <c r="AU982" s="271"/>
      <c r="AV982" s="271"/>
      <c r="AW982" s="271"/>
      <c r="AX982" s="271"/>
      <c r="AY982" s="271"/>
    </row>
    <row r="983" spans="1:51" ht="15.75" customHeight="1" x14ac:dyDescent="0.25">
      <c r="A983" s="271"/>
      <c r="B983" s="534"/>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c r="AL983" s="271"/>
      <c r="AM983" s="271"/>
      <c r="AN983" s="271"/>
      <c r="AO983" s="271"/>
      <c r="AP983" s="271"/>
      <c r="AQ983" s="271"/>
      <c r="AR983" s="271"/>
      <c r="AS983" s="271"/>
      <c r="AT983" s="271"/>
      <c r="AU983" s="271"/>
      <c r="AV983" s="271"/>
      <c r="AW983" s="271"/>
      <c r="AX983" s="271"/>
      <c r="AY983" s="271"/>
    </row>
    <row r="984" spans="1:51" ht="15.75" customHeight="1" x14ac:dyDescent="0.25">
      <c r="A984" s="271"/>
      <c r="B984" s="534"/>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c r="AL984" s="271"/>
      <c r="AM984" s="271"/>
      <c r="AN984" s="271"/>
      <c r="AO984" s="271"/>
      <c r="AP984" s="271"/>
      <c r="AQ984" s="271"/>
      <c r="AR984" s="271"/>
      <c r="AS984" s="271"/>
      <c r="AT984" s="271"/>
      <c r="AU984" s="271"/>
      <c r="AV984" s="271"/>
      <c r="AW984" s="271"/>
      <c r="AX984" s="271"/>
      <c r="AY984" s="271"/>
    </row>
    <row r="985" spans="1:51" ht="15.75" customHeight="1" x14ac:dyDescent="0.25">
      <c r="A985" s="271"/>
      <c r="B985" s="534"/>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c r="AL985" s="271"/>
      <c r="AM985" s="271"/>
      <c r="AN985" s="271"/>
      <c r="AO985" s="271"/>
      <c r="AP985" s="271"/>
      <c r="AQ985" s="271"/>
      <c r="AR985" s="271"/>
      <c r="AS985" s="271"/>
      <c r="AT985" s="271"/>
      <c r="AU985" s="271"/>
      <c r="AV985" s="271"/>
      <c r="AW985" s="271"/>
      <c r="AX985" s="271"/>
      <c r="AY985" s="271"/>
    </row>
    <row r="986" spans="1:51" ht="15.75" customHeight="1" x14ac:dyDescent="0.25">
      <c r="A986" s="271"/>
      <c r="B986" s="534"/>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c r="AL986" s="271"/>
      <c r="AM986" s="271"/>
      <c r="AN986" s="271"/>
      <c r="AO986" s="271"/>
      <c r="AP986" s="271"/>
      <c r="AQ986" s="271"/>
      <c r="AR986" s="271"/>
      <c r="AS986" s="271"/>
      <c r="AT986" s="271"/>
      <c r="AU986" s="271"/>
      <c r="AV986" s="271"/>
      <c r="AW986" s="271"/>
      <c r="AX986" s="271"/>
      <c r="AY986" s="271"/>
    </row>
    <row r="987" spans="1:51" ht="15.75" customHeight="1" x14ac:dyDescent="0.25">
      <c r="A987" s="271"/>
      <c r="B987" s="534"/>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c r="AL987" s="271"/>
      <c r="AM987" s="271"/>
      <c r="AN987" s="271"/>
      <c r="AO987" s="271"/>
      <c r="AP987" s="271"/>
      <c r="AQ987" s="271"/>
      <c r="AR987" s="271"/>
      <c r="AS987" s="271"/>
      <c r="AT987" s="271"/>
      <c r="AU987" s="271"/>
      <c r="AV987" s="271"/>
      <c r="AW987" s="271"/>
      <c r="AX987" s="271"/>
      <c r="AY987" s="271"/>
    </row>
    <row r="988" spans="1:51" ht="15.75" customHeight="1" x14ac:dyDescent="0.25">
      <c r="A988" s="271"/>
      <c r="B988" s="534"/>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c r="AL988" s="271"/>
      <c r="AM988" s="271"/>
      <c r="AN988" s="271"/>
      <c r="AO988" s="271"/>
      <c r="AP988" s="271"/>
      <c r="AQ988" s="271"/>
      <c r="AR988" s="271"/>
      <c r="AS988" s="271"/>
      <c r="AT988" s="271"/>
      <c r="AU988" s="271"/>
      <c r="AV988" s="271"/>
      <c r="AW988" s="271"/>
      <c r="AX988" s="271"/>
      <c r="AY988" s="271"/>
    </row>
    <row r="989" spans="1:51" ht="15.75" customHeight="1" x14ac:dyDescent="0.25">
      <c r="A989" s="271"/>
      <c r="B989" s="534"/>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c r="AL989" s="271"/>
      <c r="AM989" s="271"/>
      <c r="AN989" s="271"/>
      <c r="AO989" s="271"/>
      <c r="AP989" s="271"/>
      <c r="AQ989" s="271"/>
      <c r="AR989" s="271"/>
      <c r="AS989" s="271"/>
      <c r="AT989" s="271"/>
      <c r="AU989" s="271"/>
      <c r="AV989" s="271"/>
      <c r="AW989" s="271"/>
      <c r="AX989" s="271"/>
      <c r="AY989" s="271"/>
    </row>
    <row r="990" spans="1:51" ht="15.75" customHeight="1" x14ac:dyDescent="0.25">
      <c r="A990" s="271"/>
      <c r="B990" s="534"/>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c r="AL990" s="271"/>
      <c r="AM990" s="271"/>
      <c r="AN990" s="271"/>
      <c r="AO990" s="271"/>
      <c r="AP990" s="271"/>
      <c r="AQ990" s="271"/>
      <c r="AR990" s="271"/>
      <c r="AS990" s="271"/>
      <c r="AT990" s="271"/>
      <c r="AU990" s="271"/>
      <c r="AV990" s="271"/>
      <c r="AW990" s="271"/>
      <c r="AX990" s="271"/>
      <c r="AY990" s="271"/>
    </row>
    <row r="991" spans="1:51" ht="15.75" customHeight="1" x14ac:dyDescent="0.25">
      <c r="A991" s="271"/>
      <c r="B991" s="534"/>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c r="AL991" s="271"/>
      <c r="AM991" s="271"/>
      <c r="AN991" s="271"/>
      <c r="AO991" s="271"/>
      <c r="AP991" s="271"/>
      <c r="AQ991" s="271"/>
      <c r="AR991" s="271"/>
      <c r="AS991" s="271"/>
      <c r="AT991" s="271"/>
      <c r="AU991" s="271"/>
      <c r="AV991" s="271"/>
      <c r="AW991" s="271"/>
      <c r="AX991" s="271"/>
      <c r="AY991" s="271"/>
    </row>
    <row r="992" spans="1:51" ht="15.75" customHeight="1" x14ac:dyDescent="0.25">
      <c r="A992" s="271"/>
      <c r="B992" s="534"/>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c r="AL992" s="271"/>
      <c r="AM992" s="271"/>
      <c r="AN992" s="271"/>
      <c r="AO992" s="271"/>
      <c r="AP992" s="271"/>
      <c r="AQ992" s="271"/>
      <c r="AR992" s="271"/>
      <c r="AS992" s="271"/>
      <c r="AT992" s="271"/>
      <c r="AU992" s="271"/>
      <c r="AV992" s="271"/>
      <c r="AW992" s="271"/>
      <c r="AX992" s="271"/>
      <c r="AY992" s="271"/>
    </row>
    <row r="993" spans="1:51" ht="15.75" customHeight="1" x14ac:dyDescent="0.25">
      <c r="A993" s="271"/>
      <c r="B993" s="534"/>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c r="AL993" s="271"/>
      <c r="AM993" s="271"/>
      <c r="AN993" s="271"/>
      <c r="AO993" s="271"/>
      <c r="AP993" s="271"/>
      <c r="AQ993" s="271"/>
      <c r="AR993" s="271"/>
      <c r="AS993" s="271"/>
      <c r="AT993" s="271"/>
      <c r="AU993" s="271"/>
      <c r="AV993" s="271"/>
      <c r="AW993" s="271"/>
      <c r="AX993" s="271"/>
      <c r="AY993" s="271"/>
    </row>
    <row r="994" spans="1:51" ht="15.75" customHeight="1" x14ac:dyDescent="0.25">
      <c r="A994" s="271"/>
      <c r="B994" s="534"/>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c r="AL994" s="271"/>
      <c r="AM994" s="271"/>
      <c r="AN994" s="271"/>
      <c r="AO994" s="271"/>
      <c r="AP994" s="271"/>
      <c r="AQ994" s="271"/>
      <c r="AR994" s="271"/>
      <c r="AS994" s="271"/>
      <c r="AT994" s="271"/>
      <c r="AU994" s="271"/>
      <c r="AV994" s="271"/>
      <c r="AW994" s="271"/>
      <c r="AX994" s="271"/>
      <c r="AY994" s="271"/>
    </row>
    <row r="995" spans="1:51" ht="15.75" customHeight="1" x14ac:dyDescent="0.25">
      <c r="A995" s="271"/>
      <c r="B995" s="534"/>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c r="AL995" s="271"/>
      <c r="AM995" s="271"/>
      <c r="AN995" s="271"/>
      <c r="AO995" s="271"/>
      <c r="AP995" s="271"/>
      <c r="AQ995" s="271"/>
      <c r="AR995" s="271"/>
      <c r="AS995" s="271"/>
      <c r="AT995" s="271"/>
      <c r="AU995" s="271"/>
      <c r="AV995" s="271"/>
      <c r="AW995" s="271"/>
      <c r="AX995" s="271"/>
      <c r="AY995" s="271"/>
    </row>
    <row r="996" spans="1:51" ht="15.75" customHeight="1" x14ac:dyDescent="0.25">
      <c r="A996" s="271"/>
      <c r="B996" s="534"/>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c r="AL996" s="271"/>
      <c r="AM996" s="271"/>
      <c r="AN996" s="271"/>
      <c r="AO996" s="271"/>
      <c r="AP996" s="271"/>
      <c r="AQ996" s="271"/>
      <c r="AR996" s="271"/>
      <c r="AS996" s="271"/>
      <c r="AT996" s="271"/>
      <c r="AU996" s="271"/>
      <c r="AV996" s="271"/>
      <c r="AW996" s="271"/>
      <c r="AX996" s="271"/>
      <c r="AY996" s="271"/>
    </row>
    <row r="997" spans="1:51" ht="15.75" customHeight="1" x14ac:dyDescent="0.25">
      <c r="A997" s="271"/>
      <c r="B997" s="534"/>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c r="AL997" s="271"/>
      <c r="AM997" s="271"/>
      <c r="AN997" s="271"/>
      <c r="AO997" s="271"/>
      <c r="AP997" s="271"/>
      <c r="AQ997" s="271"/>
      <c r="AR997" s="271"/>
      <c r="AS997" s="271"/>
      <c r="AT997" s="271"/>
      <c r="AU997" s="271"/>
      <c r="AV997" s="271"/>
      <c r="AW997" s="271"/>
      <c r="AX997" s="271"/>
      <c r="AY997" s="271"/>
    </row>
    <row r="998" spans="1:51" ht="15.75" customHeight="1" x14ac:dyDescent="0.25">
      <c r="A998" s="271"/>
      <c r="B998" s="534"/>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c r="AL998" s="271"/>
      <c r="AM998" s="271"/>
      <c r="AN998" s="271"/>
      <c r="AO998" s="271"/>
      <c r="AP998" s="271"/>
      <c r="AQ998" s="271"/>
      <c r="AR998" s="271"/>
      <c r="AS998" s="271"/>
      <c r="AT998" s="271"/>
      <c r="AU998" s="271"/>
      <c r="AV998" s="271"/>
      <c r="AW998" s="271"/>
      <c r="AX998" s="271"/>
      <c r="AY998" s="271"/>
    </row>
    <row r="999" spans="1:51" ht="15.75" customHeight="1" x14ac:dyDescent="0.25">
      <c r="A999" s="271"/>
      <c r="B999" s="534"/>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c r="AL999" s="271"/>
      <c r="AM999" s="271"/>
      <c r="AN999" s="271"/>
      <c r="AO999" s="271"/>
      <c r="AP999" s="271"/>
      <c r="AQ999" s="271"/>
      <c r="AR999" s="271"/>
      <c r="AS999" s="271"/>
      <c r="AT999" s="271"/>
      <c r="AU999" s="271"/>
      <c r="AV999" s="271"/>
      <c r="AW999" s="271"/>
      <c r="AX999" s="271"/>
      <c r="AY999" s="271"/>
    </row>
    <row r="1000" spans="1:51" ht="15.75" customHeight="1" x14ac:dyDescent="0.25">
      <c r="A1000" s="271"/>
      <c r="B1000" s="534"/>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c r="AL1000" s="271"/>
      <c r="AM1000" s="271"/>
      <c r="AN1000" s="271"/>
      <c r="AO1000" s="271"/>
      <c r="AP1000" s="271"/>
      <c r="AQ1000" s="271"/>
      <c r="AR1000" s="271"/>
      <c r="AS1000" s="271"/>
      <c r="AT1000" s="271"/>
      <c r="AU1000" s="271"/>
      <c r="AV1000" s="271"/>
      <c r="AW1000" s="271"/>
      <c r="AX1000" s="271"/>
      <c r="AY1000" s="271"/>
    </row>
  </sheetData>
  <mergeCells count="1">
    <mergeCell ref="P1:AO1"/>
  </mergeCells>
  <pageMargins left="0.7" right="0.7" top="0.75" bottom="0.75" header="0" footer="0"/>
  <pageSetup orientation="portrait"/>
  <headerFooter>
    <oddFooter>&amp;C000000000000&amp;P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000"/>
  <sheetViews>
    <sheetView showGridLines="0" workbookViewId="0">
      <selection activeCell="B1" sqref="B1:B1048576"/>
    </sheetView>
  </sheetViews>
  <sheetFormatPr baseColWidth="10" defaultColWidth="12.5703125" defaultRowHeight="15" customHeight="1" x14ac:dyDescent="0.2"/>
  <cols>
    <col min="1" max="1" width="19.42578125" customWidth="1"/>
    <col min="2" max="2" width="18.42578125" style="535" customWidth="1"/>
    <col min="3" max="3" width="15.42578125" customWidth="1"/>
    <col min="4" max="4" width="19.42578125" customWidth="1"/>
    <col min="5" max="5" width="16.28515625" customWidth="1"/>
    <col min="6" max="9" width="15" customWidth="1"/>
    <col min="10" max="10" width="7.7109375" customWidth="1"/>
    <col min="11" max="11" width="15.28515625" customWidth="1"/>
    <col min="12" max="12" width="18.42578125" customWidth="1"/>
    <col min="13" max="14" width="16.7109375" customWidth="1"/>
    <col min="15" max="15" width="12.28515625" customWidth="1"/>
    <col min="16" max="16" width="13.85546875" customWidth="1"/>
    <col min="17" max="17" width="11.42578125" customWidth="1"/>
    <col min="18" max="18" width="13" customWidth="1"/>
    <col min="19" max="21" width="15" customWidth="1"/>
    <col min="22" max="22" width="12.85546875" customWidth="1"/>
    <col min="23" max="23" width="14.42578125" customWidth="1"/>
    <col min="24" max="40" width="19.140625" customWidth="1"/>
    <col min="41" max="41" width="13.85546875" customWidth="1"/>
    <col min="42" max="51" width="9.140625" customWidth="1"/>
  </cols>
  <sheetData>
    <row r="1" spans="1:51" ht="15.75" customHeight="1" x14ac:dyDescent="0.25">
      <c r="A1" s="272" t="s">
        <v>190</v>
      </c>
      <c r="B1" s="521" t="s">
        <v>152</v>
      </c>
      <c r="C1" s="272" t="s">
        <v>157</v>
      </c>
      <c r="D1" s="272" t="s">
        <v>153</v>
      </c>
      <c r="E1" s="272" t="s">
        <v>191</v>
      </c>
      <c r="F1" s="272" t="s">
        <v>155</v>
      </c>
      <c r="G1" s="272" t="s">
        <v>156</v>
      </c>
      <c r="H1" s="272" t="s">
        <v>132</v>
      </c>
      <c r="I1" s="272" t="s">
        <v>158</v>
      </c>
      <c r="J1" s="272" t="s">
        <v>40</v>
      </c>
      <c r="K1" s="272" t="s">
        <v>159</v>
      </c>
      <c r="L1" s="272" t="s">
        <v>160</v>
      </c>
      <c r="M1" s="273" t="s">
        <v>161</v>
      </c>
      <c r="N1" s="272" t="s">
        <v>194</v>
      </c>
      <c r="O1" s="274"/>
      <c r="P1" s="553" t="s">
        <v>163</v>
      </c>
      <c r="Q1" s="554"/>
      <c r="R1" s="554"/>
      <c r="S1" s="554"/>
      <c r="T1" s="554"/>
      <c r="U1" s="554"/>
      <c r="V1" s="554"/>
      <c r="W1" s="554"/>
      <c r="X1" s="554"/>
      <c r="Y1" s="554"/>
      <c r="Z1" s="554"/>
      <c r="AA1" s="554"/>
      <c r="AB1" s="554"/>
      <c r="AC1" s="554"/>
      <c r="AD1" s="554"/>
      <c r="AE1" s="554"/>
      <c r="AF1" s="554"/>
      <c r="AG1" s="554"/>
      <c r="AH1" s="554"/>
      <c r="AI1" s="554"/>
      <c r="AJ1" s="554"/>
      <c r="AK1" s="554"/>
      <c r="AL1" s="554"/>
      <c r="AM1" s="554"/>
      <c r="AN1" s="554"/>
      <c r="AO1" s="555"/>
      <c r="AP1" s="275"/>
      <c r="AQ1" s="276"/>
      <c r="AR1" s="276"/>
      <c r="AS1" s="276"/>
      <c r="AT1" s="276"/>
      <c r="AU1" s="276"/>
      <c r="AV1" s="276"/>
      <c r="AW1" s="276"/>
      <c r="AX1" s="276"/>
      <c r="AY1" s="276"/>
    </row>
    <row r="2" spans="1:51" ht="15.75" customHeight="1" x14ac:dyDescent="0.25">
      <c r="A2" s="278"/>
      <c r="B2" s="522"/>
      <c r="C2" s="279"/>
      <c r="D2" s="278"/>
      <c r="E2" s="278"/>
      <c r="F2" s="278"/>
      <c r="G2" s="278"/>
      <c r="H2" s="278"/>
      <c r="I2" s="278"/>
      <c r="J2" s="279"/>
      <c r="K2" s="424"/>
      <c r="L2" s="281"/>
      <c r="M2" s="282"/>
      <c r="N2" s="481"/>
      <c r="O2" s="357">
        <v>0.7</v>
      </c>
      <c r="P2" s="285" t="s">
        <v>164</v>
      </c>
      <c r="Q2" s="286" t="s">
        <v>165</v>
      </c>
      <c r="R2" s="286" t="s">
        <v>166</v>
      </c>
      <c r="S2" s="286" t="s">
        <v>167</v>
      </c>
      <c r="T2" s="286" t="s">
        <v>168</v>
      </c>
      <c r="U2" s="287" t="s">
        <v>169</v>
      </c>
      <c r="V2" s="285" t="s">
        <v>170</v>
      </c>
      <c r="W2" s="287" t="s">
        <v>171</v>
      </c>
      <c r="X2" s="288" t="s">
        <v>196</v>
      </c>
      <c r="Y2" s="288" t="s">
        <v>197</v>
      </c>
      <c r="Z2" s="288" t="s">
        <v>198</v>
      </c>
      <c r="AA2" s="288" t="s">
        <v>199</v>
      </c>
      <c r="AB2" s="288" t="s">
        <v>200</v>
      </c>
      <c r="AC2" s="288" t="s">
        <v>201</v>
      </c>
      <c r="AD2" s="288" t="s">
        <v>202</v>
      </c>
      <c r="AE2" s="288" t="s">
        <v>203</v>
      </c>
      <c r="AF2" s="288" t="s">
        <v>204</v>
      </c>
      <c r="AG2" s="288" t="s">
        <v>205</v>
      </c>
      <c r="AH2" s="288" t="s">
        <v>206</v>
      </c>
      <c r="AI2" s="288" t="s">
        <v>207</v>
      </c>
      <c r="AJ2" s="288" t="s">
        <v>208</v>
      </c>
      <c r="AK2" s="288" t="s">
        <v>209</v>
      </c>
      <c r="AL2" s="288" t="s">
        <v>210</v>
      </c>
      <c r="AM2" s="288" t="s">
        <v>218</v>
      </c>
      <c r="AN2" s="288" t="s">
        <v>211</v>
      </c>
      <c r="AO2" s="288" t="s">
        <v>44</v>
      </c>
      <c r="AP2" s="275"/>
      <c r="AQ2" s="276"/>
      <c r="AR2" s="276"/>
      <c r="AS2" s="276"/>
      <c r="AT2" s="276"/>
      <c r="AU2" s="276"/>
      <c r="AV2" s="276"/>
      <c r="AW2" s="276"/>
      <c r="AX2" s="276"/>
      <c r="AY2" s="276"/>
    </row>
    <row r="3" spans="1:51" ht="15.75" customHeight="1" x14ac:dyDescent="0.25">
      <c r="A3" s="426" t="s">
        <v>138</v>
      </c>
      <c r="B3" s="527">
        <v>45108</v>
      </c>
      <c r="C3" s="427">
        <v>705500</v>
      </c>
      <c r="D3" s="427">
        <f t="shared" ref="D3:D33" si="0">C3-E3-F3-G3-H3</f>
        <v>701500</v>
      </c>
      <c r="E3" s="243"/>
      <c r="F3" s="243"/>
      <c r="G3" s="243">
        <v>4000</v>
      </c>
      <c r="H3" s="243"/>
      <c r="I3" s="243">
        <f>'Détail Dépenses'!Y85</f>
        <v>311750</v>
      </c>
      <c r="J3" s="360">
        <f t="shared" ref="J3:J33" si="1">I3/C3</f>
        <v>0.44188518781006381</v>
      </c>
      <c r="K3" s="312">
        <f t="shared" ref="K3:K33" si="2">D3-I3</f>
        <v>389750</v>
      </c>
      <c r="L3" s="332">
        <f>419750-30000</f>
        <v>389750</v>
      </c>
      <c r="M3" s="332">
        <f t="shared" ref="M3:M33" si="3">L3-K3</f>
        <v>0</v>
      </c>
      <c r="N3" s="432">
        <f t="shared" ref="N3:N33" si="4">N2+L3</f>
        <v>389750</v>
      </c>
      <c r="O3" s="429"/>
      <c r="P3" s="335"/>
      <c r="Q3" s="335"/>
      <c r="R3" s="335"/>
      <c r="S3" s="335"/>
      <c r="T3" s="335"/>
      <c r="U3" s="335"/>
      <c r="V3" s="335">
        <v>15500</v>
      </c>
      <c r="W3" s="335"/>
      <c r="X3" s="335">
        <v>43000</v>
      </c>
      <c r="Y3" s="335"/>
      <c r="Z3" s="335">
        <v>2000</v>
      </c>
      <c r="AA3" s="335"/>
      <c r="AB3" s="335">
        <v>500</v>
      </c>
      <c r="AC3" s="335"/>
      <c r="AD3" s="335"/>
      <c r="AE3" s="335"/>
      <c r="AF3" s="335"/>
      <c r="AG3" s="335"/>
      <c r="AH3" s="335"/>
      <c r="AI3" s="335"/>
      <c r="AJ3" s="335"/>
      <c r="AK3" s="335"/>
      <c r="AL3" s="335"/>
      <c r="AM3" s="335"/>
      <c r="AN3" s="335">
        <v>1000</v>
      </c>
      <c r="AO3" s="430">
        <f t="shared" ref="AO3:AO33" si="5">SUM(P3:AN3)</f>
        <v>62000</v>
      </c>
      <c r="AP3" s="201"/>
      <c r="AQ3" s="276"/>
      <c r="AR3" s="276"/>
      <c r="AS3" s="276"/>
      <c r="AT3" s="276"/>
      <c r="AU3" s="276"/>
      <c r="AV3" s="276"/>
      <c r="AW3" s="276"/>
      <c r="AX3" s="276"/>
      <c r="AY3" s="276"/>
    </row>
    <row r="4" spans="1:51" ht="15.75" customHeight="1" x14ac:dyDescent="0.25">
      <c r="A4" s="435" t="s">
        <v>139</v>
      </c>
      <c r="B4" s="542">
        <v>45109</v>
      </c>
      <c r="C4" s="371">
        <f>475000-11500</f>
        <v>463500</v>
      </c>
      <c r="D4" s="436">
        <f t="shared" si="0"/>
        <v>463500</v>
      </c>
      <c r="E4" s="320"/>
      <c r="F4" s="320"/>
      <c r="G4" s="320"/>
      <c r="H4" s="320"/>
      <c r="I4" s="320">
        <f>'Détail Dépenses'!Y86</f>
        <v>1641600</v>
      </c>
      <c r="J4" s="367">
        <f t="shared" si="1"/>
        <v>3.5417475728155341</v>
      </c>
      <c r="K4" s="312">
        <f t="shared" si="2"/>
        <v>-1178100</v>
      </c>
      <c r="L4" s="323">
        <f>337500-1515750</f>
        <v>-1178250</v>
      </c>
      <c r="M4" s="323">
        <f t="shared" si="3"/>
        <v>-150</v>
      </c>
      <c r="N4" s="482">
        <f t="shared" si="4"/>
        <v>-788500</v>
      </c>
      <c r="O4" s="437"/>
      <c r="P4" s="327"/>
      <c r="Q4" s="327"/>
      <c r="R4" s="327"/>
      <c r="S4" s="327"/>
      <c r="T4" s="327"/>
      <c r="U4" s="327"/>
      <c r="V4" s="327">
        <v>9500</v>
      </c>
      <c r="W4" s="327"/>
      <c r="X4" s="327">
        <v>174500</v>
      </c>
      <c r="Y4" s="327">
        <v>11500</v>
      </c>
      <c r="Z4" s="327"/>
      <c r="AA4" s="327"/>
      <c r="AB4" s="327">
        <v>1000</v>
      </c>
      <c r="AC4" s="327"/>
      <c r="AD4" s="327"/>
      <c r="AE4" s="327"/>
      <c r="AF4" s="327"/>
      <c r="AG4" s="327"/>
      <c r="AH4" s="327"/>
      <c r="AI4" s="327"/>
      <c r="AJ4" s="327"/>
      <c r="AK4" s="327"/>
      <c r="AL4" s="327"/>
      <c r="AM4" s="327"/>
      <c r="AN4" s="327"/>
      <c r="AO4" s="438">
        <f t="shared" si="5"/>
        <v>196500</v>
      </c>
      <c r="AP4" s="201"/>
      <c r="AQ4" s="276"/>
      <c r="AR4" s="276"/>
      <c r="AS4" s="276"/>
      <c r="AT4" s="276"/>
      <c r="AU4" s="276"/>
      <c r="AV4" s="276"/>
      <c r="AW4" s="276"/>
      <c r="AX4" s="276"/>
      <c r="AY4" s="276"/>
    </row>
    <row r="5" spans="1:51" ht="15.75" customHeight="1" x14ac:dyDescent="0.25">
      <c r="A5" s="426" t="s">
        <v>140</v>
      </c>
      <c r="B5" s="527">
        <v>45110</v>
      </c>
      <c r="C5" s="358">
        <v>465000</v>
      </c>
      <c r="D5" s="427">
        <f t="shared" si="0"/>
        <v>462000</v>
      </c>
      <c r="E5" s="243"/>
      <c r="F5" s="243"/>
      <c r="G5" s="243">
        <v>3000</v>
      </c>
      <c r="H5" s="243"/>
      <c r="I5" s="243">
        <f>'Détail Dépenses'!Y87</f>
        <v>255250</v>
      </c>
      <c r="J5" s="360">
        <f t="shared" si="1"/>
        <v>0.54892473118279572</v>
      </c>
      <c r="K5" s="312">
        <f t="shared" si="2"/>
        <v>206750</v>
      </c>
      <c r="L5" s="332">
        <f>296600-10000-80000</f>
        <v>206600</v>
      </c>
      <c r="M5" s="332">
        <f t="shared" si="3"/>
        <v>-150</v>
      </c>
      <c r="N5" s="483">
        <f t="shared" si="4"/>
        <v>-581900</v>
      </c>
      <c r="O5" s="484"/>
      <c r="P5" s="335">
        <v>3500</v>
      </c>
      <c r="Q5" s="335">
        <v>2000</v>
      </c>
      <c r="R5" s="335">
        <v>15000</v>
      </c>
      <c r="S5" s="335"/>
      <c r="T5" s="335"/>
      <c r="U5" s="335"/>
      <c r="V5" s="335">
        <v>5500</v>
      </c>
      <c r="W5" s="335"/>
      <c r="X5" s="335">
        <v>41500</v>
      </c>
      <c r="Y5" s="335"/>
      <c r="Z5" s="335">
        <v>2000</v>
      </c>
      <c r="AA5" s="335"/>
      <c r="AB5" s="335">
        <v>2000</v>
      </c>
      <c r="AC5" s="335"/>
      <c r="AD5" s="335"/>
      <c r="AE5" s="335"/>
      <c r="AF5" s="335"/>
      <c r="AG5" s="335"/>
      <c r="AH5" s="335"/>
      <c r="AI5" s="335"/>
      <c r="AJ5" s="335"/>
      <c r="AK5" s="335"/>
      <c r="AL5" s="335"/>
      <c r="AM5" s="335"/>
      <c r="AN5" s="335">
        <v>1000</v>
      </c>
      <c r="AO5" s="430">
        <f t="shared" si="5"/>
        <v>72500</v>
      </c>
      <c r="AP5" s="201"/>
      <c r="AQ5" s="276"/>
      <c r="AR5" s="276"/>
      <c r="AS5" s="276"/>
      <c r="AT5" s="276"/>
      <c r="AU5" s="276"/>
      <c r="AV5" s="276"/>
      <c r="AW5" s="276"/>
      <c r="AX5" s="276"/>
      <c r="AY5" s="276"/>
    </row>
    <row r="6" spans="1:51" ht="15.75" customHeight="1" x14ac:dyDescent="0.25">
      <c r="A6" s="431" t="s">
        <v>141</v>
      </c>
      <c r="B6" s="528">
        <v>45111</v>
      </c>
      <c r="C6" s="440">
        <v>355750</v>
      </c>
      <c r="D6" s="440">
        <f t="shared" si="0"/>
        <v>355750</v>
      </c>
      <c r="E6" s="309"/>
      <c r="F6" s="309"/>
      <c r="G6" s="309"/>
      <c r="H6" s="309"/>
      <c r="I6" s="309">
        <f>'Détail Dépenses'!Y88</f>
        <v>114550</v>
      </c>
      <c r="J6" s="378">
        <f t="shared" si="1"/>
        <v>0.32199578355586789</v>
      </c>
      <c r="K6" s="312">
        <f t="shared" si="2"/>
        <v>241200</v>
      </c>
      <c r="L6" s="312">
        <f>261500-20000</f>
        <v>241500</v>
      </c>
      <c r="M6" s="312">
        <f t="shared" si="3"/>
        <v>300</v>
      </c>
      <c r="N6" s="432">
        <f t="shared" si="4"/>
        <v>-340400</v>
      </c>
      <c r="O6" s="437"/>
      <c r="P6" s="315">
        <v>9000</v>
      </c>
      <c r="Q6" s="315"/>
      <c r="R6" s="315"/>
      <c r="S6" s="315"/>
      <c r="T6" s="315"/>
      <c r="U6" s="315"/>
      <c r="V6" s="315">
        <v>7000</v>
      </c>
      <c r="W6" s="315"/>
      <c r="X6" s="315">
        <v>43000</v>
      </c>
      <c r="Y6" s="315">
        <v>8000</v>
      </c>
      <c r="Z6" s="315">
        <v>2000</v>
      </c>
      <c r="AA6" s="315">
        <v>1500</v>
      </c>
      <c r="AB6" s="315"/>
      <c r="AC6" s="315"/>
      <c r="AD6" s="315"/>
      <c r="AE6" s="315"/>
      <c r="AF6" s="315">
        <v>500</v>
      </c>
      <c r="AG6" s="315"/>
      <c r="AH6" s="315"/>
      <c r="AI6" s="315"/>
      <c r="AJ6" s="315"/>
      <c r="AK6" s="315"/>
      <c r="AL6" s="315"/>
      <c r="AM6" s="315"/>
      <c r="AN6" s="315">
        <v>1500</v>
      </c>
      <c r="AO6" s="434">
        <f t="shared" si="5"/>
        <v>72500</v>
      </c>
      <c r="AP6" s="201"/>
      <c r="AQ6" s="276"/>
      <c r="AR6" s="276"/>
      <c r="AS6" s="276"/>
      <c r="AT6" s="276"/>
      <c r="AU6" s="276"/>
      <c r="AV6" s="276"/>
      <c r="AW6" s="276"/>
      <c r="AX6" s="276"/>
      <c r="AY6" s="276"/>
    </row>
    <row r="7" spans="1:51" ht="15.75" customHeight="1" x14ac:dyDescent="0.25">
      <c r="A7" s="431" t="s">
        <v>142</v>
      </c>
      <c r="B7" s="528">
        <v>45112</v>
      </c>
      <c r="C7" s="440">
        <v>1286500</v>
      </c>
      <c r="D7" s="440">
        <f t="shared" si="0"/>
        <v>1110500</v>
      </c>
      <c r="E7" s="309">
        <v>176000</v>
      </c>
      <c r="F7" s="309"/>
      <c r="G7" s="309"/>
      <c r="H7" s="309"/>
      <c r="I7" s="309">
        <f>'Détail Dépenses'!Y89</f>
        <v>509900</v>
      </c>
      <c r="J7" s="378">
        <f t="shared" si="1"/>
        <v>0.39634667703070348</v>
      </c>
      <c r="K7" s="312">
        <f t="shared" si="2"/>
        <v>600600</v>
      </c>
      <c r="L7" s="312">
        <f>890500-200000-10000-80000</f>
        <v>600500</v>
      </c>
      <c r="M7" s="312">
        <f t="shared" si="3"/>
        <v>-100</v>
      </c>
      <c r="N7" s="432">
        <f t="shared" si="4"/>
        <v>260100</v>
      </c>
      <c r="O7" s="429"/>
      <c r="P7" s="315">
        <v>10000</v>
      </c>
      <c r="Q7" s="315">
        <v>56500</v>
      </c>
      <c r="R7" s="315">
        <v>18000</v>
      </c>
      <c r="S7" s="315">
        <v>18500</v>
      </c>
      <c r="T7" s="315"/>
      <c r="U7" s="315"/>
      <c r="V7" s="315"/>
      <c r="W7" s="315"/>
      <c r="X7" s="315">
        <v>161000</v>
      </c>
      <c r="Y7" s="315">
        <v>34000</v>
      </c>
      <c r="Z7" s="315"/>
      <c r="AA7" s="315"/>
      <c r="AB7" s="315">
        <v>2000</v>
      </c>
      <c r="AC7" s="315"/>
      <c r="AD7" s="315"/>
      <c r="AE7" s="315"/>
      <c r="AF7" s="315">
        <v>500</v>
      </c>
      <c r="AG7" s="315"/>
      <c r="AH7" s="315"/>
      <c r="AI7" s="315"/>
      <c r="AJ7" s="315"/>
      <c r="AK7" s="315"/>
      <c r="AL7" s="315"/>
      <c r="AM7" s="315"/>
      <c r="AN7" s="315">
        <v>3000</v>
      </c>
      <c r="AO7" s="434">
        <f t="shared" si="5"/>
        <v>303500</v>
      </c>
      <c r="AP7" s="201"/>
      <c r="AQ7" s="276"/>
      <c r="AR7" s="276"/>
      <c r="AS7" s="276"/>
      <c r="AT7" s="276"/>
      <c r="AU7" s="276"/>
      <c r="AV7" s="276"/>
      <c r="AW7" s="276"/>
      <c r="AX7" s="276"/>
      <c r="AY7" s="276"/>
    </row>
    <row r="8" spans="1:51" ht="15.75" customHeight="1" x14ac:dyDescent="0.25">
      <c r="A8" s="431" t="s">
        <v>143</v>
      </c>
      <c r="B8" s="528">
        <v>45113</v>
      </c>
      <c r="C8" s="440">
        <v>566000</v>
      </c>
      <c r="D8" s="440">
        <f t="shared" si="0"/>
        <v>566000</v>
      </c>
      <c r="E8" s="309"/>
      <c r="F8" s="309"/>
      <c r="G8" s="309"/>
      <c r="H8" s="309"/>
      <c r="I8" s="309">
        <f>'Détail Dépenses'!Y90</f>
        <v>231200</v>
      </c>
      <c r="J8" s="378">
        <f t="shared" si="1"/>
        <v>0.40848056537102473</v>
      </c>
      <c r="K8" s="312">
        <f t="shared" si="2"/>
        <v>334800</v>
      </c>
      <c r="L8" s="312">
        <v>335000</v>
      </c>
      <c r="M8" s="312">
        <f t="shared" si="3"/>
        <v>200</v>
      </c>
      <c r="N8" s="432">
        <f t="shared" si="4"/>
        <v>595100</v>
      </c>
      <c r="O8" s="433"/>
      <c r="P8" s="315">
        <v>1000</v>
      </c>
      <c r="Q8" s="315">
        <f>18500+13000</f>
        <v>31500</v>
      </c>
      <c r="R8" s="315"/>
      <c r="S8" s="315"/>
      <c r="T8" s="315"/>
      <c r="U8" s="315"/>
      <c r="V8" s="315">
        <v>3500</v>
      </c>
      <c r="W8" s="315"/>
      <c r="X8" s="315">
        <v>97500</v>
      </c>
      <c r="Y8" s="315">
        <v>40000</v>
      </c>
      <c r="Z8" s="315">
        <v>2000</v>
      </c>
      <c r="AA8" s="315"/>
      <c r="AB8" s="315"/>
      <c r="AC8" s="315"/>
      <c r="AD8" s="315"/>
      <c r="AE8" s="315"/>
      <c r="AF8" s="315">
        <v>500</v>
      </c>
      <c r="AG8" s="315"/>
      <c r="AH8" s="315"/>
      <c r="AI8" s="315">
        <v>500</v>
      </c>
      <c r="AJ8" s="315"/>
      <c r="AK8" s="315"/>
      <c r="AL8" s="315"/>
      <c r="AM8" s="315"/>
      <c r="AN8" s="315"/>
      <c r="AO8" s="434">
        <f t="shared" si="5"/>
        <v>176500</v>
      </c>
      <c r="AP8" s="201"/>
      <c r="AQ8" s="276"/>
      <c r="AR8" s="276"/>
      <c r="AS8" s="276"/>
      <c r="AT8" s="276"/>
      <c r="AU8" s="276"/>
      <c r="AV8" s="276"/>
      <c r="AW8" s="276"/>
      <c r="AX8" s="276"/>
      <c r="AY8" s="276"/>
    </row>
    <row r="9" spans="1:51" ht="15.75" customHeight="1" x14ac:dyDescent="0.25">
      <c r="A9" s="431" t="s">
        <v>144</v>
      </c>
      <c r="B9" s="528">
        <v>45114</v>
      </c>
      <c r="C9" s="365">
        <v>1675250</v>
      </c>
      <c r="D9" s="440">
        <f t="shared" si="0"/>
        <v>1664750</v>
      </c>
      <c r="E9" s="309"/>
      <c r="F9" s="309"/>
      <c r="G9" s="309">
        <v>10500</v>
      </c>
      <c r="H9" s="309"/>
      <c r="I9" s="309">
        <f>'Détail Dépenses'!Y91</f>
        <v>242025</v>
      </c>
      <c r="J9" s="378">
        <f t="shared" si="1"/>
        <v>0.14447097448142068</v>
      </c>
      <c r="K9" s="312">
        <f t="shared" si="2"/>
        <v>1422725</v>
      </c>
      <c r="L9" s="312">
        <v>1422500</v>
      </c>
      <c r="M9" s="312">
        <f t="shared" si="3"/>
        <v>-225</v>
      </c>
      <c r="N9" s="432">
        <f t="shared" si="4"/>
        <v>2017600</v>
      </c>
      <c r="O9" s="433"/>
      <c r="P9" s="315"/>
      <c r="Q9" s="315"/>
      <c r="R9" s="315"/>
      <c r="S9" s="315">
        <v>5000</v>
      </c>
      <c r="T9" s="315"/>
      <c r="U9" s="315"/>
      <c r="V9" s="315">
        <v>3000</v>
      </c>
      <c r="W9" s="315"/>
      <c r="X9" s="315">
        <v>253000</v>
      </c>
      <c r="Y9" s="315"/>
      <c r="Z9" s="315">
        <v>2000</v>
      </c>
      <c r="AA9" s="315"/>
      <c r="AB9" s="315">
        <v>1000</v>
      </c>
      <c r="AC9" s="315"/>
      <c r="AD9" s="315"/>
      <c r="AE9" s="315"/>
      <c r="AF9" s="315"/>
      <c r="AG9" s="315"/>
      <c r="AH9" s="315"/>
      <c r="AI9" s="315"/>
      <c r="AJ9" s="315"/>
      <c r="AK9" s="315"/>
      <c r="AL9" s="315"/>
      <c r="AM9" s="315"/>
      <c r="AN9" s="315">
        <v>2000</v>
      </c>
      <c r="AO9" s="434">
        <f t="shared" si="5"/>
        <v>266000</v>
      </c>
      <c r="AP9" s="201"/>
      <c r="AQ9" s="276"/>
      <c r="AR9" s="276"/>
      <c r="AS9" s="276"/>
      <c r="AT9" s="276"/>
      <c r="AU9" s="276"/>
      <c r="AV9" s="276"/>
      <c r="AW9" s="276"/>
      <c r="AX9" s="276"/>
      <c r="AY9" s="276"/>
    </row>
    <row r="10" spans="1:51" ht="15.75" customHeight="1" x14ac:dyDescent="0.25">
      <c r="A10" s="431" t="s">
        <v>138</v>
      </c>
      <c r="B10" s="528">
        <v>45115</v>
      </c>
      <c r="C10" s="365">
        <v>1010250</v>
      </c>
      <c r="D10" s="440">
        <f t="shared" si="0"/>
        <v>1001250</v>
      </c>
      <c r="E10" s="309"/>
      <c r="F10" s="309"/>
      <c r="G10" s="309">
        <v>9000</v>
      </c>
      <c r="H10" s="309"/>
      <c r="I10" s="309">
        <f>'Détail Dépenses'!Y92</f>
        <v>937650</v>
      </c>
      <c r="J10" s="378">
        <f t="shared" si="1"/>
        <v>0.92813659985152186</v>
      </c>
      <c r="K10" s="312">
        <f t="shared" si="2"/>
        <v>63600</v>
      </c>
      <c r="L10" s="312">
        <f>733700-270000-400000</f>
        <v>63700</v>
      </c>
      <c r="M10" s="312">
        <f t="shared" si="3"/>
        <v>100</v>
      </c>
      <c r="N10" s="432">
        <f t="shared" si="4"/>
        <v>2081300</v>
      </c>
      <c r="O10" s="433"/>
      <c r="P10" s="315">
        <v>47500</v>
      </c>
      <c r="Q10" s="315"/>
      <c r="R10" s="315">
        <v>16000</v>
      </c>
      <c r="S10" s="315"/>
      <c r="T10" s="315"/>
      <c r="U10" s="315"/>
      <c r="V10" s="315">
        <v>7000</v>
      </c>
      <c r="W10" s="315"/>
      <c r="X10" s="315">
        <v>172000</v>
      </c>
      <c r="Y10" s="315"/>
      <c r="Z10" s="315"/>
      <c r="AA10" s="315"/>
      <c r="AB10" s="315">
        <v>2000</v>
      </c>
      <c r="AC10" s="315"/>
      <c r="AD10" s="315"/>
      <c r="AE10" s="315"/>
      <c r="AF10" s="315">
        <v>500</v>
      </c>
      <c r="AG10" s="315">
        <v>500</v>
      </c>
      <c r="AH10" s="315"/>
      <c r="AI10" s="315"/>
      <c r="AJ10" s="315"/>
      <c r="AK10" s="315"/>
      <c r="AL10" s="315"/>
      <c r="AM10" s="315"/>
      <c r="AN10" s="315">
        <v>1000</v>
      </c>
      <c r="AO10" s="434">
        <f t="shared" si="5"/>
        <v>246500</v>
      </c>
      <c r="AP10" s="201"/>
      <c r="AQ10" s="276"/>
      <c r="AR10" s="276"/>
      <c r="AS10" s="276"/>
      <c r="AT10" s="276"/>
      <c r="AU10" s="276"/>
      <c r="AV10" s="276"/>
      <c r="AW10" s="276"/>
      <c r="AX10" s="276"/>
      <c r="AY10" s="276"/>
    </row>
    <row r="11" spans="1:51" ht="15.75" customHeight="1" x14ac:dyDescent="0.25">
      <c r="A11" s="435" t="s">
        <v>139</v>
      </c>
      <c r="B11" s="542">
        <v>45116</v>
      </c>
      <c r="C11" s="436">
        <v>1693000</v>
      </c>
      <c r="D11" s="436">
        <f t="shared" si="0"/>
        <v>1693000</v>
      </c>
      <c r="E11" s="320"/>
      <c r="F11" s="320"/>
      <c r="G11" s="320"/>
      <c r="H11" s="320"/>
      <c r="I11" s="320">
        <f>'Détail Dépenses'!Y93</f>
        <v>1763350</v>
      </c>
      <c r="J11" s="367">
        <f t="shared" si="1"/>
        <v>1.0415534554046073</v>
      </c>
      <c r="K11" s="312">
        <f t="shared" si="2"/>
        <v>-70350</v>
      </c>
      <c r="L11" s="323">
        <f>1535000-1605050</f>
        <v>-70050</v>
      </c>
      <c r="M11" s="323">
        <f t="shared" si="3"/>
        <v>300</v>
      </c>
      <c r="N11" s="482">
        <f t="shared" si="4"/>
        <v>2011250</v>
      </c>
      <c r="O11" s="437"/>
      <c r="P11" s="327">
        <v>8000</v>
      </c>
      <c r="Q11" s="327"/>
      <c r="R11" s="327">
        <v>33000</v>
      </c>
      <c r="S11" s="327"/>
      <c r="T11" s="327"/>
      <c r="U11" s="327"/>
      <c r="V11" s="327">
        <v>11500</v>
      </c>
      <c r="W11" s="327"/>
      <c r="X11" s="327">
        <v>135500</v>
      </c>
      <c r="Y11" s="327"/>
      <c r="Z11" s="327">
        <v>2000</v>
      </c>
      <c r="AA11" s="327"/>
      <c r="AB11" s="327">
        <v>2000</v>
      </c>
      <c r="AC11" s="327"/>
      <c r="AD11" s="327"/>
      <c r="AE11" s="327"/>
      <c r="AF11" s="327">
        <v>2000</v>
      </c>
      <c r="AG11" s="327"/>
      <c r="AH11" s="327"/>
      <c r="AI11" s="327"/>
      <c r="AJ11" s="327"/>
      <c r="AK11" s="327"/>
      <c r="AL11" s="327"/>
      <c r="AM11" s="327"/>
      <c r="AN11" s="327">
        <v>1000</v>
      </c>
      <c r="AO11" s="438">
        <f t="shared" si="5"/>
        <v>195000</v>
      </c>
      <c r="AP11" s="201"/>
      <c r="AQ11" s="276"/>
      <c r="AR11" s="276"/>
      <c r="AS11" s="276"/>
      <c r="AT11" s="276"/>
      <c r="AU11" s="276"/>
      <c r="AV11" s="276"/>
      <c r="AW11" s="276"/>
      <c r="AX11" s="276"/>
      <c r="AY11" s="276"/>
    </row>
    <row r="12" spans="1:51" ht="15.75" customHeight="1" x14ac:dyDescent="0.25">
      <c r="A12" s="426" t="s">
        <v>140</v>
      </c>
      <c r="B12" s="527">
        <v>45117</v>
      </c>
      <c r="C12" s="427">
        <v>394250</v>
      </c>
      <c r="D12" s="427">
        <f t="shared" si="0"/>
        <v>391250</v>
      </c>
      <c r="E12" s="243"/>
      <c r="F12" s="243"/>
      <c r="G12" s="243">
        <v>3000</v>
      </c>
      <c r="H12" s="243"/>
      <c r="I12" s="243">
        <f>'Détail Dépenses'!Y94</f>
        <v>330150</v>
      </c>
      <c r="J12" s="360">
        <f t="shared" si="1"/>
        <v>0.83741280913126193</v>
      </c>
      <c r="K12" s="312">
        <f t="shared" si="2"/>
        <v>61100</v>
      </c>
      <c r="L12" s="332">
        <f>111100-50000</f>
        <v>61100</v>
      </c>
      <c r="M12" s="332">
        <f t="shared" si="3"/>
        <v>0</v>
      </c>
      <c r="N12" s="483">
        <f t="shared" si="4"/>
        <v>2072350</v>
      </c>
      <c r="O12" s="484"/>
      <c r="P12" s="335">
        <v>8000</v>
      </c>
      <c r="Q12" s="335">
        <v>13000</v>
      </c>
      <c r="R12" s="335">
        <v>11500</v>
      </c>
      <c r="S12" s="335">
        <v>6000</v>
      </c>
      <c r="T12" s="335">
        <v>25000</v>
      </c>
      <c r="U12" s="335">
        <v>11000</v>
      </c>
      <c r="V12" s="335">
        <v>4500</v>
      </c>
      <c r="W12" s="335"/>
      <c r="X12" s="335">
        <v>81000</v>
      </c>
      <c r="Y12" s="335"/>
      <c r="Z12" s="335"/>
      <c r="AA12" s="335"/>
      <c r="AB12" s="335">
        <v>500</v>
      </c>
      <c r="AC12" s="335"/>
      <c r="AD12" s="335"/>
      <c r="AE12" s="335"/>
      <c r="AF12" s="335"/>
      <c r="AG12" s="335"/>
      <c r="AH12" s="335"/>
      <c r="AI12" s="335"/>
      <c r="AJ12" s="335">
        <v>500</v>
      </c>
      <c r="AK12" s="335"/>
      <c r="AL12" s="335"/>
      <c r="AM12" s="335"/>
      <c r="AN12" s="335">
        <v>500</v>
      </c>
      <c r="AO12" s="430">
        <f t="shared" si="5"/>
        <v>161500</v>
      </c>
      <c r="AP12" s="201"/>
      <c r="AQ12" s="276"/>
      <c r="AR12" s="276"/>
      <c r="AS12" s="276"/>
      <c r="AT12" s="276"/>
      <c r="AU12" s="276"/>
      <c r="AV12" s="276"/>
      <c r="AW12" s="276"/>
      <c r="AX12" s="276"/>
      <c r="AY12" s="276"/>
    </row>
    <row r="13" spans="1:51" ht="15.75" customHeight="1" x14ac:dyDescent="0.25">
      <c r="A13" s="431" t="s">
        <v>141</v>
      </c>
      <c r="B13" s="528">
        <v>45118</v>
      </c>
      <c r="C13" s="440">
        <v>388250</v>
      </c>
      <c r="D13" s="440">
        <f t="shared" si="0"/>
        <v>388250</v>
      </c>
      <c r="E13" s="309"/>
      <c r="F13" s="309"/>
      <c r="G13" s="309"/>
      <c r="H13" s="309"/>
      <c r="I13" s="309">
        <f>'Détail Dépenses'!Y95</f>
        <v>78450</v>
      </c>
      <c r="J13" s="378">
        <f t="shared" si="1"/>
        <v>0.20206052801030264</v>
      </c>
      <c r="K13" s="312">
        <f t="shared" si="2"/>
        <v>309800</v>
      </c>
      <c r="L13" s="312">
        <v>309000</v>
      </c>
      <c r="M13" s="312">
        <f t="shared" si="3"/>
        <v>-800</v>
      </c>
      <c r="N13" s="432">
        <f t="shared" si="4"/>
        <v>2381350</v>
      </c>
      <c r="O13" s="437"/>
      <c r="P13" s="315">
        <v>6000</v>
      </c>
      <c r="Q13" s="315"/>
      <c r="R13" s="315"/>
      <c r="S13" s="315"/>
      <c r="T13" s="315"/>
      <c r="U13" s="315"/>
      <c r="V13" s="315"/>
      <c r="W13" s="315"/>
      <c r="X13" s="315">
        <v>44500</v>
      </c>
      <c r="Y13" s="315">
        <v>9000</v>
      </c>
      <c r="Z13" s="315">
        <f>500+500</f>
        <v>1000</v>
      </c>
      <c r="AA13" s="315">
        <v>1500</v>
      </c>
      <c r="AB13" s="315"/>
      <c r="AC13" s="315"/>
      <c r="AD13" s="315"/>
      <c r="AE13" s="315"/>
      <c r="AF13" s="315"/>
      <c r="AG13" s="315"/>
      <c r="AH13" s="315"/>
      <c r="AI13" s="315"/>
      <c r="AJ13" s="315"/>
      <c r="AK13" s="315"/>
      <c r="AL13" s="315"/>
      <c r="AM13" s="315"/>
      <c r="AN13" s="315"/>
      <c r="AO13" s="434">
        <f t="shared" si="5"/>
        <v>62000</v>
      </c>
      <c r="AP13" s="201"/>
      <c r="AQ13" s="276"/>
      <c r="AR13" s="276"/>
      <c r="AS13" s="276"/>
      <c r="AT13" s="276"/>
      <c r="AU13" s="276"/>
      <c r="AV13" s="276"/>
      <c r="AW13" s="276"/>
      <c r="AX13" s="276"/>
      <c r="AY13" s="276"/>
    </row>
    <row r="14" spans="1:51" ht="15.75" customHeight="1" x14ac:dyDescent="0.25">
      <c r="A14" s="431" t="s">
        <v>142</v>
      </c>
      <c r="B14" s="528">
        <v>45119</v>
      </c>
      <c r="C14" s="365">
        <v>1230500</v>
      </c>
      <c r="D14" s="440">
        <f t="shared" si="0"/>
        <v>1221000</v>
      </c>
      <c r="E14" s="309">
        <v>9500</v>
      </c>
      <c r="F14" s="309"/>
      <c r="G14" s="309"/>
      <c r="H14" s="309"/>
      <c r="I14" s="309">
        <f>'Détail Dépenses'!Y96</f>
        <v>389925</v>
      </c>
      <c r="J14" s="378">
        <f t="shared" si="1"/>
        <v>0.31688338073953676</v>
      </c>
      <c r="K14" s="312">
        <f t="shared" si="2"/>
        <v>831075</v>
      </c>
      <c r="L14" s="312">
        <f>1063000-106000-5000-8000-3600-100000-10000</f>
        <v>830400</v>
      </c>
      <c r="M14" s="312">
        <f t="shared" si="3"/>
        <v>-675</v>
      </c>
      <c r="N14" s="432">
        <f t="shared" si="4"/>
        <v>3211750</v>
      </c>
      <c r="O14" s="429"/>
      <c r="P14" s="315">
        <v>6500</v>
      </c>
      <c r="Q14" s="315"/>
      <c r="R14" s="315">
        <v>20500</v>
      </c>
      <c r="S14" s="315"/>
      <c r="T14" s="315"/>
      <c r="U14" s="315"/>
      <c r="V14" s="315"/>
      <c r="W14" s="315">
        <v>5000</v>
      </c>
      <c r="X14" s="315">
        <v>161000</v>
      </c>
      <c r="Y14" s="315">
        <f>45000+28500+7500</f>
        <v>81000</v>
      </c>
      <c r="Z14" s="315"/>
      <c r="AA14" s="315"/>
      <c r="AB14" s="315">
        <v>2500</v>
      </c>
      <c r="AC14" s="315"/>
      <c r="AD14" s="315">
        <v>4500</v>
      </c>
      <c r="AE14" s="315"/>
      <c r="AF14" s="315">
        <v>500</v>
      </c>
      <c r="AG14" s="315"/>
      <c r="AH14" s="315"/>
      <c r="AI14" s="315"/>
      <c r="AJ14" s="315"/>
      <c r="AK14" s="315"/>
      <c r="AL14" s="315"/>
      <c r="AM14" s="315"/>
      <c r="AN14" s="315">
        <v>1000</v>
      </c>
      <c r="AO14" s="434">
        <f t="shared" si="5"/>
        <v>282500</v>
      </c>
      <c r="AP14" s="201"/>
      <c r="AQ14" s="276"/>
      <c r="AR14" s="276"/>
      <c r="AS14" s="276"/>
      <c r="AT14" s="276"/>
      <c r="AU14" s="276"/>
      <c r="AV14" s="276"/>
      <c r="AW14" s="276"/>
      <c r="AX14" s="276"/>
      <c r="AY14" s="276"/>
    </row>
    <row r="15" spans="1:51" ht="15.75" customHeight="1" x14ac:dyDescent="0.25">
      <c r="A15" s="431" t="s">
        <v>143</v>
      </c>
      <c r="B15" s="528">
        <v>45120</v>
      </c>
      <c r="C15" s="365">
        <v>1125500</v>
      </c>
      <c r="D15" s="440">
        <f t="shared" si="0"/>
        <v>1125500</v>
      </c>
      <c r="E15" s="309"/>
      <c r="F15" s="309"/>
      <c r="G15" s="309"/>
      <c r="H15" s="309"/>
      <c r="I15" s="309">
        <f>'Détail Dépenses'!Y97</f>
        <v>454775</v>
      </c>
      <c r="J15" s="378">
        <f t="shared" si="1"/>
        <v>0.40406486006219455</v>
      </c>
      <c r="K15" s="312">
        <f t="shared" si="2"/>
        <v>670725</v>
      </c>
      <c r="L15" s="312">
        <f>870000-200000</f>
        <v>670000</v>
      </c>
      <c r="M15" s="312">
        <f t="shared" si="3"/>
        <v>-725</v>
      </c>
      <c r="N15" s="432">
        <f t="shared" si="4"/>
        <v>3881750</v>
      </c>
      <c r="O15" s="433"/>
      <c r="P15" s="315"/>
      <c r="Q15" s="315"/>
      <c r="R15" s="315"/>
      <c r="S15" s="315"/>
      <c r="T15" s="315"/>
      <c r="U15" s="315"/>
      <c r="V15" s="315">
        <v>4500</v>
      </c>
      <c r="W15" s="315"/>
      <c r="X15" s="315">
        <v>187500</v>
      </c>
      <c r="Y15" s="315">
        <v>40000</v>
      </c>
      <c r="Z15" s="315"/>
      <c r="AA15" s="315"/>
      <c r="AB15" s="315"/>
      <c r="AC15" s="315"/>
      <c r="AD15" s="315"/>
      <c r="AE15" s="315"/>
      <c r="AF15" s="315">
        <v>500</v>
      </c>
      <c r="AG15" s="315"/>
      <c r="AH15" s="315"/>
      <c r="AI15" s="315"/>
      <c r="AJ15" s="315"/>
      <c r="AK15" s="315"/>
      <c r="AL15" s="315"/>
      <c r="AM15" s="315"/>
      <c r="AN15" s="315">
        <v>2500</v>
      </c>
      <c r="AO15" s="434">
        <f t="shared" si="5"/>
        <v>235000</v>
      </c>
      <c r="AP15" s="201"/>
      <c r="AQ15" s="276"/>
      <c r="AR15" s="276"/>
      <c r="AS15" s="276"/>
      <c r="AT15" s="276"/>
      <c r="AU15" s="276"/>
      <c r="AV15" s="276"/>
      <c r="AW15" s="276"/>
      <c r="AX15" s="276"/>
      <c r="AY15" s="276"/>
    </row>
    <row r="16" spans="1:51" ht="15.75" customHeight="1" x14ac:dyDescent="0.25">
      <c r="A16" s="431" t="s">
        <v>144</v>
      </c>
      <c r="B16" s="528">
        <v>45121</v>
      </c>
      <c r="C16" s="440">
        <v>1189750</v>
      </c>
      <c r="D16" s="440">
        <f t="shared" si="0"/>
        <v>1115750</v>
      </c>
      <c r="E16" s="309">
        <v>74000</v>
      </c>
      <c r="F16" s="309"/>
      <c r="G16" s="309"/>
      <c r="H16" s="309"/>
      <c r="I16" s="309">
        <f>'Détail Dépenses'!Y98</f>
        <v>435550</v>
      </c>
      <c r="J16" s="378">
        <f t="shared" si="1"/>
        <v>0.36608531204034461</v>
      </c>
      <c r="K16" s="312">
        <f t="shared" si="2"/>
        <v>680200</v>
      </c>
      <c r="L16" s="312">
        <f>780000-100000</f>
        <v>680000</v>
      </c>
      <c r="M16" s="312">
        <f t="shared" si="3"/>
        <v>-200</v>
      </c>
      <c r="N16" s="432">
        <f t="shared" si="4"/>
        <v>4561750</v>
      </c>
      <c r="O16" s="433"/>
      <c r="P16" s="315">
        <v>3000</v>
      </c>
      <c r="Q16" s="315"/>
      <c r="R16" s="315"/>
      <c r="S16" s="315"/>
      <c r="T16" s="315"/>
      <c r="U16" s="315"/>
      <c r="V16" s="315">
        <v>9000</v>
      </c>
      <c r="W16" s="315"/>
      <c r="X16" s="315">
        <v>133000</v>
      </c>
      <c r="Y16" s="315"/>
      <c r="Z16" s="315">
        <v>2000</v>
      </c>
      <c r="AA16" s="315"/>
      <c r="AB16" s="315">
        <v>2000</v>
      </c>
      <c r="AC16" s="315"/>
      <c r="AD16" s="315"/>
      <c r="AE16" s="315"/>
      <c r="AF16" s="315"/>
      <c r="AG16" s="315"/>
      <c r="AH16" s="315"/>
      <c r="AI16" s="315">
        <v>500</v>
      </c>
      <c r="AJ16" s="315"/>
      <c r="AK16" s="315"/>
      <c r="AL16" s="315"/>
      <c r="AM16" s="315"/>
      <c r="AN16" s="315">
        <v>3000</v>
      </c>
      <c r="AO16" s="434">
        <f t="shared" si="5"/>
        <v>152500</v>
      </c>
      <c r="AP16" s="201"/>
      <c r="AQ16" s="276"/>
      <c r="AR16" s="276"/>
      <c r="AS16" s="276"/>
      <c r="AT16" s="276"/>
      <c r="AU16" s="276"/>
      <c r="AV16" s="276"/>
      <c r="AW16" s="276"/>
      <c r="AX16" s="276"/>
      <c r="AY16" s="276"/>
    </row>
    <row r="17" spans="1:51" ht="15.75" customHeight="1" x14ac:dyDescent="0.25">
      <c r="A17" s="431" t="s">
        <v>138</v>
      </c>
      <c r="B17" s="528">
        <v>45122</v>
      </c>
      <c r="C17" s="440">
        <v>950750</v>
      </c>
      <c r="D17" s="440">
        <f t="shared" si="0"/>
        <v>945250</v>
      </c>
      <c r="E17" s="309"/>
      <c r="F17" s="309"/>
      <c r="G17" s="309">
        <v>5500</v>
      </c>
      <c r="H17" s="309"/>
      <c r="I17" s="309">
        <f>'Détail Dépenses'!Y99</f>
        <v>382000</v>
      </c>
      <c r="J17" s="378">
        <f t="shared" si="1"/>
        <v>0.40178806205627138</v>
      </c>
      <c r="K17" s="312">
        <f t="shared" si="2"/>
        <v>563250</v>
      </c>
      <c r="L17" s="312">
        <v>563000</v>
      </c>
      <c r="M17" s="312">
        <f t="shared" si="3"/>
        <v>-250</v>
      </c>
      <c r="N17" s="432">
        <f t="shared" si="4"/>
        <v>5124750</v>
      </c>
      <c r="O17" s="433"/>
      <c r="P17" s="315"/>
      <c r="Q17" s="315"/>
      <c r="R17" s="315"/>
      <c r="S17" s="315"/>
      <c r="T17" s="315"/>
      <c r="U17" s="315"/>
      <c r="V17" s="315">
        <v>3500</v>
      </c>
      <c r="W17" s="315"/>
      <c r="X17" s="315">
        <v>176000</v>
      </c>
      <c r="Y17" s="315"/>
      <c r="Z17" s="315">
        <v>2000</v>
      </c>
      <c r="AA17" s="315"/>
      <c r="AB17" s="315"/>
      <c r="AC17" s="315"/>
      <c r="AD17" s="315"/>
      <c r="AE17" s="315"/>
      <c r="AF17" s="315"/>
      <c r="AG17" s="315"/>
      <c r="AH17" s="315"/>
      <c r="AI17" s="315"/>
      <c r="AJ17" s="315"/>
      <c r="AK17" s="315"/>
      <c r="AL17" s="315"/>
      <c r="AM17" s="315"/>
      <c r="AN17" s="315">
        <v>1000</v>
      </c>
      <c r="AO17" s="434">
        <f t="shared" si="5"/>
        <v>182500</v>
      </c>
      <c r="AP17" s="201"/>
      <c r="AQ17" s="276"/>
      <c r="AR17" s="276"/>
      <c r="AS17" s="276"/>
      <c r="AT17" s="276"/>
      <c r="AU17" s="276"/>
      <c r="AV17" s="276"/>
      <c r="AW17" s="276"/>
      <c r="AX17" s="276"/>
      <c r="AY17" s="276"/>
    </row>
    <row r="18" spans="1:51" ht="15.75" customHeight="1" x14ac:dyDescent="0.25">
      <c r="A18" s="435" t="s">
        <v>139</v>
      </c>
      <c r="B18" s="542">
        <v>45123</v>
      </c>
      <c r="C18" s="436">
        <f>932000-59500</f>
        <v>872500</v>
      </c>
      <c r="D18" s="436">
        <f t="shared" si="0"/>
        <v>815500</v>
      </c>
      <c r="E18" s="320">
        <v>57000</v>
      </c>
      <c r="F18" s="320"/>
      <c r="G18" s="320"/>
      <c r="H18" s="320"/>
      <c r="I18" s="320">
        <f>'Détail Dépenses'!Y100</f>
        <v>1038250</v>
      </c>
      <c r="J18" s="367">
        <f t="shared" si="1"/>
        <v>1.1899713467048711</v>
      </c>
      <c r="K18" s="312">
        <f t="shared" si="2"/>
        <v>-222750</v>
      </c>
      <c r="L18" s="323">
        <f>732500-35500-919850</f>
        <v>-222850</v>
      </c>
      <c r="M18" s="323">
        <f t="shared" si="3"/>
        <v>-100</v>
      </c>
      <c r="N18" s="482">
        <f t="shared" si="4"/>
        <v>4901900</v>
      </c>
      <c r="O18" s="437"/>
      <c r="P18" s="327">
        <v>47500</v>
      </c>
      <c r="Q18" s="327"/>
      <c r="R18" s="327"/>
      <c r="S18" s="327">
        <v>12000</v>
      </c>
      <c r="T18" s="327"/>
      <c r="U18" s="327"/>
      <c r="V18" s="327">
        <v>5000</v>
      </c>
      <c r="W18" s="327"/>
      <c r="X18" s="327">
        <v>44500</v>
      </c>
      <c r="Y18" s="327"/>
      <c r="Z18" s="327"/>
      <c r="AA18" s="327"/>
      <c r="AB18" s="327"/>
      <c r="AC18" s="327"/>
      <c r="AD18" s="327"/>
      <c r="AE18" s="327"/>
      <c r="AF18" s="327">
        <v>500</v>
      </c>
      <c r="AG18" s="327"/>
      <c r="AH18" s="327"/>
      <c r="AI18" s="327"/>
      <c r="AJ18" s="327"/>
      <c r="AK18" s="327"/>
      <c r="AL18" s="327"/>
      <c r="AM18" s="327"/>
      <c r="AN18" s="327">
        <v>1000</v>
      </c>
      <c r="AO18" s="438">
        <f t="shared" si="5"/>
        <v>110500</v>
      </c>
      <c r="AP18" s="201"/>
      <c r="AQ18" s="276"/>
      <c r="AR18" s="276"/>
      <c r="AS18" s="276"/>
      <c r="AT18" s="276"/>
      <c r="AU18" s="276"/>
      <c r="AV18" s="276"/>
      <c r="AW18" s="276"/>
      <c r="AX18" s="276"/>
      <c r="AY18" s="276"/>
    </row>
    <row r="19" spans="1:51" ht="15.75" customHeight="1" x14ac:dyDescent="0.25">
      <c r="A19" s="426" t="s">
        <v>140</v>
      </c>
      <c r="B19" s="527">
        <v>45124</v>
      </c>
      <c r="C19" s="358">
        <v>361500</v>
      </c>
      <c r="D19" s="427">
        <f t="shared" si="0"/>
        <v>361500</v>
      </c>
      <c r="E19" s="243"/>
      <c r="F19" s="243"/>
      <c r="G19" s="243"/>
      <c r="H19" s="243"/>
      <c r="I19" s="243">
        <f>'Détail Dépenses'!Y101</f>
        <v>390100</v>
      </c>
      <c r="J19" s="360">
        <f t="shared" si="1"/>
        <v>1.0791147994467496</v>
      </c>
      <c r="K19" s="312">
        <f t="shared" si="2"/>
        <v>-28600</v>
      </c>
      <c r="L19" s="332">
        <f>107500-136500</f>
        <v>-29000</v>
      </c>
      <c r="M19" s="332">
        <f t="shared" si="3"/>
        <v>-400</v>
      </c>
      <c r="N19" s="483">
        <f t="shared" si="4"/>
        <v>4872900</v>
      </c>
      <c r="O19" s="484"/>
      <c r="P19" s="335">
        <v>8000</v>
      </c>
      <c r="Q19" s="335">
        <v>4000</v>
      </c>
      <c r="R19" s="335">
        <v>7500</v>
      </c>
      <c r="S19" s="335"/>
      <c r="T19" s="335"/>
      <c r="U19" s="335"/>
      <c r="V19" s="335">
        <v>2500</v>
      </c>
      <c r="W19" s="335"/>
      <c r="X19" s="335">
        <v>179500</v>
      </c>
      <c r="Y19" s="335"/>
      <c r="Z19" s="335">
        <v>2000</v>
      </c>
      <c r="AA19" s="335"/>
      <c r="AB19" s="335">
        <v>500</v>
      </c>
      <c r="AC19" s="335"/>
      <c r="AD19" s="335"/>
      <c r="AE19" s="335"/>
      <c r="AF19" s="335"/>
      <c r="AG19" s="335"/>
      <c r="AH19" s="335"/>
      <c r="AI19" s="335">
        <v>500</v>
      </c>
      <c r="AJ19" s="335"/>
      <c r="AK19" s="335"/>
      <c r="AL19" s="335"/>
      <c r="AM19" s="335"/>
      <c r="AN19" s="335"/>
      <c r="AO19" s="430">
        <f t="shared" si="5"/>
        <v>204500</v>
      </c>
      <c r="AP19" s="201"/>
      <c r="AQ19" s="276"/>
      <c r="AR19" s="276"/>
      <c r="AS19" s="276"/>
      <c r="AT19" s="276"/>
      <c r="AU19" s="276"/>
      <c r="AV19" s="276"/>
      <c r="AW19" s="276"/>
      <c r="AX19" s="276"/>
      <c r="AY19" s="276"/>
    </row>
    <row r="20" spans="1:51" ht="15.75" customHeight="1" x14ac:dyDescent="0.25">
      <c r="A20" s="431" t="s">
        <v>141</v>
      </c>
      <c r="B20" s="528">
        <v>45125</v>
      </c>
      <c r="C20" s="365">
        <v>539000</v>
      </c>
      <c r="D20" s="440">
        <f t="shared" si="0"/>
        <v>534500</v>
      </c>
      <c r="E20" s="309"/>
      <c r="F20" s="309"/>
      <c r="G20" s="309">
        <v>4500</v>
      </c>
      <c r="H20" s="309"/>
      <c r="I20" s="309">
        <f>'Détail Dépenses'!Y102</f>
        <v>163850</v>
      </c>
      <c r="J20" s="378">
        <f t="shared" si="1"/>
        <v>0.30398886827458255</v>
      </c>
      <c r="K20" s="312">
        <f t="shared" si="2"/>
        <v>370650</v>
      </c>
      <c r="L20" s="312">
        <v>370850</v>
      </c>
      <c r="M20" s="312">
        <f t="shared" si="3"/>
        <v>200</v>
      </c>
      <c r="N20" s="432">
        <f t="shared" si="4"/>
        <v>5243750</v>
      </c>
      <c r="O20" s="437"/>
      <c r="P20" s="315"/>
      <c r="Q20" s="315"/>
      <c r="R20" s="315"/>
      <c r="S20" s="315"/>
      <c r="T20" s="315"/>
      <c r="U20" s="315"/>
      <c r="V20" s="315">
        <f>7000+2500</f>
        <v>9500</v>
      </c>
      <c r="W20" s="315"/>
      <c r="X20" s="315">
        <v>76500</v>
      </c>
      <c r="Y20" s="315"/>
      <c r="Z20" s="315"/>
      <c r="AA20" s="315">
        <v>1500</v>
      </c>
      <c r="AB20" s="315"/>
      <c r="AC20" s="315"/>
      <c r="AD20" s="315"/>
      <c r="AE20" s="315"/>
      <c r="AF20" s="315">
        <v>500</v>
      </c>
      <c r="AG20" s="315"/>
      <c r="AH20" s="315"/>
      <c r="AI20" s="315"/>
      <c r="AJ20" s="315"/>
      <c r="AK20" s="315">
        <v>500</v>
      </c>
      <c r="AL20" s="315">
        <v>2500</v>
      </c>
      <c r="AM20" s="315"/>
      <c r="AN20" s="315"/>
      <c r="AO20" s="434">
        <f t="shared" si="5"/>
        <v>91000</v>
      </c>
      <c r="AP20" s="201"/>
      <c r="AQ20" s="276"/>
      <c r="AR20" s="276"/>
      <c r="AS20" s="276"/>
      <c r="AT20" s="276"/>
      <c r="AU20" s="276"/>
      <c r="AV20" s="276"/>
      <c r="AW20" s="276"/>
      <c r="AX20" s="276"/>
      <c r="AY20" s="276"/>
    </row>
    <row r="21" spans="1:51" ht="15.75" customHeight="1" x14ac:dyDescent="0.25">
      <c r="A21" s="431" t="s">
        <v>142</v>
      </c>
      <c r="B21" s="528">
        <v>45126</v>
      </c>
      <c r="C21" s="440">
        <v>909000</v>
      </c>
      <c r="D21" s="440">
        <f t="shared" si="0"/>
        <v>909000</v>
      </c>
      <c r="E21" s="309"/>
      <c r="F21" s="309"/>
      <c r="G21" s="309"/>
      <c r="H21" s="309"/>
      <c r="I21" s="309">
        <f>'Détail Dépenses'!Y103</f>
        <v>971150</v>
      </c>
      <c r="J21" s="378">
        <f t="shared" si="1"/>
        <v>1.0683718371837183</v>
      </c>
      <c r="K21" s="312">
        <f t="shared" si="2"/>
        <v>-62150</v>
      </c>
      <c r="L21" s="312">
        <f>802650-70000-735000-60000</f>
        <v>-62350</v>
      </c>
      <c r="M21" s="312">
        <f t="shared" si="3"/>
        <v>-200</v>
      </c>
      <c r="N21" s="432">
        <f t="shared" si="4"/>
        <v>5181400</v>
      </c>
      <c r="O21" s="429"/>
      <c r="P21" s="315">
        <v>10500</v>
      </c>
      <c r="Q21" s="315">
        <v>50500</v>
      </c>
      <c r="R21" s="315">
        <v>17500</v>
      </c>
      <c r="S21" s="315"/>
      <c r="T21" s="315"/>
      <c r="U21" s="315">
        <v>45000</v>
      </c>
      <c r="V21" s="315"/>
      <c r="W21" s="315">
        <v>8000</v>
      </c>
      <c r="X21" s="315">
        <v>217500</v>
      </c>
      <c r="Y21" s="315"/>
      <c r="Z21" s="315"/>
      <c r="AA21" s="315"/>
      <c r="AB21" s="315">
        <v>500</v>
      </c>
      <c r="AC21" s="315"/>
      <c r="AD21" s="315"/>
      <c r="AE21" s="315">
        <v>500</v>
      </c>
      <c r="AF21" s="315">
        <v>500</v>
      </c>
      <c r="AG21" s="315"/>
      <c r="AH21" s="315"/>
      <c r="AI21" s="315">
        <v>2000</v>
      </c>
      <c r="AJ21" s="315"/>
      <c r="AK21" s="315">
        <v>500</v>
      </c>
      <c r="AL21" s="315"/>
      <c r="AM21" s="315"/>
      <c r="AN21" s="315">
        <v>2500</v>
      </c>
      <c r="AO21" s="434">
        <f t="shared" si="5"/>
        <v>355500</v>
      </c>
      <c r="AP21" s="201"/>
      <c r="AQ21" s="276"/>
      <c r="AR21" s="276"/>
      <c r="AS21" s="276"/>
      <c r="AT21" s="276"/>
      <c r="AU21" s="276"/>
      <c r="AV21" s="276"/>
      <c r="AW21" s="276"/>
      <c r="AX21" s="276"/>
      <c r="AY21" s="276"/>
    </row>
    <row r="22" spans="1:51" ht="15.75" customHeight="1" x14ac:dyDescent="0.25">
      <c r="A22" s="431" t="s">
        <v>143</v>
      </c>
      <c r="B22" s="528">
        <v>45127</v>
      </c>
      <c r="C22" s="440">
        <v>947750</v>
      </c>
      <c r="D22" s="440">
        <f t="shared" si="0"/>
        <v>947750</v>
      </c>
      <c r="E22" s="309"/>
      <c r="F22" s="309"/>
      <c r="G22" s="309"/>
      <c r="H22" s="309"/>
      <c r="I22" s="309">
        <f>'Détail Dépenses'!Y104</f>
        <v>241300</v>
      </c>
      <c r="J22" s="378">
        <f t="shared" si="1"/>
        <v>0.25460300712213135</v>
      </c>
      <c r="K22" s="312">
        <f t="shared" si="2"/>
        <v>706450</v>
      </c>
      <c r="L22" s="312">
        <v>706200</v>
      </c>
      <c r="M22" s="312">
        <f t="shared" si="3"/>
        <v>-250</v>
      </c>
      <c r="N22" s="432">
        <f t="shared" si="4"/>
        <v>5887600</v>
      </c>
      <c r="O22" s="433"/>
      <c r="P22" s="315"/>
      <c r="Q22" s="315"/>
      <c r="R22" s="315"/>
      <c r="S22" s="315"/>
      <c r="T22" s="315"/>
      <c r="U22" s="315"/>
      <c r="V22" s="315">
        <v>4500</v>
      </c>
      <c r="W22" s="315"/>
      <c r="X22" s="315">
        <v>229500</v>
      </c>
      <c r="Y22" s="315">
        <v>40000</v>
      </c>
      <c r="Z22" s="315"/>
      <c r="AA22" s="315"/>
      <c r="AB22" s="315"/>
      <c r="AC22" s="315"/>
      <c r="AD22" s="315"/>
      <c r="AE22" s="315"/>
      <c r="AF22" s="315">
        <v>500</v>
      </c>
      <c r="AG22" s="315"/>
      <c r="AH22" s="315"/>
      <c r="AI22" s="315"/>
      <c r="AJ22" s="315"/>
      <c r="AK22" s="315"/>
      <c r="AL22" s="315"/>
      <c r="AM22" s="315"/>
      <c r="AN22" s="315">
        <v>2500</v>
      </c>
      <c r="AO22" s="434">
        <f t="shared" si="5"/>
        <v>277000</v>
      </c>
      <c r="AP22" s="201"/>
      <c r="AQ22" s="276"/>
      <c r="AR22" s="276"/>
      <c r="AS22" s="276"/>
      <c r="AT22" s="276"/>
      <c r="AU22" s="276"/>
      <c r="AV22" s="276"/>
      <c r="AW22" s="276"/>
      <c r="AX22" s="276"/>
      <c r="AY22" s="276"/>
    </row>
    <row r="23" spans="1:51" ht="15.75" customHeight="1" x14ac:dyDescent="0.25">
      <c r="A23" s="431" t="s">
        <v>144</v>
      </c>
      <c r="B23" s="528">
        <v>45128</v>
      </c>
      <c r="C23" s="440">
        <v>1934000</v>
      </c>
      <c r="D23" s="440">
        <f t="shared" si="0"/>
        <v>1910500</v>
      </c>
      <c r="E23" s="309"/>
      <c r="F23" s="309"/>
      <c r="G23" s="309">
        <v>14000</v>
      </c>
      <c r="H23" s="309">
        <v>9500</v>
      </c>
      <c r="I23" s="309">
        <f>'Détail Dépenses'!Y105</f>
        <v>383300</v>
      </c>
      <c r="J23" s="378">
        <f t="shared" si="1"/>
        <v>0.19819027921406412</v>
      </c>
      <c r="K23" s="312">
        <f t="shared" si="2"/>
        <v>1527200</v>
      </c>
      <c r="L23" s="312">
        <f>1754000-226800</f>
        <v>1527200</v>
      </c>
      <c r="M23" s="312">
        <f t="shared" si="3"/>
        <v>0</v>
      </c>
      <c r="N23" s="432">
        <f t="shared" si="4"/>
        <v>7414800</v>
      </c>
      <c r="O23" s="433"/>
      <c r="P23" s="315">
        <v>6000</v>
      </c>
      <c r="Q23" s="315">
        <v>30500</v>
      </c>
      <c r="R23" s="315"/>
      <c r="S23" s="315">
        <v>21000</v>
      </c>
      <c r="T23" s="315"/>
      <c r="U23" s="315"/>
      <c r="V23" s="315">
        <v>4500</v>
      </c>
      <c r="W23" s="315"/>
      <c r="X23" s="315">
        <v>174500</v>
      </c>
      <c r="Y23" s="315"/>
      <c r="Z23" s="315">
        <v>2000</v>
      </c>
      <c r="AA23" s="315"/>
      <c r="AB23" s="315">
        <v>2000</v>
      </c>
      <c r="AC23" s="315"/>
      <c r="AD23" s="315"/>
      <c r="AE23" s="315"/>
      <c r="AF23" s="315">
        <v>2500</v>
      </c>
      <c r="AG23" s="315"/>
      <c r="AH23" s="315"/>
      <c r="AI23" s="315"/>
      <c r="AJ23" s="315"/>
      <c r="AK23" s="315"/>
      <c r="AL23" s="315"/>
      <c r="AM23" s="315"/>
      <c r="AN23" s="315">
        <v>2500</v>
      </c>
      <c r="AO23" s="434">
        <f t="shared" si="5"/>
        <v>245500</v>
      </c>
      <c r="AP23" s="201"/>
      <c r="AQ23" s="276"/>
      <c r="AR23" s="276"/>
      <c r="AS23" s="276"/>
      <c r="AT23" s="276"/>
      <c r="AU23" s="276"/>
      <c r="AV23" s="276"/>
      <c r="AW23" s="276"/>
      <c r="AX23" s="276"/>
      <c r="AY23" s="276"/>
    </row>
    <row r="24" spans="1:51" ht="15.75" customHeight="1" x14ac:dyDescent="0.25">
      <c r="A24" s="431" t="s">
        <v>138</v>
      </c>
      <c r="B24" s="528">
        <v>45129</v>
      </c>
      <c r="C24" s="365">
        <v>1042750</v>
      </c>
      <c r="D24" s="440">
        <f t="shared" si="0"/>
        <v>1036750</v>
      </c>
      <c r="E24" s="309"/>
      <c r="F24" s="309"/>
      <c r="G24" s="309">
        <v>6000</v>
      </c>
      <c r="H24" s="309"/>
      <c r="I24" s="309">
        <f>'Détail Dépenses'!Y106</f>
        <v>348750</v>
      </c>
      <c r="J24" s="378">
        <f t="shared" si="1"/>
        <v>0.33445216974346681</v>
      </c>
      <c r="K24" s="312">
        <f t="shared" si="2"/>
        <v>688000</v>
      </c>
      <c r="L24" s="312">
        <f>743000-55000</f>
        <v>688000</v>
      </c>
      <c r="M24" s="312">
        <f t="shared" si="3"/>
        <v>0</v>
      </c>
      <c r="N24" s="432">
        <f t="shared" si="4"/>
        <v>8102800</v>
      </c>
      <c r="O24" s="433"/>
      <c r="P24" s="315">
        <v>11000</v>
      </c>
      <c r="Q24" s="315">
        <v>19500</v>
      </c>
      <c r="R24" s="315"/>
      <c r="S24" s="315">
        <v>16000</v>
      </c>
      <c r="T24" s="315"/>
      <c r="U24" s="315"/>
      <c r="V24" s="315">
        <v>3500</v>
      </c>
      <c r="W24" s="315">
        <v>4500</v>
      </c>
      <c r="X24" s="315">
        <v>139000</v>
      </c>
      <c r="Y24" s="315"/>
      <c r="Z24" s="315">
        <v>2000</v>
      </c>
      <c r="AA24" s="315"/>
      <c r="AB24" s="315"/>
      <c r="AC24" s="315"/>
      <c r="AD24" s="315"/>
      <c r="AE24" s="315"/>
      <c r="AF24" s="315">
        <v>2500</v>
      </c>
      <c r="AG24" s="315"/>
      <c r="AH24" s="315"/>
      <c r="AI24" s="315"/>
      <c r="AJ24" s="315"/>
      <c r="AK24" s="315"/>
      <c r="AL24" s="315"/>
      <c r="AM24" s="315"/>
      <c r="AN24" s="315">
        <v>2500</v>
      </c>
      <c r="AO24" s="434">
        <f t="shared" si="5"/>
        <v>200500</v>
      </c>
      <c r="AP24" s="201"/>
      <c r="AQ24" s="276"/>
      <c r="AR24" s="276"/>
      <c r="AS24" s="276"/>
      <c r="AT24" s="276"/>
      <c r="AU24" s="276"/>
      <c r="AV24" s="276"/>
      <c r="AW24" s="276"/>
      <c r="AX24" s="276"/>
      <c r="AY24" s="276"/>
    </row>
    <row r="25" spans="1:51" ht="15.75" customHeight="1" x14ac:dyDescent="0.25">
      <c r="A25" s="435" t="s">
        <v>139</v>
      </c>
      <c r="B25" s="542">
        <v>45130</v>
      </c>
      <c r="C25" s="371">
        <v>1412000</v>
      </c>
      <c r="D25" s="436">
        <f t="shared" si="0"/>
        <v>1356500</v>
      </c>
      <c r="E25" s="320"/>
      <c r="F25" s="320"/>
      <c r="G25" s="320">
        <v>5500</v>
      </c>
      <c r="H25" s="320">
        <v>50000</v>
      </c>
      <c r="I25" s="320">
        <f>'Détail Dépenses'!Y107</f>
        <v>1801025</v>
      </c>
      <c r="J25" s="367">
        <f t="shared" si="1"/>
        <v>1.2755134560906516</v>
      </c>
      <c r="K25" s="312">
        <f t="shared" si="2"/>
        <v>-444525</v>
      </c>
      <c r="L25" s="323">
        <f>993000-50000-8000-1379500</f>
        <v>-444500</v>
      </c>
      <c r="M25" s="323">
        <f t="shared" si="3"/>
        <v>25</v>
      </c>
      <c r="N25" s="482">
        <f t="shared" si="4"/>
        <v>7658300</v>
      </c>
      <c r="O25" s="437"/>
      <c r="P25" s="327"/>
      <c r="Q25" s="327"/>
      <c r="R25" s="327"/>
      <c r="S25" s="327"/>
      <c r="T25" s="327"/>
      <c r="U25" s="327"/>
      <c r="V25" s="327">
        <v>13000</v>
      </c>
      <c r="W25" s="327"/>
      <c r="X25" s="327">
        <v>116500</v>
      </c>
      <c r="Y25" s="327"/>
      <c r="Z25" s="327"/>
      <c r="AA25" s="327"/>
      <c r="AB25" s="327">
        <v>2000</v>
      </c>
      <c r="AC25" s="327"/>
      <c r="AD25" s="327"/>
      <c r="AE25" s="327"/>
      <c r="AF25" s="327">
        <v>2000</v>
      </c>
      <c r="AG25" s="327"/>
      <c r="AH25" s="327"/>
      <c r="AI25" s="327"/>
      <c r="AJ25" s="327"/>
      <c r="AK25" s="327"/>
      <c r="AL25" s="327"/>
      <c r="AM25" s="327"/>
      <c r="AN25" s="327">
        <v>2500</v>
      </c>
      <c r="AO25" s="438">
        <f t="shared" si="5"/>
        <v>136000</v>
      </c>
      <c r="AP25" s="201"/>
      <c r="AQ25" s="276"/>
      <c r="AR25" s="276"/>
      <c r="AS25" s="276"/>
      <c r="AT25" s="276"/>
      <c r="AU25" s="276"/>
      <c r="AV25" s="276"/>
      <c r="AW25" s="276"/>
      <c r="AX25" s="276"/>
      <c r="AY25" s="276"/>
    </row>
    <row r="26" spans="1:51" ht="15.75" customHeight="1" x14ac:dyDescent="0.25">
      <c r="A26" s="426" t="s">
        <v>140</v>
      </c>
      <c r="B26" s="527">
        <v>45131</v>
      </c>
      <c r="C26" s="427">
        <v>343500</v>
      </c>
      <c r="D26" s="427">
        <f t="shared" si="0"/>
        <v>343500</v>
      </c>
      <c r="E26" s="243"/>
      <c r="F26" s="243"/>
      <c r="G26" s="243"/>
      <c r="H26" s="243"/>
      <c r="I26" s="243">
        <f>'Détail Dépenses'!Y108</f>
        <v>205650</v>
      </c>
      <c r="J26" s="360">
        <f t="shared" si="1"/>
        <v>0.59868995633187772</v>
      </c>
      <c r="K26" s="312">
        <f t="shared" si="2"/>
        <v>137850</v>
      </c>
      <c r="L26" s="332">
        <v>137800</v>
      </c>
      <c r="M26" s="332">
        <f t="shared" si="3"/>
        <v>-50</v>
      </c>
      <c r="N26" s="483">
        <f t="shared" si="4"/>
        <v>7796100</v>
      </c>
      <c r="O26" s="484"/>
      <c r="P26" s="335">
        <f>8000+6250</f>
        <v>14250</v>
      </c>
      <c r="Q26" s="335">
        <v>500</v>
      </c>
      <c r="R26" s="335">
        <f>12500+6250</f>
        <v>18750</v>
      </c>
      <c r="S26" s="335"/>
      <c r="T26" s="335"/>
      <c r="U26" s="335"/>
      <c r="V26" s="335">
        <v>3000</v>
      </c>
      <c r="W26" s="335"/>
      <c r="X26" s="335">
        <v>271500</v>
      </c>
      <c r="Y26" s="335"/>
      <c r="Z26" s="335">
        <v>2000</v>
      </c>
      <c r="AA26" s="335"/>
      <c r="AB26" s="335">
        <v>500</v>
      </c>
      <c r="AC26" s="335"/>
      <c r="AD26" s="335"/>
      <c r="AE26" s="335"/>
      <c r="AF26" s="335"/>
      <c r="AG26" s="335"/>
      <c r="AH26" s="335"/>
      <c r="AI26" s="335"/>
      <c r="AJ26" s="335"/>
      <c r="AK26" s="335"/>
      <c r="AL26" s="335"/>
      <c r="AM26" s="335"/>
      <c r="AN26" s="335">
        <v>2000</v>
      </c>
      <c r="AO26" s="430">
        <f t="shared" si="5"/>
        <v>312500</v>
      </c>
      <c r="AP26" s="201"/>
      <c r="AQ26" s="276"/>
      <c r="AR26" s="276"/>
      <c r="AS26" s="276"/>
      <c r="AT26" s="276"/>
      <c r="AU26" s="276"/>
      <c r="AV26" s="276"/>
      <c r="AW26" s="276"/>
      <c r="AX26" s="276"/>
      <c r="AY26" s="276"/>
    </row>
    <row r="27" spans="1:51" ht="15.75" customHeight="1" x14ac:dyDescent="0.25">
      <c r="A27" s="431" t="s">
        <v>141</v>
      </c>
      <c r="B27" s="528">
        <v>45132</v>
      </c>
      <c r="C27" s="440">
        <v>418750</v>
      </c>
      <c r="D27" s="440">
        <f t="shared" si="0"/>
        <v>418750</v>
      </c>
      <c r="E27" s="309"/>
      <c r="F27" s="309"/>
      <c r="G27" s="309"/>
      <c r="H27" s="309"/>
      <c r="I27" s="309">
        <f>'Détail Dépenses'!Y109</f>
        <v>401000</v>
      </c>
      <c r="J27" s="378">
        <f t="shared" si="1"/>
        <v>0.95761194029850749</v>
      </c>
      <c r="K27" s="312">
        <f t="shared" si="2"/>
        <v>17750</v>
      </c>
      <c r="L27" s="312">
        <f>317000-200000-100000</f>
        <v>17000</v>
      </c>
      <c r="M27" s="312">
        <f t="shared" si="3"/>
        <v>-750</v>
      </c>
      <c r="N27" s="432">
        <f t="shared" si="4"/>
        <v>7813100</v>
      </c>
      <c r="O27" s="437"/>
      <c r="P27" s="315">
        <v>4000</v>
      </c>
      <c r="Q27" s="315"/>
      <c r="R27" s="315"/>
      <c r="S27" s="315"/>
      <c r="T27" s="315"/>
      <c r="U27" s="315"/>
      <c r="V27" s="315">
        <f>5500+27500</f>
        <v>33000</v>
      </c>
      <c r="W27" s="315"/>
      <c r="X27" s="315">
        <v>44500</v>
      </c>
      <c r="Y27" s="315"/>
      <c r="Z27" s="315"/>
      <c r="AA27" s="315">
        <v>2500</v>
      </c>
      <c r="AB27" s="315"/>
      <c r="AC27" s="315"/>
      <c r="AD27" s="315"/>
      <c r="AE27" s="315"/>
      <c r="AF27" s="315">
        <v>500</v>
      </c>
      <c r="AG27" s="315"/>
      <c r="AH27" s="315"/>
      <c r="AI27" s="315">
        <f>500+1000</f>
        <v>1500</v>
      </c>
      <c r="AJ27" s="315"/>
      <c r="AK27" s="315"/>
      <c r="AL27" s="315">
        <f>2500+500</f>
        <v>3000</v>
      </c>
      <c r="AM27" s="315"/>
      <c r="AN27" s="315"/>
      <c r="AO27" s="434">
        <f t="shared" si="5"/>
        <v>89000</v>
      </c>
      <c r="AP27" s="201"/>
      <c r="AQ27" s="276"/>
      <c r="AR27" s="276"/>
      <c r="AS27" s="276"/>
      <c r="AT27" s="276"/>
      <c r="AU27" s="276"/>
      <c r="AV27" s="276"/>
      <c r="AW27" s="276"/>
      <c r="AX27" s="276"/>
      <c r="AY27" s="276"/>
    </row>
    <row r="28" spans="1:51" ht="15.75" customHeight="1" x14ac:dyDescent="0.25">
      <c r="A28" s="431" t="s">
        <v>142</v>
      </c>
      <c r="B28" s="528">
        <v>45133</v>
      </c>
      <c r="C28" s="440">
        <v>395000</v>
      </c>
      <c r="D28" s="440">
        <f t="shared" si="0"/>
        <v>384500</v>
      </c>
      <c r="E28" s="309"/>
      <c r="F28" s="309"/>
      <c r="G28" s="309">
        <f>7500+3000</f>
        <v>10500</v>
      </c>
      <c r="H28" s="309"/>
      <c r="I28" s="309">
        <f>'Détail Dépenses'!Y110</f>
        <v>295700</v>
      </c>
      <c r="J28" s="378">
        <f t="shared" si="1"/>
        <v>0.74860759493670881</v>
      </c>
      <c r="K28" s="312">
        <f t="shared" si="2"/>
        <v>88800</v>
      </c>
      <c r="L28" s="312">
        <v>88000</v>
      </c>
      <c r="M28" s="312">
        <f t="shared" si="3"/>
        <v>-800</v>
      </c>
      <c r="N28" s="432">
        <f t="shared" si="4"/>
        <v>7901100</v>
      </c>
      <c r="O28" s="429"/>
      <c r="P28" s="315"/>
      <c r="Q28" s="315"/>
      <c r="R28" s="315"/>
      <c r="S28" s="315"/>
      <c r="T28" s="315"/>
      <c r="U28" s="315"/>
      <c r="V28" s="315">
        <f>6500+6500</f>
        <v>13000</v>
      </c>
      <c r="W28" s="315"/>
      <c r="X28" s="315">
        <v>89500</v>
      </c>
      <c r="Y28" s="315">
        <v>14500</v>
      </c>
      <c r="Z28" s="315"/>
      <c r="AA28" s="315"/>
      <c r="AB28" s="315">
        <v>500</v>
      </c>
      <c r="AC28" s="315"/>
      <c r="AD28" s="315"/>
      <c r="AE28" s="315">
        <v>500</v>
      </c>
      <c r="AF28" s="315"/>
      <c r="AG28" s="315"/>
      <c r="AH28" s="315"/>
      <c r="AI28" s="315"/>
      <c r="AJ28" s="315"/>
      <c r="AK28" s="315">
        <v>500</v>
      </c>
      <c r="AL28" s="315"/>
      <c r="AM28" s="315"/>
      <c r="AN28" s="315">
        <v>2500</v>
      </c>
      <c r="AO28" s="434">
        <f t="shared" si="5"/>
        <v>121000</v>
      </c>
      <c r="AP28" s="201"/>
      <c r="AQ28" s="276"/>
      <c r="AR28" s="276"/>
      <c r="AS28" s="276"/>
      <c r="AT28" s="276"/>
      <c r="AU28" s="276"/>
      <c r="AV28" s="276"/>
      <c r="AW28" s="276"/>
      <c r="AX28" s="276"/>
      <c r="AY28" s="276"/>
    </row>
    <row r="29" spans="1:51" ht="15.75" customHeight="1" x14ac:dyDescent="0.25">
      <c r="A29" s="431" t="s">
        <v>143</v>
      </c>
      <c r="B29" s="528">
        <v>45134</v>
      </c>
      <c r="C29" s="365">
        <v>1350500</v>
      </c>
      <c r="D29" s="440">
        <f t="shared" si="0"/>
        <v>1350500</v>
      </c>
      <c r="E29" s="309"/>
      <c r="F29" s="309"/>
      <c r="G29" s="309"/>
      <c r="H29" s="309"/>
      <c r="I29" s="309">
        <f>'Détail Dépenses'!Y111</f>
        <v>106100</v>
      </c>
      <c r="J29" s="378">
        <f t="shared" si="1"/>
        <v>7.8563495001851169E-2</v>
      </c>
      <c r="K29" s="312">
        <f t="shared" si="2"/>
        <v>1244400</v>
      </c>
      <c r="L29" s="312">
        <v>1244200</v>
      </c>
      <c r="M29" s="312">
        <f t="shared" si="3"/>
        <v>-200</v>
      </c>
      <c r="N29" s="432">
        <f t="shared" si="4"/>
        <v>9145300</v>
      </c>
      <c r="O29" s="433"/>
      <c r="P29" s="315"/>
      <c r="Q29" s="315"/>
      <c r="R29" s="315">
        <v>95000</v>
      </c>
      <c r="S29" s="315"/>
      <c r="T29" s="315"/>
      <c r="U29" s="315"/>
      <c r="V29" s="315">
        <v>1500</v>
      </c>
      <c r="W29" s="315"/>
      <c r="X29" s="315">
        <v>44500</v>
      </c>
      <c r="Y29" s="315">
        <v>40000</v>
      </c>
      <c r="Z29" s="315"/>
      <c r="AA29" s="315"/>
      <c r="AB29" s="315"/>
      <c r="AC29" s="315"/>
      <c r="AD29" s="315"/>
      <c r="AE29" s="315"/>
      <c r="AF29" s="315">
        <v>500</v>
      </c>
      <c r="AG29" s="315"/>
      <c r="AH29" s="315"/>
      <c r="AI29" s="315"/>
      <c r="AJ29" s="315"/>
      <c r="AK29" s="315"/>
      <c r="AL29" s="315"/>
      <c r="AM29" s="315"/>
      <c r="AN29" s="315">
        <v>2500</v>
      </c>
      <c r="AO29" s="434">
        <f t="shared" si="5"/>
        <v>184000</v>
      </c>
      <c r="AP29" s="201"/>
      <c r="AQ29" s="276"/>
      <c r="AR29" s="276"/>
      <c r="AS29" s="276"/>
      <c r="AT29" s="276"/>
      <c r="AU29" s="276"/>
      <c r="AV29" s="276"/>
      <c r="AW29" s="276"/>
      <c r="AX29" s="276"/>
      <c r="AY29" s="276"/>
    </row>
    <row r="30" spans="1:51" ht="15.75" customHeight="1" x14ac:dyDescent="0.25">
      <c r="A30" s="431" t="s">
        <v>144</v>
      </c>
      <c r="B30" s="528">
        <v>45135</v>
      </c>
      <c r="C30" s="365">
        <v>1633250</v>
      </c>
      <c r="D30" s="440">
        <f t="shared" si="0"/>
        <v>1633250</v>
      </c>
      <c r="E30" s="309"/>
      <c r="F30" s="309"/>
      <c r="G30" s="309"/>
      <c r="H30" s="309"/>
      <c r="I30" s="309">
        <f>'Détail Dépenses'!Y112</f>
        <v>1259800</v>
      </c>
      <c r="J30" s="378">
        <f t="shared" si="1"/>
        <v>0.77134547681004129</v>
      </c>
      <c r="K30" s="312">
        <f t="shared" si="2"/>
        <v>373450</v>
      </c>
      <c r="L30" s="312">
        <f>1374600-812000-79200-60000-50000</f>
        <v>373400</v>
      </c>
      <c r="M30" s="312">
        <f t="shared" si="3"/>
        <v>-50</v>
      </c>
      <c r="N30" s="432">
        <f t="shared" si="4"/>
        <v>9518700</v>
      </c>
      <c r="O30" s="433"/>
      <c r="P30" s="315">
        <f>10000+28500</f>
        <v>38500</v>
      </c>
      <c r="Q30" s="315">
        <v>5000</v>
      </c>
      <c r="R30" s="315">
        <v>64000</v>
      </c>
      <c r="S30" s="315"/>
      <c r="T30" s="315"/>
      <c r="U30" s="315"/>
      <c r="V30" s="315">
        <f>40000+4000</f>
        <v>44000</v>
      </c>
      <c r="W30" s="315"/>
      <c r="X30" s="315">
        <v>221000</v>
      </c>
      <c r="Y30" s="315"/>
      <c r="Z30" s="315">
        <v>2000</v>
      </c>
      <c r="AA30" s="315"/>
      <c r="AB30" s="315">
        <v>2000</v>
      </c>
      <c r="AC30" s="315"/>
      <c r="AD30" s="315"/>
      <c r="AE30" s="315"/>
      <c r="AF30" s="315">
        <v>500</v>
      </c>
      <c r="AG30" s="315"/>
      <c r="AH30" s="315"/>
      <c r="AI30" s="315"/>
      <c r="AJ30" s="315"/>
      <c r="AK30" s="315">
        <v>500</v>
      </c>
      <c r="AL30" s="315"/>
      <c r="AM30" s="315"/>
      <c r="AN30" s="315">
        <v>2500</v>
      </c>
      <c r="AO30" s="434">
        <f t="shared" si="5"/>
        <v>380000</v>
      </c>
      <c r="AP30" s="201"/>
      <c r="AQ30" s="276"/>
      <c r="AR30" s="276"/>
      <c r="AS30" s="276"/>
      <c r="AT30" s="276"/>
      <c r="AU30" s="276"/>
      <c r="AV30" s="276"/>
      <c r="AW30" s="276"/>
      <c r="AX30" s="276"/>
      <c r="AY30" s="276"/>
    </row>
    <row r="31" spans="1:51" ht="15.75" customHeight="1" x14ac:dyDescent="0.25">
      <c r="A31" s="431" t="s">
        <v>138</v>
      </c>
      <c r="B31" s="528">
        <v>45136</v>
      </c>
      <c r="C31" s="440">
        <v>1259750</v>
      </c>
      <c r="D31" s="440">
        <f t="shared" si="0"/>
        <v>1251750</v>
      </c>
      <c r="E31" s="309"/>
      <c r="F31" s="309"/>
      <c r="G31" s="309">
        <v>8000</v>
      </c>
      <c r="H31" s="309"/>
      <c r="I31" s="309">
        <f>'Détail Dépenses'!Y113</f>
        <v>205250</v>
      </c>
      <c r="J31" s="378">
        <f t="shared" si="1"/>
        <v>0.16292915260964477</v>
      </c>
      <c r="K31" s="312">
        <f t="shared" si="2"/>
        <v>1046500</v>
      </c>
      <c r="L31" s="312">
        <v>1046500</v>
      </c>
      <c r="M31" s="312">
        <f t="shared" si="3"/>
        <v>0</v>
      </c>
      <c r="N31" s="432">
        <f t="shared" si="4"/>
        <v>10565200</v>
      </c>
      <c r="O31" s="433"/>
      <c r="P31" s="315"/>
      <c r="Q31" s="315"/>
      <c r="R31" s="315"/>
      <c r="S31" s="315">
        <v>6500</v>
      </c>
      <c r="T31" s="315"/>
      <c r="U31" s="315"/>
      <c r="V31" s="315">
        <f>3500+20000</f>
        <v>23500</v>
      </c>
      <c r="W31" s="315"/>
      <c r="X31" s="315">
        <v>81000</v>
      </c>
      <c r="Y31" s="315"/>
      <c r="Z31" s="315"/>
      <c r="AA31" s="315"/>
      <c r="AB31" s="315">
        <v>500</v>
      </c>
      <c r="AC31" s="315"/>
      <c r="AD31" s="315"/>
      <c r="AE31" s="315"/>
      <c r="AF31" s="315">
        <v>500</v>
      </c>
      <c r="AG31" s="315"/>
      <c r="AH31" s="315"/>
      <c r="AI31" s="315"/>
      <c r="AJ31" s="315"/>
      <c r="AK31" s="315"/>
      <c r="AL31" s="315"/>
      <c r="AM31" s="315"/>
      <c r="AN31" s="315">
        <v>1000</v>
      </c>
      <c r="AO31" s="434">
        <f t="shared" si="5"/>
        <v>113000</v>
      </c>
      <c r="AP31" s="201"/>
      <c r="AQ31" s="276"/>
      <c r="AR31" s="276"/>
      <c r="AS31" s="276"/>
      <c r="AT31" s="276"/>
      <c r="AU31" s="276"/>
      <c r="AV31" s="276"/>
      <c r="AW31" s="276"/>
      <c r="AX31" s="276"/>
      <c r="AY31" s="276"/>
    </row>
    <row r="32" spans="1:51" ht="15.75" customHeight="1" x14ac:dyDescent="0.25">
      <c r="A32" s="435" t="s">
        <v>139</v>
      </c>
      <c r="B32" s="542">
        <v>45137</v>
      </c>
      <c r="C32" s="436">
        <v>1497000</v>
      </c>
      <c r="D32" s="436">
        <f t="shared" si="0"/>
        <v>1423500</v>
      </c>
      <c r="E32" s="320">
        <v>62000</v>
      </c>
      <c r="F32" s="320"/>
      <c r="G32" s="320">
        <v>11500</v>
      </c>
      <c r="H32" s="320"/>
      <c r="I32" s="320">
        <f>'Détail Dépenses'!Y114</f>
        <v>2014850</v>
      </c>
      <c r="J32" s="378">
        <f t="shared" si="1"/>
        <v>1.3459251837007349</v>
      </c>
      <c r="K32" s="323">
        <f t="shared" si="2"/>
        <v>-591350</v>
      </c>
      <c r="L32" s="323">
        <f>1188500-45000-150000-31000-5000-1499150-50000</f>
        <v>-591650</v>
      </c>
      <c r="M32" s="323">
        <f t="shared" si="3"/>
        <v>-300</v>
      </c>
      <c r="N32" s="482">
        <f t="shared" si="4"/>
        <v>9973550</v>
      </c>
      <c r="O32" s="437"/>
      <c r="P32" s="327">
        <f>70500+15000</f>
        <v>85500</v>
      </c>
      <c r="Q32" s="327"/>
      <c r="R32" s="327"/>
      <c r="S32" s="327">
        <v>15000</v>
      </c>
      <c r="T32" s="327"/>
      <c r="U32" s="327"/>
      <c r="V32" s="327">
        <f>10000</f>
        <v>10000</v>
      </c>
      <c r="W32" s="327"/>
      <c r="X32" s="327">
        <v>214500</v>
      </c>
      <c r="Y32" s="327">
        <v>167500</v>
      </c>
      <c r="Z32" s="327">
        <v>2500</v>
      </c>
      <c r="AA32" s="327"/>
      <c r="AB32" s="327">
        <v>1000</v>
      </c>
      <c r="AC32" s="327"/>
      <c r="AD32" s="327"/>
      <c r="AE32" s="327"/>
      <c r="AF32" s="327">
        <v>500</v>
      </c>
      <c r="AG32" s="327">
        <v>500</v>
      </c>
      <c r="AH32" s="327"/>
      <c r="AI32" s="327"/>
      <c r="AJ32" s="327"/>
      <c r="AK32" s="327">
        <v>500</v>
      </c>
      <c r="AL32" s="327"/>
      <c r="AM32" s="327">
        <v>30000</v>
      </c>
      <c r="AN32" s="327">
        <v>1000</v>
      </c>
      <c r="AO32" s="438">
        <f t="shared" si="5"/>
        <v>528500</v>
      </c>
      <c r="AP32" s="201"/>
      <c r="AQ32" s="276"/>
      <c r="AR32" s="276"/>
      <c r="AS32" s="276"/>
      <c r="AT32" s="276"/>
      <c r="AU32" s="276"/>
      <c r="AV32" s="276"/>
      <c r="AW32" s="276"/>
      <c r="AX32" s="276"/>
      <c r="AY32" s="276"/>
    </row>
    <row r="33" spans="1:51" ht="15.75" customHeight="1" x14ac:dyDescent="0.25">
      <c r="A33" s="442" t="s">
        <v>140</v>
      </c>
      <c r="B33" s="527">
        <v>45138</v>
      </c>
      <c r="C33" s="427">
        <v>405750</v>
      </c>
      <c r="D33" s="427">
        <f t="shared" si="0"/>
        <v>399750</v>
      </c>
      <c r="E33" s="243"/>
      <c r="F33" s="243"/>
      <c r="G33" s="243">
        <v>6000</v>
      </c>
      <c r="H33" s="243"/>
      <c r="I33" s="243">
        <f>'Détail Dépenses'!Y115</f>
        <v>811050</v>
      </c>
      <c r="J33" s="367">
        <f t="shared" si="1"/>
        <v>1.998890942698706</v>
      </c>
      <c r="K33" s="243">
        <f t="shared" si="2"/>
        <v>-411300</v>
      </c>
      <c r="L33" s="243">
        <f>214500-200000-33750-392500</f>
        <v>-411750</v>
      </c>
      <c r="M33" s="332">
        <f t="shared" si="3"/>
        <v>-450</v>
      </c>
      <c r="N33" s="483">
        <f t="shared" si="4"/>
        <v>9561800</v>
      </c>
      <c r="O33" s="485"/>
      <c r="P33" s="335">
        <v>6500</v>
      </c>
      <c r="Q33" s="335"/>
      <c r="R33" s="335">
        <v>14500</v>
      </c>
      <c r="S33" s="335"/>
      <c r="T33" s="335"/>
      <c r="U33" s="335"/>
      <c r="V33" s="335">
        <v>5500</v>
      </c>
      <c r="W33" s="335"/>
      <c r="X33" s="335">
        <v>83000</v>
      </c>
      <c r="Y33" s="335"/>
      <c r="Z33" s="335">
        <v>1000</v>
      </c>
      <c r="AA33" s="335"/>
      <c r="AB33" s="335">
        <v>500</v>
      </c>
      <c r="AC33" s="335"/>
      <c r="AD33" s="335"/>
      <c r="AE33" s="335"/>
      <c r="AF33" s="335"/>
      <c r="AG33" s="335"/>
      <c r="AH33" s="335"/>
      <c r="AI33" s="335"/>
      <c r="AJ33" s="335"/>
      <c r="AK33" s="335"/>
      <c r="AL33" s="335">
        <v>7500</v>
      </c>
      <c r="AM33" s="335"/>
      <c r="AN33" s="335">
        <v>1000</v>
      </c>
      <c r="AO33" s="443">
        <f t="shared" si="5"/>
        <v>119500</v>
      </c>
      <c r="AP33" s="444"/>
      <c r="AQ33" s="276"/>
      <c r="AR33" s="276"/>
      <c r="AS33" s="276"/>
      <c r="AT33" s="276"/>
      <c r="AU33" s="276"/>
      <c r="AV33" s="276"/>
      <c r="AW33" s="276"/>
      <c r="AX33" s="276"/>
      <c r="AY33" s="276"/>
    </row>
    <row r="34" spans="1:51" ht="16.5" customHeight="1" x14ac:dyDescent="0.25">
      <c r="A34" s="447"/>
      <c r="B34" s="529" t="s">
        <v>44</v>
      </c>
      <c r="C34" s="486">
        <f t="shared" ref="C34:I34" si="6">SUM(C3:C33)</f>
        <v>28821750</v>
      </c>
      <c r="D34" s="486">
        <f t="shared" si="6"/>
        <v>28282750</v>
      </c>
      <c r="E34" s="486">
        <f t="shared" si="6"/>
        <v>378500</v>
      </c>
      <c r="F34" s="486">
        <f t="shared" si="6"/>
        <v>0</v>
      </c>
      <c r="G34" s="486">
        <f t="shared" si="6"/>
        <v>101000</v>
      </c>
      <c r="H34" s="486">
        <f t="shared" si="6"/>
        <v>59500</v>
      </c>
      <c r="I34" s="486">
        <f t="shared" si="6"/>
        <v>18715250</v>
      </c>
      <c r="J34" s="487"/>
      <c r="K34" s="486">
        <f t="shared" ref="K34:M34" si="7">SUM(K3:K33)</f>
        <v>9567500</v>
      </c>
      <c r="L34" s="488">
        <f t="shared" si="7"/>
        <v>9561800</v>
      </c>
      <c r="M34" s="486">
        <f t="shared" si="7"/>
        <v>-5700</v>
      </c>
      <c r="N34" s="486">
        <f>N33</f>
        <v>9561800</v>
      </c>
      <c r="O34" s="489"/>
      <c r="P34" s="486">
        <f t="shared" ref="P34:AN34" si="8">SUM(P3:P33)</f>
        <v>334250</v>
      </c>
      <c r="Q34" s="486">
        <f t="shared" si="8"/>
        <v>213000</v>
      </c>
      <c r="R34" s="486">
        <f t="shared" si="8"/>
        <v>331250</v>
      </c>
      <c r="S34" s="486">
        <f t="shared" si="8"/>
        <v>100000</v>
      </c>
      <c r="T34" s="486">
        <f t="shared" si="8"/>
        <v>25000</v>
      </c>
      <c r="U34" s="486">
        <f t="shared" si="8"/>
        <v>56000</v>
      </c>
      <c r="V34" s="486">
        <f t="shared" si="8"/>
        <v>260000</v>
      </c>
      <c r="W34" s="486">
        <f t="shared" si="8"/>
        <v>17500</v>
      </c>
      <c r="X34" s="486">
        <f t="shared" si="8"/>
        <v>4131000</v>
      </c>
      <c r="Y34" s="486">
        <f t="shared" si="8"/>
        <v>485500</v>
      </c>
      <c r="Z34" s="486">
        <f t="shared" si="8"/>
        <v>30500</v>
      </c>
      <c r="AA34" s="486">
        <f t="shared" si="8"/>
        <v>7000</v>
      </c>
      <c r="AB34" s="486">
        <f t="shared" si="8"/>
        <v>25500</v>
      </c>
      <c r="AC34" s="486">
        <f t="shared" si="8"/>
        <v>0</v>
      </c>
      <c r="AD34" s="486">
        <f t="shared" si="8"/>
        <v>4500</v>
      </c>
      <c r="AE34" s="486">
        <f t="shared" si="8"/>
        <v>1000</v>
      </c>
      <c r="AF34" s="486">
        <f t="shared" si="8"/>
        <v>16500</v>
      </c>
      <c r="AG34" s="486">
        <f t="shared" si="8"/>
        <v>1000</v>
      </c>
      <c r="AH34" s="486">
        <f t="shared" si="8"/>
        <v>0</v>
      </c>
      <c r="AI34" s="486">
        <f t="shared" si="8"/>
        <v>5000</v>
      </c>
      <c r="AJ34" s="486">
        <f t="shared" si="8"/>
        <v>500</v>
      </c>
      <c r="AK34" s="486">
        <f t="shared" si="8"/>
        <v>2500</v>
      </c>
      <c r="AL34" s="486">
        <f t="shared" si="8"/>
        <v>13000</v>
      </c>
      <c r="AM34" s="486">
        <f t="shared" si="8"/>
        <v>30000</v>
      </c>
      <c r="AN34" s="486">
        <f t="shared" si="8"/>
        <v>44500</v>
      </c>
      <c r="AO34" s="486">
        <f>SUM(P34:AN34)-X34</f>
        <v>2004000</v>
      </c>
      <c r="AP34" s="201"/>
      <c r="AQ34" s="276"/>
      <c r="AR34" s="276"/>
      <c r="AS34" s="276"/>
      <c r="AT34" s="276"/>
      <c r="AU34" s="276"/>
      <c r="AV34" s="276"/>
      <c r="AW34" s="276"/>
      <c r="AX34" s="276"/>
      <c r="AY34" s="276"/>
    </row>
    <row r="35" spans="1:51" ht="15.75" customHeight="1" x14ac:dyDescent="0.25">
      <c r="A35" s="391"/>
      <c r="B35" s="543" t="s">
        <v>40</v>
      </c>
      <c r="C35" s="391"/>
      <c r="D35" s="391"/>
      <c r="E35" s="391">
        <f t="shared" ref="E35:I35" si="9">E34/$C$34</f>
        <v>1.313244338043318E-2</v>
      </c>
      <c r="F35" s="391">
        <f t="shared" si="9"/>
        <v>0</v>
      </c>
      <c r="G35" s="391">
        <f t="shared" si="9"/>
        <v>3.5042979694154589E-3</v>
      </c>
      <c r="H35" s="391">
        <f t="shared" si="9"/>
        <v>2.0644131602001962E-3</v>
      </c>
      <c r="I35" s="391">
        <f t="shared" si="9"/>
        <v>0.64934467893170955</v>
      </c>
      <c r="J35" s="391"/>
      <c r="K35" s="391">
        <f>K34/$C$34</f>
        <v>0.33195416655824161</v>
      </c>
      <c r="L35" s="391">
        <f>L33/$C$34</f>
        <v>-1.4286086028780348E-2</v>
      </c>
      <c r="M35" s="391">
        <f>M34/$C$34</f>
        <v>-1.9776731114522886E-4</v>
      </c>
      <c r="N35" s="391"/>
      <c r="O35" s="489"/>
      <c r="P35" s="391">
        <f t="shared" ref="P35:AL35" si="10">P34/$C$34</f>
        <v>1.1597144517595219E-2</v>
      </c>
      <c r="Q35" s="391">
        <f t="shared" si="10"/>
        <v>7.3902521533217103E-3</v>
      </c>
      <c r="R35" s="391">
        <f t="shared" si="10"/>
        <v>1.149305645909773E-2</v>
      </c>
      <c r="S35" s="391">
        <f t="shared" si="10"/>
        <v>3.4696019499162959E-3</v>
      </c>
      <c r="T35" s="391">
        <f t="shared" si="10"/>
        <v>8.6740048747907398E-4</v>
      </c>
      <c r="U35" s="391">
        <f t="shared" si="10"/>
        <v>1.9429770919531257E-3</v>
      </c>
      <c r="V35" s="391">
        <f t="shared" si="10"/>
        <v>9.0209650697823697E-3</v>
      </c>
      <c r="W35" s="391">
        <f t="shared" si="10"/>
        <v>6.0718034123535174E-4</v>
      </c>
      <c r="X35" s="391">
        <f t="shared" si="10"/>
        <v>0.14332925655104217</v>
      </c>
      <c r="Y35" s="391">
        <f t="shared" si="10"/>
        <v>1.6844917466843617E-2</v>
      </c>
      <c r="Z35" s="391">
        <f t="shared" si="10"/>
        <v>1.0582285947244702E-3</v>
      </c>
      <c r="AA35" s="391">
        <f t="shared" si="10"/>
        <v>2.4287213649414071E-4</v>
      </c>
      <c r="AB35" s="391">
        <f t="shared" si="10"/>
        <v>8.8474849722865547E-4</v>
      </c>
      <c r="AC35" s="391">
        <f t="shared" si="10"/>
        <v>0</v>
      </c>
      <c r="AD35" s="391">
        <f t="shared" si="10"/>
        <v>1.5613208774623331E-4</v>
      </c>
      <c r="AE35" s="391">
        <f t="shared" si="10"/>
        <v>3.469601949916296E-5</v>
      </c>
      <c r="AF35" s="391">
        <f t="shared" si="10"/>
        <v>5.7248432173618885E-4</v>
      </c>
      <c r="AG35" s="391">
        <f t="shared" si="10"/>
        <v>3.469601949916296E-5</v>
      </c>
      <c r="AH35" s="391">
        <f t="shared" si="10"/>
        <v>0</v>
      </c>
      <c r="AI35" s="391">
        <f t="shared" si="10"/>
        <v>1.7348009749581481E-4</v>
      </c>
      <c r="AJ35" s="391">
        <f t="shared" si="10"/>
        <v>1.734800974958148E-5</v>
      </c>
      <c r="AK35" s="391">
        <f t="shared" si="10"/>
        <v>8.6740048747907403E-5</v>
      </c>
      <c r="AL35" s="391">
        <f t="shared" si="10"/>
        <v>4.5104825348911848E-4</v>
      </c>
      <c r="AM35" s="391"/>
      <c r="AN35" s="391">
        <f t="shared" ref="AN35:AO35" si="11">AN34/$C$34</f>
        <v>1.5439728677127517E-3</v>
      </c>
      <c r="AO35" s="391">
        <f t="shared" si="11"/>
        <v>6.9530823076322565E-2</v>
      </c>
      <c r="AP35" s="201"/>
      <c r="AQ35" s="276"/>
      <c r="AR35" s="276"/>
      <c r="AS35" s="276"/>
      <c r="AT35" s="276"/>
      <c r="AU35" s="276"/>
      <c r="AV35" s="276"/>
      <c r="AW35" s="276"/>
      <c r="AX35" s="276"/>
      <c r="AY35" s="276"/>
    </row>
    <row r="36" spans="1:51" ht="15.75" customHeight="1" x14ac:dyDescent="0.25">
      <c r="A36" s="391"/>
      <c r="B36" s="543" t="s">
        <v>147</v>
      </c>
      <c r="C36" s="391">
        <f>C34/'JUIN 23'!C33-1</f>
        <v>0.40793073127839374</v>
      </c>
      <c r="D36" s="391">
        <f>D34/'JUIN 23'!D33-1</f>
        <v>0.40291418650793642</v>
      </c>
      <c r="E36" s="391">
        <f>E34/'JUIN 23'!E33-1</f>
        <v>1.0294906166219837</v>
      </c>
      <c r="F36" s="391"/>
      <c r="G36" s="391">
        <f>G34/'JUIN 23'!G33-1</f>
        <v>0.56589147286821695</v>
      </c>
      <c r="H36" s="391">
        <f>H34/'JUIN 23'!H33-1</f>
        <v>-8.3333333333333037E-3</v>
      </c>
      <c r="I36" s="391">
        <f>I34/'JUIN 23'!I33-1</f>
        <v>0.53632247975471703</v>
      </c>
      <c r="J36" s="391"/>
      <c r="K36" s="391">
        <f>K34/'JUIN 23'!K33-1</f>
        <v>0.19921285009682688</v>
      </c>
      <c r="L36" s="391">
        <f>L33/'JUIN 23'!L33-1</f>
        <v>-1.0511560585918573</v>
      </c>
      <c r="M36" s="391">
        <f>M34/'JUIN 23'!M33-1</f>
        <v>-1.087996912389039</v>
      </c>
      <c r="N36" s="391">
        <f>N34/'JUIN 23'!N33-1</f>
        <v>0.18796357266210295</v>
      </c>
      <c r="O36" s="490"/>
      <c r="P36" s="391">
        <f>P34/'JUIN 23'!P33-1</f>
        <v>0.17693661971830976</v>
      </c>
      <c r="Q36" s="391">
        <f>Q34/'JUIN 23'!Q33-1</f>
        <v>-0.4453125</v>
      </c>
      <c r="R36" s="391">
        <f>R34/'JUIN 23'!R33-1</f>
        <v>-0.47462331482950038</v>
      </c>
      <c r="S36" s="391">
        <f>S34/'JUIN 23'!S33-1</f>
        <v>-0.74160206718346255</v>
      </c>
      <c r="T36" s="391">
        <f>T34/'JUIN 23'!T33-1</f>
        <v>-0.50980392156862742</v>
      </c>
      <c r="U36" s="391">
        <f>U34/'JUIN 23'!U33-1</f>
        <v>2.7333333333333334</v>
      </c>
      <c r="V36" s="391">
        <f>V34/'JUIN 23'!V33-1</f>
        <v>4.2084168336673278E-2</v>
      </c>
      <c r="W36" s="391">
        <f>W34/'JUIN 23'!W33-1</f>
        <v>34</v>
      </c>
      <c r="X36" s="391">
        <f>X34/'JUIN 23'!Y33-1</f>
        <v>0.68474714518760194</v>
      </c>
      <c r="Y36" s="391">
        <f>Y34/'JUIN 23'!Z33-1</f>
        <v>-4.3349753694581272E-2</v>
      </c>
      <c r="Z36" s="391">
        <f>Z34/'JUIN 23'!AA33-1</f>
        <v>-0.33695652173913049</v>
      </c>
      <c r="AA36" s="391">
        <f>AA34/'JUIN 23'!AB33-1</f>
        <v>0.55555555555555558</v>
      </c>
      <c r="AB36" s="391">
        <f>AB34/'JUIN 23'!AC33-1</f>
        <v>1.6842105263157894</v>
      </c>
      <c r="AC36" s="391">
        <f>AC34/'JUIN 23'!AD33-1</f>
        <v>-1</v>
      </c>
      <c r="AD36" s="391">
        <f>AD34/'JUIN 23'!AE33-1</f>
        <v>-0.7</v>
      </c>
      <c r="AE36" s="391">
        <f>AE34/'JUIN 23'!AF33-1</f>
        <v>1</v>
      </c>
      <c r="AF36" s="391">
        <f>AF34/'JUIN 23'!AG33-1</f>
        <v>1.75</v>
      </c>
      <c r="AG36" s="391">
        <f>AG34/'JUIN 23'!AH33-1</f>
        <v>1</v>
      </c>
      <c r="AH36" s="391">
        <f>AH34/'JUIN 23'!AI33-1</f>
        <v>-1</v>
      </c>
      <c r="AI36" s="391" t="e">
        <f>AI34/'JUIN 23'!AJ33-1</f>
        <v>#DIV/0!</v>
      </c>
      <c r="AJ36" s="391" t="e">
        <f>AJ34/'JUIN 23'!AK33-1</f>
        <v>#DIV/0!</v>
      </c>
      <c r="AK36" s="391" t="e">
        <f>AK34/'JUIN 23'!AL33-1</f>
        <v>#DIV/0!</v>
      </c>
      <c r="AL36" s="391" t="e">
        <f>AL34/'JUIN 23'!AM33-1</f>
        <v>#DIV/0!</v>
      </c>
      <c r="AM36" s="391"/>
      <c r="AN36" s="391">
        <f>AN34/'JUIN 23'!AN33-1</f>
        <v>0.45901639344262302</v>
      </c>
      <c r="AO36" s="391">
        <f>AO34/'JUIN 23'!AO34-1</f>
        <v>-0.23802281368821288</v>
      </c>
      <c r="AP36" s="201"/>
      <c r="AQ36" s="276"/>
      <c r="AR36" s="276"/>
      <c r="AS36" s="276"/>
      <c r="AT36" s="276"/>
      <c r="AU36" s="276"/>
      <c r="AV36" s="276"/>
      <c r="AW36" s="276"/>
      <c r="AX36" s="276"/>
      <c r="AY36" s="276"/>
    </row>
    <row r="37" spans="1:51" ht="15.75" customHeight="1" x14ac:dyDescent="0.25">
      <c r="A37" s="392" t="s">
        <v>157</v>
      </c>
      <c r="B37" s="539">
        <f>C34</f>
        <v>28821750</v>
      </c>
      <c r="C37" s="454"/>
      <c r="D37" s="293"/>
      <c r="E37" s="293"/>
      <c r="F37" s="352"/>
      <c r="G37" s="352"/>
      <c r="H37" s="352"/>
      <c r="I37" s="352"/>
      <c r="J37" s="394"/>
      <c r="K37" s="395"/>
      <c r="L37" s="290"/>
      <c r="M37" s="396"/>
      <c r="N37" s="459"/>
      <c r="O37" s="350" t="s">
        <v>186</v>
      </c>
      <c r="P37" s="351">
        <f>'AVRIL 23'!N15</f>
        <v>25950.000000000004</v>
      </c>
      <c r="Q37" s="351">
        <f>'AVRIL 23'!O15</f>
        <v>94950.000000000015</v>
      </c>
      <c r="R37" s="351">
        <f>'AVRIL 23'!P15</f>
        <v>4500.0000000000009</v>
      </c>
      <c r="S37" s="347"/>
      <c r="T37" s="293"/>
      <c r="U37" s="293"/>
      <c r="V37" s="293"/>
      <c r="W37" s="293"/>
      <c r="X37" s="293"/>
      <c r="Y37" s="293"/>
      <c r="Z37" s="293"/>
      <c r="AA37" s="293"/>
      <c r="AB37" s="293"/>
      <c r="AC37" s="293"/>
      <c r="AD37" s="293"/>
      <c r="AE37" s="293"/>
      <c r="AF37" s="293"/>
      <c r="AG37" s="293"/>
      <c r="AH37" s="293"/>
      <c r="AI37" s="293"/>
      <c r="AJ37" s="293"/>
      <c r="AK37" s="293"/>
      <c r="AL37" s="293"/>
      <c r="AM37" s="293"/>
      <c r="AN37" s="293"/>
      <c r="AO37" s="293"/>
      <c r="AP37" s="276"/>
      <c r="AQ37" s="276"/>
      <c r="AR37" s="276"/>
      <c r="AS37" s="276"/>
      <c r="AT37" s="276"/>
      <c r="AU37" s="276"/>
      <c r="AV37" s="276"/>
      <c r="AW37" s="276"/>
      <c r="AX37" s="276"/>
      <c r="AY37" s="276"/>
    </row>
    <row r="38" spans="1:51" ht="15.75" customHeight="1" x14ac:dyDescent="0.25">
      <c r="A38" s="392" t="s">
        <v>177</v>
      </c>
      <c r="B38" s="539">
        <f>'Détail Dépenses'!D116+'Détail Dépenses'!E116+'Détail Dépenses'!G116+'Détail Dépenses'!H116+'Détail Dépenses'!I116</f>
        <v>15256125</v>
      </c>
      <c r="C38" s="462"/>
      <c r="D38" s="276"/>
      <c r="E38" s="276"/>
      <c r="F38" s="354"/>
      <c r="G38" s="354"/>
      <c r="H38" s="354"/>
      <c r="I38" s="354"/>
      <c r="J38" s="398"/>
      <c r="K38" s="399"/>
      <c r="L38" s="400"/>
      <c r="M38" s="401"/>
      <c r="N38" s="465"/>
      <c r="O38" s="350" t="s">
        <v>187</v>
      </c>
      <c r="P38" s="351">
        <f>'MAI 23'!O37</f>
        <v>107550.00000000001</v>
      </c>
      <c r="Q38" s="351">
        <f>'MAI 23'!P37</f>
        <v>213000.00000000003</v>
      </c>
      <c r="R38" s="351">
        <f>'MAI 23'!Q37</f>
        <v>70950.000000000015</v>
      </c>
      <c r="S38" s="201"/>
      <c r="T38" s="276"/>
      <c r="U38" s="276"/>
      <c r="V38" s="276"/>
      <c r="W38" s="276"/>
      <c r="X38" s="276"/>
      <c r="Y38" s="276"/>
      <c r="Z38" s="276"/>
      <c r="AA38" s="276"/>
      <c r="AB38" s="276"/>
      <c r="AC38" s="276"/>
      <c r="AD38" s="276"/>
      <c r="AE38" s="276"/>
      <c r="AF38" s="276"/>
      <c r="AG38" s="276"/>
      <c r="AH38" s="276"/>
      <c r="AI38" s="276"/>
      <c r="AJ38" s="276"/>
      <c r="AK38" s="276"/>
      <c r="AL38" s="276"/>
      <c r="AM38" s="276"/>
      <c r="AN38" s="276"/>
      <c r="AO38" s="276"/>
      <c r="AP38" s="276"/>
      <c r="AQ38" s="276"/>
      <c r="AR38" s="276"/>
      <c r="AS38" s="276"/>
      <c r="AT38" s="276"/>
      <c r="AU38" s="276"/>
      <c r="AV38" s="276"/>
      <c r="AW38" s="276"/>
      <c r="AX38" s="276"/>
      <c r="AY38" s="276"/>
    </row>
    <row r="39" spans="1:51" ht="15.75" customHeight="1" x14ac:dyDescent="0.25">
      <c r="A39" s="392" t="s">
        <v>178</v>
      </c>
      <c r="B39" s="539">
        <f>C34-B38</f>
        <v>13565625</v>
      </c>
      <c r="C39" s="466"/>
      <c r="D39" s="276"/>
      <c r="E39" s="276"/>
      <c r="F39" s="405"/>
      <c r="G39" s="405"/>
      <c r="H39" s="405"/>
      <c r="I39" s="405"/>
      <c r="J39" s="406"/>
      <c r="K39" s="407"/>
      <c r="L39" s="408"/>
      <c r="M39" s="409"/>
      <c r="N39" s="469"/>
      <c r="O39" s="350" t="s">
        <v>213</v>
      </c>
      <c r="P39" s="351">
        <f>'JUIN 23'!P38</f>
        <v>85200.000000000015</v>
      </c>
      <c r="Q39" s="351">
        <f>'JUIN 23'!Q38</f>
        <v>115200.00000000001</v>
      </c>
      <c r="R39" s="351">
        <f>'JUIN 23'!R38</f>
        <v>189150.00000000003</v>
      </c>
      <c r="S39" s="201"/>
      <c r="T39" s="276"/>
      <c r="U39" s="276"/>
      <c r="V39" s="276"/>
      <c r="W39" s="276"/>
      <c r="X39" s="276"/>
      <c r="Y39" s="276"/>
      <c r="Z39" s="276"/>
      <c r="AA39" s="276"/>
      <c r="AB39" s="276"/>
      <c r="AC39" s="276"/>
      <c r="AD39" s="276"/>
      <c r="AE39" s="276"/>
      <c r="AF39" s="276"/>
      <c r="AG39" s="276"/>
      <c r="AH39" s="276"/>
      <c r="AI39" s="276"/>
      <c r="AJ39" s="276"/>
      <c r="AK39" s="276"/>
      <c r="AL39" s="276"/>
      <c r="AM39" s="276"/>
      <c r="AN39" s="276"/>
      <c r="AO39" s="276"/>
      <c r="AP39" s="276"/>
      <c r="AQ39" s="276"/>
      <c r="AR39" s="276"/>
      <c r="AS39" s="276"/>
      <c r="AT39" s="276"/>
      <c r="AU39" s="276"/>
      <c r="AV39" s="276"/>
      <c r="AW39" s="276"/>
      <c r="AX39" s="276"/>
      <c r="AY39" s="276"/>
    </row>
    <row r="40" spans="1:51" ht="15.75" customHeight="1" x14ac:dyDescent="0.25">
      <c r="A40" s="392" t="s">
        <v>179</v>
      </c>
      <c r="B40" s="544">
        <f>B39/C34</f>
        <v>0.47067318951833254</v>
      </c>
      <c r="C40" s="470"/>
      <c r="D40" s="419"/>
      <c r="E40" s="471"/>
      <c r="F40" s="414"/>
      <c r="G40" s="414"/>
      <c r="H40" s="414"/>
      <c r="I40" s="414"/>
      <c r="J40" s="415"/>
      <c r="K40" s="416"/>
      <c r="L40" s="417"/>
      <c r="M40" s="418"/>
      <c r="N40" s="472"/>
      <c r="O40" s="350" t="s">
        <v>219</v>
      </c>
      <c r="P40" s="351">
        <f t="shared" ref="P40:R40" si="12">P34*(1-$O$2)</f>
        <v>100275.00000000001</v>
      </c>
      <c r="Q40" s="351">
        <f t="shared" si="12"/>
        <v>63900.000000000007</v>
      </c>
      <c r="R40" s="351">
        <f t="shared" si="12"/>
        <v>99375.000000000015</v>
      </c>
      <c r="S40" s="201"/>
      <c r="T40" s="276"/>
      <c r="U40" s="276"/>
      <c r="V40" s="276"/>
      <c r="W40" s="276"/>
      <c r="X40" s="276"/>
      <c r="Y40" s="276"/>
      <c r="Z40" s="276"/>
      <c r="AA40" s="276"/>
      <c r="AB40" s="276"/>
      <c r="AC40" s="276"/>
      <c r="AD40" s="276"/>
      <c r="AE40" s="276"/>
      <c r="AF40" s="276"/>
      <c r="AG40" s="276"/>
      <c r="AH40" s="276"/>
      <c r="AI40" s="276"/>
      <c r="AJ40" s="276"/>
      <c r="AK40" s="276"/>
      <c r="AL40" s="276"/>
      <c r="AM40" s="276"/>
      <c r="AN40" s="276"/>
      <c r="AO40" s="276"/>
      <c r="AP40" s="276"/>
      <c r="AQ40" s="276"/>
      <c r="AR40" s="276"/>
      <c r="AS40" s="276"/>
      <c r="AT40" s="276"/>
      <c r="AU40" s="276"/>
      <c r="AV40" s="276"/>
      <c r="AW40" s="276"/>
      <c r="AX40" s="276"/>
      <c r="AY40" s="276"/>
    </row>
    <row r="41" spans="1:51" ht="15.75" customHeight="1" x14ac:dyDescent="0.25">
      <c r="A41" s="392" t="s">
        <v>20</v>
      </c>
      <c r="B41" s="539">
        <f>SUM('Détail Dépenses'!J116:V116)+'Détail Dépenses'!F116</f>
        <v>2199825</v>
      </c>
      <c r="C41" s="470"/>
      <c r="D41" s="419"/>
      <c r="E41" s="471"/>
      <c r="F41" s="414"/>
      <c r="G41" s="414"/>
      <c r="H41" s="414"/>
      <c r="I41" s="414"/>
      <c r="J41" s="415"/>
      <c r="K41" s="271"/>
      <c r="L41" s="417"/>
      <c r="M41" s="418"/>
      <c r="N41" s="472"/>
      <c r="O41" s="410" t="s">
        <v>220</v>
      </c>
      <c r="P41" s="411">
        <f t="shared" ref="P41:R41" si="13">SUM(P37:P40)</f>
        <v>318975.00000000006</v>
      </c>
      <c r="Q41" s="411">
        <f t="shared" si="13"/>
        <v>487050.00000000006</v>
      </c>
      <c r="R41" s="411">
        <f t="shared" si="13"/>
        <v>363975.00000000006</v>
      </c>
      <c r="S41" s="201"/>
      <c r="T41" s="276"/>
      <c r="U41" s="276"/>
      <c r="V41" s="276"/>
      <c r="W41" s="276"/>
      <c r="X41" s="276"/>
      <c r="Y41" s="276"/>
      <c r="Z41" s="276"/>
      <c r="AA41" s="276"/>
      <c r="AB41" s="276"/>
      <c r="AC41" s="276"/>
      <c r="AD41" s="276"/>
      <c r="AE41" s="276"/>
      <c r="AF41" s="276"/>
      <c r="AG41" s="276"/>
      <c r="AH41" s="276"/>
      <c r="AI41" s="276"/>
      <c r="AJ41" s="276"/>
      <c r="AK41" s="276"/>
      <c r="AL41" s="276"/>
      <c r="AM41" s="276"/>
      <c r="AN41" s="276"/>
      <c r="AO41" s="276"/>
      <c r="AP41" s="276"/>
      <c r="AQ41" s="276"/>
      <c r="AR41" s="276"/>
      <c r="AS41" s="276"/>
      <c r="AT41" s="276"/>
      <c r="AU41" s="276"/>
      <c r="AV41" s="276"/>
      <c r="AW41" s="276"/>
      <c r="AX41" s="276"/>
      <c r="AY41" s="276"/>
    </row>
    <row r="42" spans="1:51" ht="15.75" customHeight="1" x14ac:dyDescent="0.25">
      <c r="A42" s="392" t="s">
        <v>214</v>
      </c>
      <c r="B42" s="544">
        <f>B41/B37</f>
        <v>7.6325171094746153E-2</v>
      </c>
      <c r="C42" s="470"/>
      <c r="D42" s="419"/>
      <c r="E42" s="471"/>
      <c r="F42" s="414"/>
      <c r="G42" s="414"/>
      <c r="H42" s="414"/>
      <c r="I42" s="414"/>
      <c r="J42" s="415"/>
      <c r="K42" s="416"/>
      <c r="L42" s="417"/>
      <c r="M42" s="418"/>
      <c r="N42" s="418"/>
      <c r="O42" s="473"/>
      <c r="P42" s="293"/>
      <c r="Q42" s="293"/>
      <c r="R42" s="293"/>
      <c r="S42" s="276"/>
      <c r="T42" s="276"/>
      <c r="U42" s="276"/>
      <c r="V42" s="276"/>
      <c r="W42" s="276"/>
      <c r="X42" s="276"/>
      <c r="Y42" s="276"/>
      <c r="Z42" s="276"/>
      <c r="AA42" s="276"/>
      <c r="AB42" s="276"/>
      <c r="AC42" s="276"/>
      <c r="AD42" s="276"/>
      <c r="AE42" s="276"/>
      <c r="AF42" s="276"/>
      <c r="AG42" s="276"/>
      <c r="AH42" s="276"/>
      <c r="AI42" s="276"/>
      <c r="AJ42" s="276"/>
      <c r="AK42" s="276"/>
      <c r="AL42" s="276"/>
      <c r="AM42" s="276"/>
      <c r="AN42" s="276"/>
      <c r="AO42" s="276"/>
      <c r="AP42" s="276"/>
      <c r="AQ42" s="276"/>
      <c r="AR42" s="276"/>
      <c r="AS42" s="276"/>
      <c r="AT42" s="276"/>
      <c r="AU42" s="276"/>
      <c r="AV42" s="276"/>
      <c r="AW42" s="276"/>
      <c r="AX42" s="276"/>
      <c r="AY42" s="276"/>
    </row>
    <row r="43" spans="1:51" ht="15.75" customHeight="1" x14ac:dyDescent="0.25">
      <c r="A43" s="392" t="s">
        <v>180</v>
      </c>
      <c r="B43" s="539">
        <f>'Détail Dépenses'!W116+'Détail Dépenses'!X116</f>
        <v>1159300</v>
      </c>
      <c r="C43" s="470"/>
      <c r="D43" s="419"/>
      <c r="E43" s="471"/>
      <c r="F43" s="414"/>
      <c r="G43" s="414"/>
      <c r="H43" s="414"/>
      <c r="I43" s="414"/>
      <c r="J43" s="415"/>
      <c r="K43" s="416"/>
      <c r="L43" s="417"/>
      <c r="M43" s="418"/>
      <c r="N43" s="418"/>
      <c r="O43" s="419"/>
      <c r="P43" s="276"/>
      <c r="Q43" s="276"/>
      <c r="R43" s="276"/>
      <c r="S43" s="276"/>
      <c r="T43" s="276"/>
      <c r="U43" s="276"/>
      <c r="V43" s="276"/>
      <c r="W43" s="276"/>
      <c r="X43" s="276"/>
      <c r="Y43" s="276"/>
      <c r="Z43" s="276"/>
      <c r="AA43" s="276"/>
      <c r="AB43" s="276"/>
      <c r="AC43" s="276"/>
      <c r="AD43" s="276"/>
      <c r="AE43" s="276"/>
      <c r="AF43" s="276"/>
      <c r="AG43" s="276"/>
      <c r="AH43" s="276"/>
      <c r="AI43" s="276"/>
      <c r="AJ43" s="276"/>
      <c r="AK43" s="276"/>
      <c r="AL43" s="276"/>
      <c r="AM43" s="276"/>
      <c r="AN43" s="276"/>
      <c r="AO43" s="276"/>
      <c r="AP43" s="276"/>
      <c r="AQ43" s="276"/>
      <c r="AR43" s="276"/>
      <c r="AS43" s="276"/>
      <c r="AT43" s="276"/>
      <c r="AU43" s="276"/>
      <c r="AV43" s="276"/>
      <c r="AW43" s="276"/>
      <c r="AX43" s="276"/>
      <c r="AY43" s="276"/>
    </row>
    <row r="44" spans="1:51" ht="15.75" customHeight="1" x14ac:dyDescent="0.25">
      <c r="A44" s="392" t="s">
        <v>181</v>
      </c>
      <c r="B44" s="539">
        <f>B39-B41-B43</f>
        <v>10206500</v>
      </c>
      <c r="C44" s="470"/>
      <c r="D44" s="419"/>
      <c r="E44" s="491"/>
      <c r="F44" s="414"/>
      <c r="G44" s="414"/>
      <c r="H44" s="414"/>
      <c r="I44" s="414"/>
      <c r="J44" s="415"/>
      <c r="K44" s="416"/>
      <c r="L44" s="417"/>
      <c r="M44" s="418"/>
      <c r="N44" s="418"/>
      <c r="O44" s="419"/>
      <c r="P44" s="276"/>
      <c r="Q44" s="276"/>
      <c r="R44" s="276"/>
      <c r="S44" s="276"/>
      <c r="T44" s="276"/>
      <c r="U44" s="276"/>
      <c r="V44" s="276"/>
      <c r="W44" s="276"/>
      <c r="X44" s="276"/>
      <c r="Y44" s="276"/>
      <c r="Z44" s="276"/>
      <c r="AA44" s="276"/>
      <c r="AB44" s="276"/>
      <c r="AC44" s="276"/>
      <c r="AD44" s="276"/>
      <c r="AE44" s="276"/>
      <c r="AF44" s="276"/>
      <c r="AG44" s="276"/>
      <c r="AH44" s="276"/>
      <c r="AI44" s="276"/>
      <c r="AJ44" s="276"/>
      <c r="AK44" s="276"/>
      <c r="AL44" s="276"/>
      <c r="AM44" s="276"/>
      <c r="AN44" s="276"/>
      <c r="AO44" s="276"/>
      <c r="AP44" s="276"/>
      <c r="AQ44" s="276"/>
      <c r="AR44" s="276"/>
      <c r="AS44" s="276"/>
      <c r="AT44" s="276"/>
      <c r="AU44" s="276"/>
      <c r="AV44" s="276"/>
      <c r="AW44" s="276"/>
      <c r="AX44" s="276"/>
      <c r="AY44" s="276"/>
    </row>
    <row r="45" spans="1:51" ht="15.75" customHeight="1" x14ac:dyDescent="0.25">
      <c r="A45" s="392" t="s">
        <v>182</v>
      </c>
      <c r="B45" s="544">
        <f>B44/C34</f>
        <v>0.35412492301820675</v>
      </c>
      <c r="C45" s="470"/>
      <c r="D45" s="419"/>
      <c r="E45" s="471"/>
      <c r="F45" s="414"/>
      <c r="G45" s="414"/>
      <c r="H45" s="414"/>
      <c r="I45" s="414"/>
      <c r="J45" s="415"/>
      <c r="K45" s="416"/>
      <c r="L45" s="417"/>
      <c r="M45" s="418"/>
      <c r="N45" s="418"/>
      <c r="O45" s="419"/>
      <c r="P45" s="276"/>
      <c r="Q45" s="276"/>
      <c r="R45" s="276"/>
      <c r="S45" s="276"/>
      <c r="T45" s="276"/>
      <c r="U45" s="276"/>
      <c r="V45" s="276"/>
      <c r="W45" s="276"/>
      <c r="X45" s="276"/>
      <c r="Y45" s="276"/>
      <c r="Z45" s="276"/>
      <c r="AA45" s="276"/>
      <c r="AB45" s="276"/>
      <c r="AC45" s="276"/>
      <c r="AD45" s="276"/>
      <c r="AE45" s="276"/>
      <c r="AF45" s="276"/>
      <c r="AG45" s="276"/>
      <c r="AH45" s="276"/>
      <c r="AI45" s="276"/>
      <c r="AJ45" s="276"/>
      <c r="AK45" s="276"/>
      <c r="AL45" s="276"/>
      <c r="AM45" s="276"/>
      <c r="AN45" s="276"/>
      <c r="AO45" s="276"/>
      <c r="AP45" s="276"/>
      <c r="AQ45" s="276"/>
      <c r="AR45" s="276"/>
      <c r="AS45" s="276"/>
      <c r="AT45" s="276"/>
      <c r="AU45" s="276"/>
      <c r="AV45" s="276"/>
      <c r="AW45" s="276"/>
      <c r="AX45" s="276"/>
      <c r="AY45" s="276"/>
    </row>
    <row r="46" spans="1:51" ht="15.75" customHeight="1" x14ac:dyDescent="0.25">
      <c r="A46" s="392" t="s">
        <v>215</v>
      </c>
      <c r="B46" s="539">
        <f>RHv!H58</f>
        <v>1809500</v>
      </c>
      <c r="C46" s="470"/>
      <c r="D46" s="419"/>
      <c r="E46" s="471"/>
      <c r="F46" s="414"/>
      <c r="G46" s="414"/>
      <c r="H46" s="414"/>
      <c r="I46" s="414"/>
      <c r="J46" s="415"/>
      <c r="K46" s="416"/>
      <c r="L46" s="417"/>
      <c r="M46" s="418"/>
      <c r="N46" s="418"/>
      <c r="O46" s="419"/>
      <c r="P46" s="276"/>
      <c r="Q46" s="276"/>
      <c r="R46" s="276"/>
      <c r="S46" s="276"/>
      <c r="T46" s="276"/>
      <c r="U46" s="276"/>
      <c r="V46" s="276"/>
      <c r="W46" s="276"/>
      <c r="X46" s="276"/>
      <c r="Y46" s="276"/>
      <c r="Z46" s="276"/>
      <c r="AA46" s="276"/>
      <c r="AB46" s="276"/>
      <c r="AC46" s="276"/>
      <c r="AD46" s="276"/>
      <c r="AE46" s="276"/>
      <c r="AF46" s="276"/>
      <c r="AG46" s="276"/>
      <c r="AH46" s="276"/>
      <c r="AI46" s="276"/>
      <c r="AJ46" s="276"/>
      <c r="AK46" s="276"/>
      <c r="AL46" s="276"/>
      <c r="AM46" s="276"/>
      <c r="AN46" s="276"/>
      <c r="AO46" s="276"/>
      <c r="AP46" s="276"/>
      <c r="AQ46" s="276"/>
      <c r="AR46" s="276"/>
      <c r="AS46" s="276"/>
      <c r="AT46" s="276"/>
      <c r="AU46" s="276"/>
      <c r="AV46" s="276"/>
      <c r="AW46" s="276"/>
      <c r="AX46" s="276"/>
      <c r="AY46" s="276"/>
    </row>
    <row r="47" spans="1:51" ht="15.75" customHeight="1" x14ac:dyDescent="0.25">
      <c r="A47" s="392" t="s">
        <v>216</v>
      </c>
      <c r="B47" s="544">
        <f>B46/B37</f>
        <v>6.2782447283735374E-2</v>
      </c>
      <c r="C47" s="492"/>
      <c r="D47" s="276"/>
      <c r="E47" s="471"/>
      <c r="F47" s="414"/>
      <c r="G47" s="414"/>
      <c r="H47" s="414"/>
      <c r="I47" s="414"/>
      <c r="J47" s="415"/>
      <c r="K47" s="416"/>
      <c r="L47" s="417"/>
      <c r="M47" s="418"/>
      <c r="N47" s="418"/>
      <c r="O47" s="419"/>
      <c r="P47" s="276"/>
      <c r="Q47" s="276"/>
      <c r="R47" s="276"/>
      <c r="S47" s="276"/>
      <c r="T47" s="276"/>
      <c r="U47" s="276"/>
      <c r="V47" s="276"/>
      <c r="W47" s="276"/>
      <c r="X47" s="276"/>
      <c r="Y47" s="276"/>
      <c r="Z47" s="276"/>
      <c r="AA47" s="276"/>
      <c r="AB47" s="276"/>
      <c r="AC47" s="276"/>
      <c r="AD47" s="276"/>
      <c r="AE47" s="276"/>
      <c r="AF47" s="276"/>
      <c r="AG47" s="276"/>
      <c r="AH47" s="276"/>
      <c r="AI47" s="276"/>
      <c r="AJ47" s="276"/>
      <c r="AK47" s="276"/>
      <c r="AL47" s="276"/>
      <c r="AM47" s="276"/>
      <c r="AN47" s="276"/>
      <c r="AO47" s="276"/>
      <c r="AP47" s="276"/>
      <c r="AQ47" s="276"/>
      <c r="AR47" s="276"/>
      <c r="AS47" s="276"/>
      <c r="AT47" s="276"/>
      <c r="AU47" s="276"/>
      <c r="AV47" s="276"/>
      <c r="AW47" s="276"/>
      <c r="AX47" s="276"/>
      <c r="AY47" s="276"/>
    </row>
    <row r="48" spans="1:51" ht="15.75" customHeight="1" x14ac:dyDescent="0.25">
      <c r="A48" s="392" t="s">
        <v>217</v>
      </c>
      <c r="B48" s="539">
        <f>B38+B41+B43+B46</f>
        <v>20424750</v>
      </c>
      <c r="C48" s="493" t="s">
        <v>221</v>
      </c>
      <c r="D48" s="419"/>
      <c r="E48" s="471"/>
      <c r="F48" s="414"/>
      <c r="G48" s="414"/>
      <c r="H48" s="414"/>
      <c r="I48" s="414"/>
      <c r="J48" s="415"/>
      <c r="K48" s="416"/>
      <c r="L48" s="417"/>
      <c r="M48" s="418"/>
      <c r="N48" s="418"/>
      <c r="O48" s="419"/>
      <c r="P48" s="276"/>
      <c r="Q48" s="276"/>
      <c r="R48" s="276"/>
      <c r="S48" s="276"/>
      <c r="T48" s="276"/>
      <c r="U48" s="276"/>
      <c r="V48" s="276"/>
      <c r="W48" s="276"/>
      <c r="X48" s="276"/>
      <c r="Y48" s="276"/>
      <c r="Z48" s="276"/>
      <c r="AA48" s="276"/>
      <c r="AB48" s="276"/>
      <c r="AC48" s="276"/>
      <c r="AD48" s="276"/>
      <c r="AE48" s="276"/>
      <c r="AF48" s="276"/>
      <c r="AG48" s="276"/>
      <c r="AH48" s="276"/>
      <c r="AI48" s="276"/>
      <c r="AJ48" s="276"/>
      <c r="AK48" s="276"/>
      <c r="AL48" s="276"/>
      <c r="AM48" s="276"/>
      <c r="AN48" s="276"/>
      <c r="AO48" s="276"/>
      <c r="AP48" s="276"/>
      <c r="AQ48" s="276"/>
      <c r="AR48" s="276"/>
      <c r="AS48" s="276"/>
      <c r="AT48" s="276"/>
      <c r="AU48" s="276"/>
      <c r="AV48" s="276"/>
      <c r="AW48" s="276"/>
      <c r="AX48" s="276"/>
      <c r="AY48" s="276"/>
    </row>
    <row r="49" spans="1:51" ht="15.75" customHeight="1" x14ac:dyDescent="0.25">
      <c r="A49" s="392" t="s">
        <v>184</v>
      </c>
      <c r="B49" s="545">
        <f>B44-B46</f>
        <v>8397000</v>
      </c>
      <c r="C49" s="470">
        <f>N34+E34-B46</f>
        <v>8130800</v>
      </c>
      <c r="D49" s="419"/>
      <c r="E49" s="471"/>
      <c r="F49" s="414"/>
      <c r="G49" s="414"/>
      <c r="H49" s="414"/>
      <c r="I49" s="414"/>
      <c r="J49" s="415"/>
      <c r="K49" s="416"/>
      <c r="L49" s="417"/>
      <c r="M49" s="418"/>
      <c r="N49" s="494"/>
      <c r="O49" s="276"/>
      <c r="P49" s="276"/>
      <c r="Q49" s="276"/>
      <c r="R49" s="276"/>
      <c r="S49" s="276"/>
      <c r="T49" s="276"/>
      <c r="U49" s="276"/>
      <c r="V49" s="276"/>
      <c r="W49" s="276"/>
      <c r="X49" s="276"/>
      <c r="Y49" s="276"/>
      <c r="Z49" s="276"/>
      <c r="AA49" s="276"/>
      <c r="AB49" s="276"/>
      <c r="AC49" s="276"/>
      <c r="AD49" s="276"/>
      <c r="AE49" s="276"/>
      <c r="AF49" s="276"/>
      <c r="AG49" s="276"/>
      <c r="AH49" s="276"/>
      <c r="AI49" s="276"/>
      <c r="AJ49" s="276"/>
      <c r="AK49" s="276"/>
      <c r="AL49" s="276"/>
      <c r="AM49" s="276"/>
      <c r="AN49" s="276"/>
      <c r="AO49" s="276"/>
      <c r="AP49" s="276"/>
      <c r="AQ49" s="276"/>
      <c r="AR49" s="276"/>
      <c r="AS49" s="276"/>
      <c r="AT49" s="276"/>
      <c r="AU49" s="276"/>
      <c r="AV49" s="276"/>
      <c r="AW49" s="276"/>
      <c r="AX49" s="276"/>
      <c r="AY49" s="276"/>
    </row>
    <row r="50" spans="1:51" ht="15.75" customHeight="1" x14ac:dyDescent="0.25">
      <c r="A50" s="392" t="s">
        <v>185</v>
      </c>
      <c r="B50" s="544">
        <f>B49/B37</f>
        <v>0.29134247573447136</v>
      </c>
      <c r="C50" s="470"/>
      <c r="D50" s="419"/>
      <c r="E50" s="471"/>
      <c r="F50" s="414"/>
      <c r="G50" s="414"/>
      <c r="H50" s="414"/>
      <c r="I50" s="414"/>
      <c r="J50" s="415"/>
      <c r="K50" s="416"/>
      <c r="L50" s="417"/>
      <c r="M50" s="418"/>
      <c r="N50" s="418"/>
      <c r="O50" s="419"/>
      <c r="P50" s="276"/>
      <c r="Q50" s="276"/>
      <c r="R50" s="276"/>
      <c r="S50" s="276"/>
      <c r="T50" s="276"/>
      <c r="U50" s="276"/>
      <c r="V50" s="276"/>
      <c r="W50" s="276"/>
      <c r="X50" s="276"/>
      <c r="Y50" s="276"/>
      <c r="Z50" s="276"/>
      <c r="AA50" s="276"/>
      <c r="AB50" s="276"/>
      <c r="AC50" s="276"/>
      <c r="AD50" s="276"/>
      <c r="AE50" s="276"/>
      <c r="AF50" s="276"/>
      <c r="AG50" s="276"/>
      <c r="AH50" s="276"/>
      <c r="AI50" s="276"/>
      <c r="AJ50" s="276"/>
      <c r="AK50" s="276"/>
      <c r="AL50" s="276"/>
      <c r="AM50" s="276"/>
      <c r="AN50" s="276"/>
      <c r="AO50" s="276"/>
      <c r="AP50" s="276"/>
      <c r="AQ50" s="276"/>
      <c r="AR50" s="276"/>
      <c r="AS50" s="276"/>
      <c r="AT50" s="276"/>
      <c r="AU50" s="276"/>
      <c r="AV50" s="276"/>
      <c r="AW50" s="276"/>
      <c r="AX50" s="276"/>
      <c r="AY50" s="276"/>
    </row>
    <row r="51" spans="1:51" ht="15.75" customHeight="1" x14ac:dyDescent="0.25">
      <c r="A51" s="293"/>
      <c r="B51" s="532"/>
      <c r="C51" s="423"/>
      <c r="D51" s="276"/>
      <c r="E51" s="276"/>
      <c r="F51" s="422"/>
      <c r="G51" s="422"/>
      <c r="H51" s="422"/>
      <c r="I51" s="422"/>
      <c r="J51" s="423"/>
      <c r="K51" s="422"/>
      <c r="L51" s="422"/>
      <c r="M51" s="422"/>
      <c r="N51" s="422"/>
      <c r="O51" s="276"/>
      <c r="P51" s="276"/>
      <c r="Q51" s="276"/>
      <c r="R51" s="276"/>
      <c r="S51" s="276"/>
      <c r="T51" s="276"/>
      <c r="U51" s="276"/>
      <c r="V51" s="276"/>
      <c r="W51" s="276"/>
      <c r="X51" s="276"/>
      <c r="Y51" s="276"/>
      <c r="Z51" s="276"/>
      <c r="AA51" s="276"/>
      <c r="AB51" s="276"/>
      <c r="AC51" s="276"/>
      <c r="AD51" s="276"/>
      <c r="AE51" s="276"/>
      <c r="AF51" s="276"/>
      <c r="AG51" s="276"/>
      <c r="AH51" s="276"/>
      <c r="AI51" s="276"/>
      <c r="AJ51" s="276"/>
      <c r="AK51" s="276"/>
      <c r="AL51" s="276"/>
      <c r="AM51" s="276"/>
      <c r="AN51" s="276"/>
      <c r="AO51" s="276"/>
      <c r="AP51" s="276"/>
      <c r="AQ51" s="276"/>
      <c r="AR51" s="276"/>
      <c r="AS51" s="276"/>
      <c r="AT51" s="276"/>
      <c r="AU51" s="276"/>
      <c r="AV51" s="276"/>
      <c r="AW51" s="276"/>
      <c r="AX51" s="276"/>
      <c r="AY51" s="276"/>
    </row>
    <row r="52" spans="1:51" ht="15.75" customHeight="1" x14ac:dyDescent="0.25">
      <c r="A52" s="276"/>
      <c r="B52" s="533"/>
      <c r="C52" s="353"/>
      <c r="D52" s="276"/>
      <c r="E52" s="276"/>
      <c r="F52" s="276"/>
      <c r="G52" s="276"/>
      <c r="H52" s="276"/>
      <c r="I52" s="276"/>
      <c r="J52" s="353"/>
      <c r="K52" s="276"/>
      <c r="L52" s="276"/>
      <c r="M52" s="276"/>
      <c r="N52" s="276"/>
      <c r="O52" s="276"/>
      <c r="P52" s="276"/>
      <c r="Q52" s="276"/>
      <c r="R52" s="276"/>
      <c r="S52" s="276"/>
      <c r="T52" s="276"/>
      <c r="U52" s="276"/>
      <c r="V52" s="276"/>
      <c r="W52" s="276"/>
      <c r="X52" s="276"/>
      <c r="Y52" s="276"/>
      <c r="Z52" s="276"/>
      <c r="AA52" s="276"/>
      <c r="AB52" s="276"/>
      <c r="AC52" s="276"/>
      <c r="AD52" s="276"/>
      <c r="AE52" s="276"/>
      <c r="AF52" s="276"/>
      <c r="AG52" s="276"/>
      <c r="AH52" s="276"/>
      <c r="AI52" s="276"/>
      <c r="AJ52" s="276"/>
      <c r="AK52" s="276"/>
      <c r="AL52" s="276"/>
      <c r="AM52" s="276"/>
      <c r="AN52" s="276"/>
      <c r="AO52" s="276"/>
      <c r="AP52" s="276"/>
      <c r="AQ52" s="276"/>
      <c r="AR52" s="276"/>
      <c r="AS52" s="276"/>
      <c r="AT52" s="276"/>
      <c r="AU52" s="276"/>
      <c r="AV52" s="276"/>
      <c r="AW52" s="276"/>
      <c r="AX52" s="276"/>
      <c r="AY52" s="276"/>
    </row>
    <row r="53" spans="1:51" ht="15.75" customHeight="1" x14ac:dyDescent="0.25">
      <c r="A53" s="276"/>
      <c r="B53" s="533"/>
      <c r="C53" s="353"/>
      <c r="D53" s="276"/>
      <c r="E53" s="276"/>
      <c r="F53" s="276"/>
      <c r="G53" s="276"/>
      <c r="H53" s="276"/>
      <c r="I53" s="276"/>
      <c r="J53" s="353"/>
      <c r="K53" s="276"/>
      <c r="L53" s="276"/>
      <c r="M53" s="276"/>
      <c r="N53" s="276"/>
      <c r="O53" s="276"/>
      <c r="P53" s="276"/>
      <c r="Q53" s="276"/>
      <c r="R53" s="276"/>
      <c r="S53" s="276"/>
      <c r="T53" s="276"/>
      <c r="U53" s="276"/>
      <c r="V53" s="276"/>
      <c r="W53" s="276"/>
      <c r="X53" s="276"/>
      <c r="Y53" s="276"/>
      <c r="Z53" s="276"/>
      <c r="AA53" s="276"/>
      <c r="AB53" s="276"/>
      <c r="AC53" s="276"/>
      <c r="AD53" s="276"/>
      <c r="AE53" s="276"/>
      <c r="AF53" s="276"/>
      <c r="AG53" s="276"/>
      <c r="AH53" s="276"/>
      <c r="AI53" s="276"/>
      <c r="AJ53" s="276"/>
      <c r="AK53" s="276"/>
      <c r="AL53" s="276"/>
      <c r="AM53" s="276"/>
      <c r="AN53" s="276"/>
      <c r="AO53" s="276"/>
      <c r="AP53" s="276"/>
      <c r="AQ53" s="276"/>
      <c r="AR53" s="276"/>
      <c r="AS53" s="276"/>
      <c r="AT53" s="276"/>
      <c r="AU53" s="276"/>
      <c r="AV53" s="276"/>
      <c r="AW53" s="276"/>
      <c r="AX53" s="276"/>
      <c r="AY53" s="276"/>
    </row>
    <row r="54" spans="1:51" ht="15.75" customHeight="1" x14ac:dyDescent="0.25">
      <c r="A54" s="276"/>
      <c r="B54" s="533"/>
      <c r="C54" s="353"/>
      <c r="D54" s="276"/>
      <c r="E54" s="276"/>
      <c r="F54" s="276"/>
      <c r="G54" s="276"/>
      <c r="H54" s="276"/>
      <c r="I54" s="276"/>
      <c r="J54" s="353"/>
      <c r="K54" s="276"/>
      <c r="L54" s="276"/>
      <c r="M54" s="276"/>
      <c r="N54" s="276"/>
      <c r="O54" s="276"/>
      <c r="P54" s="276"/>
      <c r="Q54" s="276"/>
      <c r="R54" s="276"/>
      <c r="S54" s="276"/>
      <c r="T54" s="276"/>
      <c r="U54" s="276"/>
      <c r="V54" s="276"/>
      <c r="W54" s="276"/>
      <c r="X54" s="276"/>
      <c r="Y54" s="276"/>
      <c r="Z54" s="276"/>
      <c r="AA54" s="276"/>
      <c r="AB54" s="276"/>
      <c r="AC54" s="276"/>
      <c r="AD54" s="276"/>
      <c r="AE54" s="276"/>
      <c r="AF54" s="276"/>
      <c r="AG54" s="276"/>
      <c r="AH54" s="276"/>
      <c r="AI54" s="276"/>
      <c r="AJ54" s="276"/>
      <c r="AK54" s="276"/>
      <c r="AL54" s="276"/>
      <c r="AM54" s="276"/>
      <c r="AN54" s="276"/>
      <c r="AO54" s="276"/>
      <c r="AP54" s="276"/>
      <c r="AQ54" s="276"/>
      <c r="AR54" s="276"/>
      <c r="AS54" s="276"/>
      <c r="AT54" s="276"/>
      <c r="AU54" s="276"/>
      <c r="AV54" s="276"/>
      <c r="AW54" s="276"/>
      <c r="AX54" s="276"/>
      <c r="AY54" s="276"/>
    </row>
    <row r="55" spans="1:51" ht="15.75" customHeight="1" x14ac:dyDescent="0.25">
      <c r="A55" s="276"/>
      <c r="B55" s="533"/>
      <c r="C55" s="353"/>
      <c r="D55" s="276"/>
      <c r="E55" s="276"/>
      <c r="F55" s="276"/>
      <c r="G55" s="276"/>
      <c r="H55" s="276"/>
      <c r="I55" s="276"/>
      <c r="J55" s="353"/>
      <c r="K55" s="276"/>
      <c r="L55" s="276"/>
      <c r="M55" s="276"/>
      <c r="N55" s="276"/>
      <c r="O55" s="276"/>
      <c r="P55" s="276"/>
      <c r="Q55" s="276"/>
      <c r="R55" s="276"/>
      <c r="S55" s="276"/>
      <c r="T55" s="276"/>
      <c r="U55" s="276"/>
      <c r="V55" s="276"/>
      <c r="W55" s="276"/>
      <c r="X55" s="276"/>
      <c r="Y55" s="276"/>
      <c r="Z55" s="276"/>
      <c r="AA55" s="276"/>
      <c r="AB55" s="276"/>
      <c r="AC55" s="276"/>
      <c r="AD55" s="276"/>
      <c r="AE55" s="276"/>
      <c r="AF55" s="276"/>
      <c r="AG55" s="276"/>
      <c r="AH55" s="276"/>
      <c r="AI55" s="276"/>
      <c r="AJ55" s="276"/>
      <c r="AK55" s="276"/>
      <c r="AL55" s="276"/>
      <c r="AM55" s="276"/>
      <c r="AN55" s="276"/>
      <c r="AO55" s="276"/>
      <c r="AP55" s="276"/>
      <c r="AQ55" s="276"/>
      <c r="AR55" s="276"/>
      <c r="AS55" s="276"/>
      <c r="AT55" s="276"/>
      <c r="AU55" s="276"/>
      <c r="AV55" s="276"/>
      <c r="AW55" s="276"/>
      <c r="AX55" s="276"/>
      <c r="AY55" s="276"/>
    </row>
    <row r="56" spans="1:51" ht="15.75" customHeight="1" x14ac:dyDescent="0.25">
      <c r="A56" s="276"/>
      <c r="B56" s="533"/>
      <c r="C56" s="353"/>
      <c r="D56" s="276"/>
      <c r="E56" s="276"/>
      <c r="F56" s="276"/>
      <c r="G56" s="276"/>
      <c r="H56" s="276"/>
      <c r="I56" s="276"/>
      <c r="J56" s="353"/>
      <c r="K56" s="276"/>
      <c r="L56" s="276"/>
      <c r="M56" s="276"/>
      <c r="N56" s="276"/>
      <c r="O56" s="276"/>
      <c r="P56" s="276"/>
      <c r="Q56" s="276"/>
      <c r="R56" s="276"/>
      <c r="S56" s="276"/>
      <c r="T56" s="276"/>
      <c r="U56" s="276"/>
      <c r="V56" s="276"/>
      <c r="W56" s="276"/>
      <c r="X56" s="276"/>
      <c r="Y56" s="276"/>
      <c r="Z56" s="276"/>
      <c r="AA56" s="276"/>
      <c r="AB56" s="276"/>
      <c r="AC56" s="276"/>
      <c r="AD56" s="276"/>
      <c r="AE56" s="276"/>
      <c r="AF56" s="276"/>
      <c r="AG56" s="276"/>
      <c r="AH56" s="276"/>
      <c r="AI56" s="276"/>
      <c r="AJ56" s="276"/>
      <c r="AK56" s="276"/>
      <c r="AL56" s="276"/>
      <c r="AM56" s="276"/>
      <c r="AN56" s="276"/>
      <c r="AO56" s="276"/>
      <c r="AP56" s="276"/>
      <c r="AQ56" s="276"/>
      <c r="AR56" s="276"/>
      <c r="AS56" s="276"/>
      <c r="AT56" s="276"/>
      <c r="AU56" s="276"/>
      <c r="AV56" s="276"/>
      <c r="AW56" s="276"/>
      <c r="AX56" s="276"/>
      <c r="AY56" s="276"/>
    </row>
    <row r="57" spans="1:51" ht="15.75" customHeight="1" x14ac:dyDescent="0.25">
      <c r="A57" s="276"/>
      <c r="B57" s="533"/>
      <c r="C57" s="353"/>
      <c r="D57" s="276"/>
      <c r="E57" s="276"/>
      <c r="F57" s="276"/>
      <c r="G57" s="276"/>
      <c r="H57" s="276"/>
      <c r="I57" s="276"/>
      <c r="J57" s="353"/>
      <c r="K57" s="276"/>
      <c r="L57" s="276"/>
      <c r="M57" s="276"/>
      <c r="N57" s="276"/>
      <c r="O57" s="276"/>
      <c r="P57" s="276"/>
      <c r="Q57" s="276"/>
      <c r="R57" s="276"/>
      <c r="S57" s="276"/>
      <c r="T57" s="276"/>
      <c r="U57" s="276"/>
      <c r="V57" s="276"/>
      <c r="W57" s="276"/>
      <c r="X57" s="276"/>
      <c r="Y57" s="276"/>
      <c r="Z57" s="276"/>
      <c r="AA57" s="276"/>
      <c r="AB57" s="276"/>
      <c r="AC57" s="276"/>
      <c r="AD57" s="276"/>
      <c r="AE57" s="276"/>
      <c r="AF57" s="276"/>
      <c r="AG57" s="276"/>
      <c r="AH57" s="276"/>
      <c r="AI57" s="276"/>
      <c r="AJ57" s="276"/>
      <c r="AK57" s="276"/>
      <c r="AL57" s="276"/>
      <c r="AM57" s="276"/>
      <c r="AN57" s="276"/>
      <c r="AO57" s="276"/>
      <c r="AP57" s="276"/>
      <c r="AQ57" s="276"/>
      <c r="AR57" s="276"/>
      <c r="AS57" s="276"/>
      <c r="AT57" s="276"/>
      <c r="AU57" s="276"/>
      <c r="AV57" s="276"/>
      <c r="AW57" s="276"/>
      <c r="AX57" s="276"/>
      <c r="AY57" s="276"/>
    </row>
    <row r="58" spans="1:51" ht="15.75" customHeight="1" x14ac:dyDescent="0.25">
      <c r="A58" s="276"/>
      <c r="B58" s="533"/>
      <c r="C58" s="353"/>
      <c r="D58" s="276"/>
      <c r="E58" s="276"/>
      <c r="F58" s="276"/>
      <c r="G58" s="276"/>
      <c r="H58" s="276"/>
      <c r="I58" s="276"/>
      <c r="J58" s="353"/>
      <c r="K58" s="276"/>
      <c r="L58" s="276"/>
      <c r="M58" s="276"/>
      <c r="N58" s="276"/>
      <c r="O58" s="276"/>
      <c r="P58" s="276"/>
      <c r="Q58" s="276"/>
      <c r="R58" s="276"/>
      <c r="S58" s="276"/>
      <c r="T58" s="276"/>
      <c r="U58" s="276"/>
      <c r="V58" s="276"/>
      <c r="W58" s="276"/>
      <c r="X58" s="276"/>
      <c r="Y58" s="276"/>
      <c r="Z58" s="276"/>
      <c r="AA58" s="276"/>
      <c r="AB58" s="276"/>
      <c r="AC58" s="276"/>
      <c r="AD58" s="276"/>
      <c r="AE58" s="276"/>
      <c r="AF58" s="276"/>
      <c r="AG58" s="276"/>
      <c r="AH58" s="276"/>
      <c r="AI58" s="276"/>
      <c r="AJ58" s="276"/>
      <c r="AK58" s="276"/>
      <c r="AL58" s="276"/>
      <c r="AM58" s="276"/>
      <c r="AN58" s="276"/>
      <c r="AO58" s="276"/>
      <c r="AP58" s="276"/>
      <c r="AQ58" s="276"/>
      <c r="AR58" s="276"/>
      <c r="AS58" s="276"/>
      <c r="AT58" s="276"/>
      <c r="AU58" s="276"/>
      <c r="AV58" s="276"/>
      <c r="AW58" s="276"/>
      <c r="AX58" s="276"/>
      <c r="AY58" s="276"/>
    </row>
    <row r="59" spans="1:51" ht="15.75" customHeight="1" x14ac:dyDescent="0.25">
      <c r="A59" s="276"/>
      <c r="B59" s="533"/>
      <c r="C59" s="353"/>
      <c r="D59" s="276"/>
      <c r="E59" s="276"/>
      <c r="F59" s="276"/>
      <c r="G59" s="276"/>
      <c r="H59" s="276"/>
      <c r="I59" s="276"/>
      <c r="J59" s="353"/>
      <c r="K59" s="276"/>
      <c r="L59" s="276"/>
      <c r="M59" s="276"/>
      <c r="N59" s="276"/>
      <c r="O59" s="276"/>
      <c r="P59" s="276"/>
      <c r="Q59" s="276"/>
      <c r="R59" s="276"/>
      <c r="S59" s="276"/>
      <c r="T59" s="276"/>
      <c r="U59" s="276"/>
      <c r="V59" s="276"/>
      <c r="W59" s="276"/>
      <c r="X59" s="276"/>
      <c r="Y59" s="276"/>
      <c r="Z59" s="276"/>
      <c r="AA59" s="276"/>
      <c r="AB59" s="276"/>
      <c r="AC59" s="276"/>
      <c r="AD59" s="276"/>
      <c r="AE59" s="276"/>
      <c r="AF59" s="276"/>
      <c r="AG59" s="276"/>
      <c r="AH59" s="276"/>
      <c r="AI59" s="276"/>
      <c r="AJ59" s="276"/>
      <c r="AK59" s="276"/>
      <c r="AL59" s="276"/>
      <c r="AM59" s="276"/>
      <c r="AN59" s="276"/>
      <c r="AO59" s="276"/>
      <c r="AP59" s="276"/>
      <c r="AQ59" s="276"/>
      <c r="AR59" s="276"/>
      <c r="AS59" s="276"/>
      <c r="AT59" s="276"/>
      <c r="AU59" s="276"/>
      <c r="AV59" s="276"/>
      <c r="AW59" s="276"/>
      <c r="AX59" s="276"/>
      <c r="AY59" s="276"/>
    </row>
    <row r="60" spans="1:51" ht="15.75" customHeight="1" x14ac:dyDescent="0.25">
      <c r="A60" s="276"/>
      <c r="B60" s="533"/>
      <c r="C60" s="353"/>
      <c r="D60" s="276"/>
      <c r="E60" s="276"/>
      <c r="F60" s="276"/>
      <c r="G60" s="276"/>
      <c r="H60" s="276"/>
      <c r="I60" s="276"/>
      <c r="J60" s="353"/>
      <c r="K60" s="276"/>
      <c r="L60" s="276"/>
      <c r="M60" s="276"/>
      <c r="N60" s="276"/>
      <c r="O60" s="276"/>
      <c r="P60" s="276"/>
      <c r="Q60" s="276"/>
      <c r="R60" s="276"/>
      <c r="S60" s="276"/>
      <c r="T60" s="276"/>
      <c r="U60" s="276"/>
      <c r="V60" s="276"/>
      <c r="W60" s="276"/>
      <c r="X60" s="276"/>
      <c r="Y60" s="276"/>
      <c r="Z60" s="276"/>
      <c r="AA60" s="276"/>
      <c r="AB60" s="276"/>
      <c r="AC60" s="276"/>
      <c r="AD60" s="276"/>
      <c r="AE60" s="276"/>
      <c r="AF60" s="276"/>
      <c r="AG60" s="276"/>
      <c r="AH60" s="276"/>
      <c r="AI60" s="276"/>
      <c r="AJ60" s="276"/>
      <c r="AK60" s="276"/>
      <c r="AL60" s="276"/>
      <c r="AM60" s="276"/>
      <c r="AN60" s="276"/>
      <c r="AO60" s="276"/>
      <c r="AP60" s="276"/>
      <c r="AQ60" s="276"/>
      <c r="AR60" s="276"/>
      <c r="AS60" s="276"/>
      <c r="AT60" s="276"/>
      <c r="AU60" s="276"/>
      <c r="AV60" s="276"/>
      <c r="AW60" s="276"/>
      <c r="AX60" s="276"/>
      <c r="AY60" s="276"/>
    </row>
    <row r="61" spans="1:51" ht="15.75" customHeight="1" x14ac:dyDescent="0.25">
      <c r="A61" s="276"/>
      <c r="B61" s="533"/>
      <c r="C61" s="353"/>
      <c r="D61" s="276"/>
      <c r="E61" s="276"/>
      <c r="F61" s="276"/>
      <c r="G61" s="276"/>
      <c r="H61" s="276"/>
      <c r="I61" s="276"/>
      <c r="J61" s="353"/>
      <c r="K61" s="276"/>
      <c r="L61" s="276"/>
      <c r="M61" s="276"/>
      <c r="N61" s="276"/>
      <c r="O61" s="276"/>
      <c r="P61" s="276"/>
      <c r="Q61" s="276"/>
      <c r="R61" s="276"/>
      <c r="S61" s="276"/>
      <c r="T61" s="276"/>
      <c r="U61" s="276"/>
      <c r="V61" s="276"/>
      <c r="W61" s="276"/>
      <c r="X61" s="276"/>
      <c r="Y61" s="276"/>
      <c r="Z61" s="276"/>
      <c r="AA61" s="276"/>
      <c r="AB61" s="276"/>
      <c r="AC61" s="276"/>
      <c r="AD61" s="276"/>
      <c r="AE61" s="276"/>
      <c r="AF61" s="276"/>
      <c r="AG61" s="276"/>
      <c r="AH61" s="276"/>
      <c r="AI61" s="276"/>
      <c r="AJ61" s="276"/>
      <c r="AK61" s="276"/>
      <c r="AL61" s="276"/>
      <c r="AM61" s="276"/>
      <c r="AN61" s="276"/>
      <c r="AO61" s="276"/>
      <c r="AP61" s="276"/>
      <c r="AQ61" s="276"/>
      <c r="AR61" s="276"/>
      <c r="AS61" s="276"/>
      <c r="AT61" s="276"/>
      <c r="AU61" s="276"/>
      <c r="AV61" s="276"/>
      <c r="AW61" s="276"/>
      <c r="AX61" s="276"/>
      <c r="AY61" s="276"/>
    </row>
    <row r="62" spans="1:51" ht="15.75" customHeight="1" x14ac:dyDescent="0.25">
      <c r="A62" s="276"/>
      <c r="B62" s="533"/>
      <c r="C62" s="353"/>
      <c r="D62" s="276"/>
      <c r="E62" s="276"/>
      <c r="F62" s="276"/>
      <c r="G62" s="276"/>
      <c r="H62" s="276"/>
      <c r="I62" s="276"/>
      <c r="J62" s="353"/>
      <c r="K62" s="276"/>
      <c r="L62" s="276"/>
      <c r="M62" s="276"/>
      <c r="N62" s="276"/>
      <c r="O62" s="276"/>
      <c r="P62" s="276"/>
      <c r="Q62" s="276"/>
      <c r="R62" s="276"/>
      <c r="S62" s="276"/>
      <c r="T62" s="276"/>
      <c r="U62" s="276"/>
      <c r="V62" s="276"/>
      <c r="W62" s="276"/>
      <c r="X62" s="276"/>
      <c r="Y62" s="276"/>
      <c r="Z62" s="276"/>
      <c r="AA62" s="276"/>
      <c r="AB62" s="276"/>
      <c r="AC62" s="276"/>
      <c r="AD62" s="276"/>
      <c r="AE62" s="276"/>
      <c r="AF62" s="276"/>
      <c r="AG62" s="276"/>
      <c r="AH62" s="276"/>
      <c r="AI62" s="276"/>
      <c r="AJ62" s="276"/>
      <c r="AK62" s="276"/>
      <c r="AL62" s="276"/>
      <c r="AM62" s="276"/>
      <c r="AN62" s="276"/>
      <c r="AO62" s="276"/>
      <c r="AP62" s="276"/>
      <c r="AQ62" s="276"/>
      <c r="AR62" s="276"/>
      <c r="AS62" s="276"/>
      <c r="AT62" s="276"/>
      <c r="AU62" s="276"/>
      <c r="AV62" s="276"/>
      <c r="AW62" s="276"/>
      <c r="AX62" s="276"/>
      <c r="AY62" s="276"/>
    </row>
    <row r="63" spans="1:51" ht="15.75" customHeight="1" x14ac:dyDescent="0.25">
      <c r="A63" s="276"/>
      <c r="B63" s="533"/>
      <c r="C63" s="353"/>
      <c r="D63" s="276"/>
      <c r="E63" s="276"/>
      <c r="F63" s="276"/>
      <c r="G63" s="276"/>
      <c r="H63" s="276"/>
      <c r="I63" s="276"/>
      <c r="J63" s="353"/>
      <c r="K63" s="276"/>
      <c r="L63" s="276"/>
      <c r="M63" s="276"/>
      <c r="N63" s="276"/>
      <c r="O63" s="276"/>
      <c r="P63" s="276"/>
      <c r="Q63" s="276"/>
      <c r="R63" s="276"/>
      <c r="S63" s="276"/>
      <c r="T63" s="276"/>
      <c r="U63" s="276"/>
      <c r="V63" s="276"/>
      <c r="W63" s="276"/>
      <c r="X63" s="276"/>
      <c r="Y63" s="276"/>
      <c r="Z63" s="276"/>
      <c r="AA63" s="276"/>
      <c r="AB63" s="276"/>
      <c r="AC63" s="276"/>
      <c r="AD63" s="276"/>
      <c r="AE63" s="276"/>
      <c r="AF63" s="276"/>
      <c r="AG63" s="276"/>
      <c r="AH63" s="276"/>
      <c r="AI63" s="276"/>
      <c r="AJ63" s="276"/>
      <c r="AK63" s="276"/>
      <c r="AL63" s="276"/>
      <c r="AM63" s="276"/>
      <c r="AN63" s="276"/>
      <c r="AO63" s="276"/>
      <c r="AP63" s="276"/>
      <c r="AQ63" s="276"/>
      <c r="AR63" s="276"/>
      <c r="AS63" s="276"/>
      <c r="AT63" s="276"/>
      <c r="AU63" s="276"/>
      <c r="AV63" s="276"/>
      <c r="AW63" s="276"/>
      <c r="AX63" s="276"/>
      <c r="AY63" s="276"/>
    </row>
    <row r="64" spans="1:51" ht="15.75" customHeight="1" x14ac:dyDescent="0.25">
      <c r="A64" s="276"/>
      <c r="B64" s="533"/>
      <c r="C64" s="353"/>
      <c r="D64" s="276"/>
      <c r="E64" s="276"/>
      <c r="F64" s="276"/>
      <c r="G64" s="276"/>
      <c r="H64" s="276"/>
      <c r="I64" s="276"/>
      <c r="J64" s="353"/>
      <c r="K64" s="276"/>
      <c r="L64" s="276"/>
      <c r="M64" s="276"/>
      <c r="N64" s="276"/>
      <c r="O64" s="276"/>
      <c r="P64" s="276"/>
      <c r="Q64" s="276"/>
      <c r="R64" s="276"/>
      <c r="S64" s="276"/>
      <c r="T64" s="276"/>
      <c r="U64" s="276"/>
      <c r="V64" s="276"/>
      <c r="W64" s="276"/>
      <c r="X64" s="276"/>
      <c r="Y64" s="276"/>
      <c r="Z64" s="276"/>
      <c r="AA64" s="276"/>
      <c r="AB64" s="276"/>
      <c r="AC64" s="276"/>
      <c r="AD64" s="276"/>
      <c r="AE64" s="276"/>
      <c r="AF64" s="276"/>
      <c r="AG64" s="276"/>
      <c r="AH64" s="276"/>
      <c r="AI64" s="276"/>
      <c r="AJ64" s="276"/>
      <c r="AK64" s="276"/>
      <c r="AL64" s="276"/>
      <c r="AM64" s="276"/>
      <c r="AN64" s="276"/>
      <c r="AO64" s="276"/>
      <c r="AP64" s="276"/>
      <c r="AQ64" s="276"/>
      <c r="AR64" s="276"/>
      <c r="AS64" s="276"/>
      <c r="AT64" s="276"/>
      <c r="AU64" s="276"/>
      <c r="AV64" s="276"/>
      <c r="AW64" s="276"/>
      <c r="AX64" s="276"/>
      <c r="AY64" s="276"/>
    </row>
    <row r="65" spans="1:51" ht="15.75" customHeight="1" x14ac:dyDescent="0.25">
      <c r="A65" s="276"/>
      <c r="B65" s="533"/>
      <c r="C65" s="353"/>
      <c r="D65" s="276"/>
      <c r="E65" s="276"/>
      <c r="F65" s="276"/>
      <c r="G65" s="276"/>
      <c r="H65" s="276"/>
      <c r="I65" s="276"/>
      <c r="J65" s="353"/>
      <c r="K65" s="276"/>
      <c r="L65" s="276"/>
      <c r="M65" s="276"/>
      <c r="N65" s="276"/>
      <c r="O65" s="276"/>
      <c r="P65" s="276"/>
      <c r="Q65" s="276"/>
      <c r="R65" s="276"/>
      <c r="S65" s="276"/>
      <c r="T65" s="276"/>
      <c r="U65" s="276"/>
      <c r="V65" s="276"/>
      <c r="W65" s="276"/>
      <c r="X65" s="276"/>
      <c r="Y65" s="276"/>
      <c r="Z65" s="276"/>
      <c r="AA65" s="276"/>
      <c r="AB65" s="276"/>
      <c r="AC65" s="276"/>
      <c r="AD65" s="276"/>
      <c r="AE65" s="276"/>
      <c r="AF65" s="276"/>
      <c r="AG65" s="276"/>
      <c r="AH65" s="276"/>
      <c r="AI65" s="276"/>
      <c r="AJ65" s="276"/>
      <c r="AK65" s="276"/>
      <c r="AL65" s="276"/>
      <c r="AM65" s="276"/>
      <c r="AN65" s="276"/>
      <c r="AO65" s="276"/>
      <c r="AP65" s="276"/>
      <c r="AQ65" s="276"/>
      <c r="AR65" s="276"/>
      <c r="AS65" s="276"/>
      <c r="AT65" s="276"/>
      <c r="AU65" s="276"/>
      <c r="AV65" s="276"/>
      <c r="AW65" s="276"/>
      <c r="AX65" s="276"/>
      <c r="AY65" s="276"/>
    </row>
    <row r="66" spans="1:51" ht="15.75" customHeight="1" x14ac:dyDescent="0.25">
      <c r="A66" s="276"/>
      <c r="B66" s="533"/>
      <c r="C66" s="353"/>
      <c r="D66" s="276"/>
      <c r="E66" s="276"/>
      <c r="F66" s="276"/>
      <c r="G66" s="276"/>
      <c r="H66" s="276"/>
      <c r="I66" s="276"/>
      <c r="J66" s="353"/>
      <c r="K66" s="276"/>
      <c r="L66" s="276"/>
      <c r="M66" s="276"/>
      <c r="N66" s="276"/>
      <c r="O66" s="276"/>
      <c r="P66" s="276"/>
      <c r="Q66" s="276"/>
      <c r="R66" s="276"/>
      <c r="S66" s="276"/>
      <c r="T66" s="276"/>
      <c r="U66" s="276"/>
      <c r="V66" s="276"/>
      <c r="W66" s="276"/>
      <c r="X66" s="276"/>
      <c r="Y66" s="276"/>
      <c r="Z66" s="276"/>
      <c r="AA66" s="276"/>
      <c r="AB66" s="276"/>
      <c r="AC66" s="276"/>
      <c r="AD66" s="276"/>
      <c r="AE66" s="276"/>
      <c r="AF66" s="276"/>
      <c r="AG66" s="276"/>
      <c r="AH66" s="276"/>
      <c r="AI66" s="276"/>
      <c r="AJ66" s="276"/>
      <c r="AK66" s="276"/>
      <c r="AL66" s="276"/>
      <c r="AM66" s="276"/>
      <c r="AN66" s="276"/>
      <c r="AO66" s="276"/>
      <c r="AP66" s="276"/>
      <c r="AQ66" s="276"/>
      <c r="AR66" s="276"/>
      <c r="AS66" s="276"/>
      <c r="AT66" s="276"/>
      <c r="AU66" s="276"/>
      <c r="AV66" s="276"/>
      <c r="AW66" s="276"/>
      <c r="AX66" s="276"/>
      <c r="AY66" s="276"/>
    </row>
    <row r="67" spans="1:51" ht="15.75" customHeight="1" x14ac:dyDescent="0.25">
      <c r="A67" s="276"/>
      <c r="B67" s="533"/>
      <c r="C67" s="353"/>
      <c r="D67" s="276"/>
      <c r="E67" s="276"/>
      <c r="F67" s="276"/>
      <c r="G67" s="276"/>
      <c r="H67" s="276"/>
      <c r="I67" s="276"/>
      <c r="J67" s="353"/>
      <c r="K67" s="276"/>
      <c r="L67" s="276"/>
      <c r="M67" s="276"/>
      <c r="N67" s="276"/>
      <c r="O67" s="276"/>
      <c r="P67" s="276"/>
      <c r="Q67" s="276"/>
      <c r="R67" s="276"/>
      <c r="S67" s="276"/>
      <c r="T67" s="276"/>
      <c r="U67" s="276"/>
      <c r="V67" s="276"/>
      <c r="W67" s="276"/>
      <c r="X67" s="276"/>
      <c r="Y67" s="276"/>
      <c r="Z67" s="276"/>
      <c r="AA67" s="276"/>
      <c r="AB67" s="276"/>
      <c r="AC67" s="276"/>
      <c r="AD67" s="276"/>
      <c r="AE67" s="276"/>
      <c r="AF67" s="276"/>
      <c r="AG67" s="276"/>
      <c r="AH67" s="276"/>
      <c r="AI67" s="276"/>
      <c r="AJ67" s="276"/>
      <c r="AK67" s="276"/>
      <c r="AL67" s="276"/>
      <c r="AM67" s="276"/>
      <c r="AN67" s="276"/>
      <c r="AO67" s="276"/>
      <c r="AP67" s="276"/>
      <c r="AQ67" s="276"/>
      <c r="AR67" s="276"/>
      <c r="AS67" s="276"/>
      <c r="AT67" s="276"/>
      <c r="AU67" s="276"/>
      <c r="AV67" s="276"/>
      <c r="AW67" s="276"/>
      <c r="AX67" s="276"/>
      <c r="AY67" s="276"/>
    </row>
    <row r="68" spans="1:51" ht="15.75" customHeight="1" x14ac:dyDescent="0.25">
      <c r="A68" s="276"/>
      <c r="B68" s="533"/>
      <c r="C68" s="353"/>
      <c r="D68" s="276"/>
      <c r="E68" s="276"/>
      <c r="F68" s="276"/>
      <c r="G68" s="276"/>
      <c r="H68" s="276"/>
      <c r="I68" s="276"/>
      <c r="J68" s="353"/>
      <c r="K68" s="276"/>
      <c r="L68" s="276"/>
      <c r="M68" s="276"/>
      <c r="N68" s="276"/>
      <c r="O68" s="276"/>
      <c r="P68" s="276"/>
      <c r="Q68" s="276"/>
      <c r="R68" s="276"/>
      <c r="S68" s="276"/>
      <c r="T68" s="276"/>
      <c r="U68" s="276"/>
      <c r="V68" s="276"/>
      <c r="W68" s="276"/>
      <c r="X68" s="276"/>
      <c r="Y68" s="276"/>
      <c r="Z68" s="276"/>
      <c r="AA68" s="276"/>
      <c r="AB68" s="276"/>
      <c r="AC68" s="276"/>
      <c r="AD68" s="276"/>
      <c r="AE68" s="276"/>
      <c r="AF68" s="276"/>
      <c r="AG68" s="276"/>
      <c r="AH68" s="276"/>
      <c r="AI68" s="276"/>
      <c r="AJ68" s="276"/>
      <c r="AK68" s="276"/>
      <c r="AL68" s="276"/>
      <c r="AM68" s="276"/>
      <c r="AN68" s="276"/>
      <c r="AO68" s="276"/>
      <c r="AP68" s="276"/>
      <c r="AQ68" s="276"/>
      <c r="AR68" s="276"/>
      <c r="AS68" s="276"/>
      <c r="AT68" s="276"/>
      <c r="AU68" s="276"/>
      <c r="AV68" s="276"/>
      <c r="AW68" s="276"/>
      <c r="AX68" s="276"/>
      <c r="AY68" s="276"/>
    </row>
    <row r="69" spans="1:51" ht="15.75" customHeight="1" x14ac:dyDescent="0.25">
      <c r="A69" s="276"/>
      <c r="B69" s="533"/>
      <c r="C69" s="353"/>
      <c r="D69" s="276"/>
      <c r="E69" s="276"/>
      <c r="F69" s="276"/>
      <c r="G69" s="276"/>
      <c r="H69" s="276"/>
      <c r="I69" s="276"/>
      <c r="J69" s="353"/>
      <c r="K69" s="276"/>
      <c r="L69" s="276"/>
      <c r="M69" s="276"/>
      <c r="N69" s="276"/>
      <c r="O69" s="276"/>
      <c r="P69" s="276"/>
      <c r="Q69" s="276"/>
      <c r="R69" s="276"/>
      <c r="S69" s="276"/>
      <c r="T69" s="276"/>
      <c r="U69" s="276"/>
      <c r="V69" s="276"/>
      <c r="W69" s="276"/>
      <c r="X69" s="276"/>
      <c r="Y69" s="276"/>
      <c r="Z69" s="276"/>
      <c r="AA69" s="276"/>
      <c r="AB69" s="276"/>
      <c r="AC69" s="276"/>
      <c r="AD69" s="276"/>
      <c r="AE69" s="276"/>
      <c r="AF69" s="276"/>
      <c r="AG69" s="276"/>
      <c r="AH69" s="276"/>
      <c r="AI69" s="276"/>
      <c r="AJ69" s="276"/>
      <c r="AK69" s="276"/>
      <c r="AL69" s="276"/>
      <c r="AM69" s="276"/>
      <c r="AN69" s="276"/>
      <c r="AO69" s="276"/>
      <c r="AP69" s="276"/>
      <c r="AQ69" s="276"/>
      <c r="AR69" s="276"/>
      <c r="AS69" s="276"/>
      <c r="AT69" s="276"/>
      <c r="AU69" s="276"/>
      <c r="AV69" s="276"/>
      <c r="AW69" s="276"/>
      <c r="AX69" s="276"/>
      <c r="AY69" s="276"/>
    </row>
    <row r="70" spans="1:51" ht="15.75" customHeight="1" x14ac:dyDescent="0.25">
      <c r="A70" s="276"/>
      <c r="B70" s="533"/>
      <c r="C70" s="353"/>
      <c r="D70" s="276"/>
      <c r="E70" s="276"/>
      <c r="F70" s="276"/>
      <c r="G70" s="276"/>
      <c r="H70" s="276"/>
      <c r="I70" s="276"/>
      <c r="J70" s="353"/>
      <c r="K70" s="276"/>
      <c r="L70" s="276"/>
      <c r="M70" s="276"/>
      <c r="N70" s="276"/>
      <c r="O70" s="276"/>
      <c r="P70" s="276"/>
      <c r="Q70" s="276"/>
      <c r="R70" s="276"/>
      <c r="S70" s="276"/>
      <c r="T70" s="276"/>
      <c r="U70" s="276"/>
      <c r="V70" s="276"/>
      <c r="W70" s="276"/>
      <c r="X70" s="276"/>
      <c r="Y70" s="276"/>
      <c r="Z70" s="276"/>
      <c r="AA70" s="276"/>
      <c r="AB70" s="276"/>
      <c r="AC70" s="276"/>
      <c r="AD70" s="276"/>
      <c r="AE70" s="276"/>
      <c r="AF70" s="276"/>
      <c r="AG70" s="276"/>
      <c r="AH70" s="276"/>
      <c r="AI70" s="276"/>
      <c r="AJ70" s="276"/>
      <c r="AK70" s="276"/>
      <c r="AL70" s="276"/>
      <c r="AM70" s="276"/>
      <c r="AN70" s="276"/>
      <c r="AO70" s="276"/>
      <c r="AP70" s="276"/>
      <c r="AQ70" s="276"/>
      <c r="AR70" s="276"/>
      <c r="AS70" s="276"/>
      <c r="AT70" s="276"/>
      <c r="AU70" s="276"/>
      <c r="AV70" s="276"/>
      <c r="AW70" s="276"/>
      <c r="AX70" s="276"/>
      <c r="AY70" s="276"/>
    </row>
    <row r="71" spans="1:51" ht="15.75" customHeight="1" x14ac:dyDescent="0.25">
      <c r="A71" s="276"/>
      <c r="B71" s="533"/>
      <c r="C71" s="353"/>
      <c r="D71" s="276"/>
      <c r="E71" s="276"/>
      <c r="F71" s="276"/>
      <c r="G71" s="276"/>
      <c r="H71" s="276"/>
      <c r="I71" s="276"/>
      <c r="J71" s="353"/>
      <c r="K71" s="276"/>
      <c r="L71" s="276"/>
      <c r="M71" s="276"/>
      <c r="N71" s="276"/>
      <c r="O71" s="276"/>
      <c r="P71" s="276"/>
      <c r="Q71" s="276"/>
      <c r="R71" s="276"/>
      <c r="S71" s="276"/>
      <c r="T71" s="276"/>
      <c r="U71" s="276"/>
      <c r="V71" s="276"/>
      <c r="W71" s="276"/>
      <c r="X71" s="276"/>
      <c r="Y71" s="276"/>
      <c r="Z71" s="276"/>
      <c r="AA71" s="276"/>
      <c r="AB71" s="276"/>
      <c r="AC71" s="276"/>
      <c r="AD71" s="276"/>
      <c r="AE71" s="276"/>
      <c r="AF71" s="276"/>
      <c r="AG71" s="276"/>
      <c r="AH71" s="276"/>
      <c r="AI71" s="276"/>
      <c r="AJ71" s="276"/>
      <c r="AK71" s="276"/>
      <c r="AL71" s="276"/>
      <c r="AM71" s="276"/>
      <c r="AN71" s="276"/>
      <c r="AO71" s="276"/>
      <c r="AP71" s="276"/>
      <c r="AQ71" s="276"/>
      <c r="AR71" s="276"/>
      <c r="AS71" s="276"/>
      <c r="AT71" s="276"/>
      <c r="AU71" s="276"/>
      <c r="AV71" s="276"/>
      <c r="AW71" s="276"/>
      <c r="AX71" s="276"/>
      <c r="AY71" s="276"/>
    </row>
    <row r="72" spans="1:51" ht="15.75" customHeight="1" x14ac:dyDescent="0.25">
      <c r="A72" s="276"/>
      <c r="B72" s="533"/>
      <c r="C72" s="353"/>
      <c r="D72" s="276"/>
      <c r="E72" s="276"/>
      <c r="F72" s="276"/>
      <c r="G72" s="276"/>
      <c r="H72" s="276"/>
      <c r="I72" s="276"/>
      <c r="J72" s="353"/>
      <c r="K72" s="276"/>
      <c r="L72" s="276"/>
      <c r="M72" s="276"/>
      <c r="N72" s="276"/>
      <c r="O72" s="276"/>
      <c r="P72" s="276"/>
      <c r="Q72" s="276"/>
      <c r="R72" s="276"/>
      <c r="S72" s="276"/>
      <c r="T72" s="276"/>
      <c r="U72" s="276"/>
      <c r="V72" s="276"/>
      <c r="W72" s="276"/>
      <c r="X72" s="276"/>
      <c r="Y72" s="276"/>
      <c r="Z72" s="276"/>
      <c r="AA72" s="276"/>
      <c r="AB72" s="276"/>
      <c r="AC72" s="276"/>
      <c r="AD72" s="276"/>
      <c r="AE72" s="276"/>
      <c r="AF72" s="276"/>
      <c r="AG72" s="276"/>
      <c r="AH72" s="276"/>
      <c r="AI72" s="276"/>
      <c r="AJ72" s="276"/>
      <c r="AK72" s="276"/>
      <c r="AL72" s="276"/>
      <c r="AM72" s="276"/>
      <c r="AN72" s="276"/>
      <c r="AO72" s="276"/>
      <c r="AP72" s="276"/>
      <c r="AQ72" s="276"/>
      <c r="AR72" s="276"/>
      <c r="AS72" s="276"/>
      <c r="AT72" s="276"/>
      <c r="AU72" s="276"/>
      <c r="AV72" s="276"/>
      <c r="AW72" s="276"/>
      <c r="AX72" s="276"/>
      <c r="AY72" s="276"/>
    </row>
    <row r="73" spans="1:51" ht="15.75" customHeight="1" x14ac:dyDescent="0.25">
      <c r="A73" s="276"/>
      <c r="B73" s="533"/>
      <c r="C73" s="353"/>
      <c r="D73" s="276"/>
      <c r="E73" s="276"/>
      <c r="F73" s="276"/>
      <c r="G73" s="276"/>
      <c r="H73" s="276"/>
      <c r="I73" s="276"/>
      <c r="J73" s="353"/>
      <c r="K73" s="276"/>
      <c r="L73" s="276"/>
      <c r="M73" s="276"/>
      <c r="N73" s="276"/>
      <c r="O73" s="276"/>
      <c r="P73" s="276"/>
      <c r="Q73" s="276"/>
      <c r="R73" s="276"/>
      <c r="S73" s="276"/>
      <c r="T73" s="276"/>
      <c r="U73" s="276"/>
      <c r="V73" s="276"/>
      <c r="W73" s="276"/>
      <c r="X73" s="276"/>
      <c r="Y73" s="276"/>
      <c r="Z73" s="276"/>
      <c r="AA73" s="276"/>
      <c r="AB73" s="276"/>
      <c r="AC73" s="276"/>
      <c r="AD73" s="276"/>
      <c r="AE73" s="276"/>
      <c r="AF73" s="276"/>
      <c r="AG73" s="276"/>
      <c r="AH73" s="276"/>
      <c r="AI73" s="276"/>
      <c r="AJ73" s="276"/>
      <c r="AK73" s="276"/>
      <c r="AL73" s="276"/>
      <c r="AM73" s="276"/>
      <c r="AN73" s="276"/>
      <c r="AO73" s="276"/>
      <c r="AP73" s="276"/>
      <c r="AQ73" s="276"/>
      <c r="AR73" s="276"/>
      <c r="AS73" s="276"/>
      <c r="AT73" s="276"/>
      <c r="AU73" s="276"/>
      <c r="AV73" s="276"/>
      <c r="AW73" s="276"/>
      <c r="AX73" s="276"/>
      <c r="AY73" s="276"/>
    </row>
    <row r="74" spans="1:51" ht="15.75" customHeight="1" x14ac:dyDescent="0.25">
      <c r="A74" s="276"/>
      <c r="B74" s="533"/>
      <c r="C74" s="353"/>
      <c r="D74" s="276"/>
      <c r="E74" s="276"/>
      <c r="F74" s="276"/>
      <c r="G74" s="276"/>
      <c r="H74" s="276"/>
      <c r="I74" s="276"/>
      <c r="J74" s="353"/>
      <c r="K74" s="276"/>
      <c r="L74" s="276"/>
      <c r="M74" s="276"/>
      <c r="N74" s="276"/>
      <c r="O74" s="276"/>
      <c r="P74" s="276"/>
      <c r="Q74" s="276"/>
      <c r="R74" s="276"/>
      <c r="S74" s="276"/>
      <c r="T74" s="276"/>
      <c r="U74" s="276"/>
      <c r="V74" s="276"/>
      <c r="W74" s="276"/>
      <c r="X74" s="276"/>
      <c r="Y74" s="276"/>
      <c r="Z74" s="276"/>
      <c r="AA74" s="276"/>
      <c r="AB74" s="276"/>
      <c r="AC74" s="276"/>
      <c r="AD74" s="276"/>
      <c r="AE74" s="276"/>
      <c r="AF74" s="276"/>
      <c r="AG74" s="276"/>
      <c r="AH74" s="276"/>
      <c r="AI74" s="276"/>
      <c r="AJ74" s="276"/>
      <c r="AK74" s="276"/>
      <c r="AL74" s="276"/>
      <c r="AM74" s="276"/>
      <c r="AN74" s="276"/>
      <c r="AO74" s="276"/>
      <c r="AP74" s="276"/>
      <c r="AQ74" s="276"/>
      <c r="AR74" s="276"/>
      <c r="AS74" s="276"/>
      <c r="AT74" s="276"/>
      <c r="AU74" s="276"/>
      <c r="AV74" s="276"/>
      <c r="AW74" s="276"/>
      <c r="AX74" s="276"/>
      <c r="AY74" s="276"/>
    </row>
    <row r="75" spans="1:51" ht="15.75" customHeight="1" x14ac:dyDescent="0.25">
      <c r="A75" s="276"/>
      <c r="B75" s="533"/>
      <c r="C75" s="353"/>
      <c r="D75" s="276"/>
      <c r="E75" s="276"/>
      <c r="F75" s="276"/>
      <c r="G75" s="276"/>
      <c r="H75" s="276"/>
      <c r="I75" s="276"/>
      <c r="J75" s="353"/>
      <c r="K75" s="276"/>
      <c r="L75" s="276"/>
      <c r="M75" s="276"/>
      <c r="N75" s="276"/>
      <c r="O75" s="276"/>
      <c r="P75" s="276"/>
      <c r="Q75" s="276"/>
      <c r="R75" s="276"/>
      <c r="S75" s="276"/>
      <c r="T75" s="276"/>
      <c r="U75" s="276"/>
      <c r="V75" s="276"/>
      <c r="W75" s="276"/>
      <c r="X75" s="276"/>
      <c r="Y75" s="276"/>
      <c r="Z75" s="276"/>
      <c r="AA75" s="276"/>
      <c r="AB75" s="276"/>
      <c r="AC75" s="276"/>
      <c r="AD75" s="276"/>
      <c r="AE75" s="276"/>
      <c r="AF75" s="276"/>
      <c r="AG75" s="276"/>
      <c r="AH75" s="276"/>
      <c r="AI75" s="276"/>
      <c r="AJ75" s="276"/>
      <c r="AK75" s="276"/>
      <c r="AL75" s="276"/>
      <c r="AM75" s="276"/>
      <c r="AN75" s="276"/>
      <c r="AO75" s="276"/>
      <c r="AP75" s="276"/>
      <c r="AQ75" s="276"/>
      <c r="AR75" s="276"/>
      <c r="AS75" s="276"/>
      <c r="AT75" s="276"/>
      <c r="AU75" s="276"/>
      <c r="AV75" s="276"/>
      <c r="AW75" s="276"/>
      <c r="AX75" s="276"/>
      <c r="AY75" s="276"/>
    </row>
    <row r="76" spans="1:51" ht="15.75" customHeight="1" x14ac:dyDescent="0.25">
      <c r="A76" s="276"/>
      <c r="B76" s="533"/>
      <c r="C76" s="353"/>
      <c r="D76" s="276"/>
      <c r="E76" s="276"/>
      <c r="F76" s="276"/>
      <c r="G76" s="276"/>
      <c r="H76" s="276"/>
      <c r="I76" s="276"/>
      <c r="J76" s="353"/>
      <c r="K76" s="276"/>
      <c r="L76" s="276"/>
      <c r="M76" s="276"/>
      <c r="N76" s="276"/>
      <c r="O76" s="276"/>
      <c r="P76" s="276"/>
      <c r="Q76" s="276"/>
      <c r="R76" s="276"/>
      <c r="S76" s="276"/>
      <c r="T76" s="276"/>
      <c r="U76" s="276"/>
      <c r="V76" s="276"/>
      <c r="W76" s="276"/>
      <c r="X76" s="276"/>
      <c r="Y76" s="276"/>
      <c r="Z76" s="276"/>
      <c r="AA76" s="276"/>
      <c r="AB76" s="276"/>
      <c r="AC76" s="276"/>
      <c r="AD76" s="276"/>
      <c r="AE76" s="276"/>
      <c r="AF76" s="276"/>
      <c r="AG76" s="276"/>
      <c r="AH76" s="276"/>
      <c r="AI76" s="276"/>
      <c r="AJ76" s="276"/>
      <c r="AK76" s="276"/>
      <c r="AL76" s="276"/>
      <c r="AM76" s="276"/>
      <c r="AN76" s="276"/>
      <c r="AO76" s="276"/>
      <c r="AP76" s="276"/>
      <c r="AQ76" s="276"/>
      <c r="AR76" s="276"/>
      <c r="AS76" s="276"/>
      <c r="AT76" s="276"/>
      <c r="AU76" s="276"/>
      <c r="AV76" s="276"/>
      <c r="AW76" s="276"/>
      <c r="AX76" s="276"/>
      <c r="AY76" s="276"/>
    </row>
    <row r="77" spans="1:51" ht="15.75" customHeight="1" x14ac:dyDescent="0.25">
      <c r="A77" s="276"/>
      <c r="B77" s="533"/>
      <c r="C77" s="353"/>
      <c r="D77" s="276"/>
      <c r="E77" s="276"/>
      <c r="F77" s="276"/>
      <c r="G77" s="276"/>
      <c r="H77" s="276"/>
      <c r="I77" s="276"/>
      <c r="J77" s="353"/>
      <c r="K77" s="276"/>
      <c r="L77" s="276"/>
      <c r="M77" s="276"/>
      <c r="N77" s="276"/>
      <c r="O77" s="276"/>
      <c r="P77" s="276"/>
      <c r="Q77" s="276"/>
      <c r="R77" s="276"/>
      <c r="S77" s="276"/>
      <c r="T77" s="276"/>
      <c r="U77" s="276"/>
      <c r="V77" s="276"/>
      <c r="W77" s="276"/>
      <c r="X77" s="276"/>
      <c r="Y77" s="276"/>
      <c r="Z77" s="276"/>
      <c r="AA77" s="276"/>
      <c r="AB77" s="276"/>
      <c r="AC77" s="276"/>
      <c r="AD77" s="276"/>
      <c r="AE77" s="276"/>
      <c r="AF77" s="276"/>
      <c r="AG77" s="276"/>
      <c r="AH77" s="276"/>
      <c r="AI77" s="276"/>
      <c r="AJ77" s="276"/>
      <c r="AK77" s="276"/>
      <c r="AL77" s="276"/>
      <c r="AM77" s="276"/>
      <c r="AN77" s="276"/>
      <c r="AO77" s="276"/>
      <c r="AP77" s="276"/>
      <c r="AQ77" s="276"/>
      <c r="AR77" s="276"/>
      <c r="AS77" s="276"/>
      <c r="AT77" s="276"/>
      <c r="AU77" s="276"/>
      <c r="AV77" s="276"/>
      <c r="AW77" s="276"/>
      <c r="AX77" s="276"/>
      <c r="AY77" s="276"/>
    </row>
    <row r="78" spans="1:51" ht="15.75" customHeight="1" x14ac:dyDescent="0.25">
      <c r="A78" s="276"/>
      <c r="B78" s="533"/>
      <c r="C78" s="353"/>
      <c r="D78" s="276"/>
      <c r="E78" s="276"/>
      <c r="F78" s="276"/>
      <c r="G78" s="276"/>
      <c r="H78" s="276"/>
      <c r="I78" s="276"/>
      <c r="J78" s="353"/>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c r="AQ78" s="276"/>
      <c r="AR78" s="276"/>
      <c r="AS78" s="276"/>
      <c r="AT78" s="276"/>
      <c r="AU78" s="276"/>
      <c r="AV78" s="276"/>
      <c r="AW78" s="276"/>
      <c r="AX78" s="276"/>
      <c r="AY78" s="276"/>
    </row>
    <row r="79" spans="1:51" ht="15.75" customHeight="1" x14ac:dyDescent="0.25">
      <c r="A79" s="276"/>
      <c r="B79" s="533"/>
      <c r="C79" s="353"/>
      <c r="D79" s="276"/>
      <c r="E79" s="276"/>
      <c r="F79" s="276"/>
      <c r="G79" s="276"/>
      <c r="H79" s="276"/>
      <c r="I79" s="276"/>
      <c r="J79" s="353"/>
      <c r="K79" s="276"/>
      <c r="L79" s="276"/>
      <c r="M79" s="276"/>
      <c r="N79" s="276"/>
      <c r="O79" s="276"/>
      <c r="P79" s="276"/>
      <c r="Q79" s="276"/>
      <c r="R79" s="276"/>
      <c r="S79" s="276"/>
      <c r="T79" s="276"/>
      <c r="U79" s="276"/>
      <c r="V79" s="276"/>
      <c r="W79" s="276"/>
      <c r="X79" s="276"/>
      <c r="Y79" s="276"/>
      <c r="Z79" s="276"/>
      <c r="AA79" s="276"/>
      <c r="AB79" s="276"/>
      <c r="AC79" s="276"/>
      <c r="AD79" s="276"/>
      <c r="AE79" s="276"/>
      <c r="AF79" s="276"/>
      <c r="AG79" s="276"/>
      <c r="AH79" s="276"/>
      <c r="AI79" s="276"/>
      <c r="AJ79" s="276"/>
      <c r="AK79" s="276"/>
      <c r="AL79" s="276"/>
      <c r="AM79" s="276"/>
      <c r="AN79" s="276"/>
      <c r="AO79" s="276"/>
      <c r="AP79" s="276"/>
      <c r="AQ79" s="276"/>
      <c r="AR79" s="276"/>
      <c r="AS79" s="276"/>
      <c r="AT79" s="276"/>
      <c r="AU79" s="276"/>
      <c r="AV79" s="276"/>
      <c r="AW79" s="276"/>
      <c r="AX79" s="276"/>
      <c r="AY79" s="276"/>
    </row>
    <row r="80" spans="1:51" ht="15.75" customHeight="1" x14ac:dyDescent="0.25">
      <c r="A80" s="276"/>
      <c r="B80" s="533"/>
      <c r="C80" s="353"/>
      <c r="D80" s="276"/>
      <c r="E80" s="276"/>
      <c r="F80" s="276"/>
      <c r="G80" s="276"/>
      <c r="H80" s="276"/>
      <c r="I80" s="276"/>
      <c r="J80" s="353"/>
      <c r="K80" s="276"/>
      <c r="L80" s="276"/>
      <c r="M80" s="276"/>
      <c r="N80" s="276"/>
      <c r="O80" s="276"/>
      <c r="P80" s="276"/>
      <c r="Q80" s="276"/>
      <c r="R80" s="276"/>
      <c r="S80" s="276"/>
      <c r="T80" s="276"/>
      <c r="U80" s="276"/>
      <c r="V80" s="276"/>
      <c r="W80" s="276"/>
      <c r="X80" s="276"/>
      <c r="Y80" s="276"/>
      <c r="Z80" s="276"/>
      <c r="AA80" s="276"/>
      <c r="AB80" s="276"/>
      <c r="AC80" s="276"/>
      <c r="AD80" s="276"/>
      <c r="AE80" s="276"/>
      <c r="AF80" s="276"/>
      <c r="AG80" s="276"/>
      <c r="AH80" s="276"/>
      <c r="AI80" s="276"/>
      <c r="AJ80" s="276"/>
      <c r="AK80" s="276"/>
      <c r="AL80" s="276"/>
      <c r="AM80" s="276"/>
      <c r="AN80" s="276"/>
      <c r="AO80" s="276"/>
      <c r="AP80" s="276"/>
      <c r="AQ80" s="276"/>
      <c r="AR80" s="276"/>
      <c r="AS80" s="276"/>
      <c r="AT80" s="276"/>
      <c r="AU80" s="276"/>
      <c r="AV80" s="276"/>
      <c r="AW80" s="276"/>
      <c r="AX80" s="276"/>
      <c r="AY80" s="276"/>
    </row>
    <row r="81" spans="1:51" ht="15.75" customHeight="1" x14ac:dyDescent="0.25">
      <c r="A81" s="276"/>
      <c r="B81" s="533"/>
      <c r="C81" s="353"/>
      <c r="D81" s="276"/>
      <c r="E81" s="276"/>
      <c r="F81" s="276"/>
      <c r="G81" s="276"/>
      <c r="H81" s="276"/>
      <c r="I81" s="276"/>
      <c r="J81" s="353"/>
      <c r="K81" s="276"/>
      <c r="L81" s="276"/>
      <c r="M81" s="276"/>
      <c r="N81" s="276"/>
      <c r="O81" s="276"/>
      <c r="P81" s="276"/>
      <c r="Q81" s="276"/>
      <c r="R81" s="276"/>
      <c r="S81" s="276"/>
      <c r="T81" s="276"/>
      <c r="U81" s="276"/>
      <c r="V81" s="276"/>
      <c r="W81" s="276"/>
      <c r="X81" s="276"/>
      <c r="Y81" s="276"/>
      <c r="Z81" s="276"/>
      <c r="AA81" s="276"/>
      <c r="AB81" s="276"/>
      <c r="AC81" s="276"/>
      <c r="AD81" s="276"/>
      <c r="AE81" s="276"/>
      <c r="AF81" s="276"/>
      <c r="AG81" s="276"/>
      <c r="AH81" s="276"/>
      <c r="AI81" s="276"/>
      <c r="AJ81" s="276"/>
      <c r="AK81" s="276"/>
      <c r="AL81" s="276"/>
      <c r="AM81" s="276"/>
      <c r="AN81" s="276"/>
      <c r="AO81" s="276"/>
      <c r="AP81" s="276"/>
      <c r="AQ81" s="276"/>
      <c r="AR81" s="276"/>
      <c r="AS81" s="276"/>
      <c r="AT81" s="276"/>
      <c r="AU81" s="276"/>
      <c r="AV81" s="276"/>
      <c r="AW81" s="276"/>
      <c r="AX81" s="276"/>
      <c r="AY81" s="276"/>
    </row>
    <row r="82" spans="1:51" ht="15.75" customHeight="1" x14ac:dyDescent="0.25">
      <c r="A82" s="276"/>
      <c r="B82" s="533"/>
      <c r="C82" s="353"/>
      <c r="D82" s="276"/>
      <c r="E82" s="276"/>
      <c r="F82" s="276"/>
      <c r="G82" s="276"/>
      <c r="H82" s="276"/>
      <c r="I82" s="276"/>
      <c r="J82" s="353"/>
      <c r="K82" s="276"/>
      <c r="L82" s="276"/>
      <c r="M82" s="276"/>
      <c r="N82" s="276"/>
      <c r="O82" s="276"/>
      <c r="P82" s="276"/>
      <c r="Q82" s="276"/>
      <c r="R82" s="276"/>
      <c r="S82" s="276"/>
      <c r="T82" s="276"/>
      <c r="U82" s="276"/>
      <c r="V82" s="276"/>
      <c r="W82" s="276"/>
      <c r="X82" s="276"/>
      <c r="Y82" s="276"/>
      <c r="Z82" s="276"/>
      <c r="AA82" s="276"/>
      <c r="AB82" s="276"/>
      <c r="AC82" s="276"/>
      <c r="AD82" s="276"/>
      <c r="AE82" s="276"/>
      <c r="AF82" s="276"/>
      <c r="AG82" s="276"/>
      <c r="AH82" s="276"/>
      <c r="AI82" s="276"/>
      <c r="AJ82" s="276"/>
      <c r="AK82" s="276"/>
      <c r="AL82" s="276"/>
      <c r="AM82" s="276"/>
      <c r="AN82" s="276"/>
      <c r="AO82" s="276"/>
      <c r="AP82" s="276"/>
      <c r="AQ82" s="276"/>
      <c r="AR82" s="276"/>
      <c r="AS82" s="276"/>
      <c r="AT82" s="276"/>
      <c r="AU82" s="276"/>
      <c r="AV82" s="276"/>
      <c r="AW82" s="276"/>
      <c r="AX82" s="276"/>
      <c r="AY82" s="276"/>
    </row>
    <row r="83" spans="1:51" ht="15.75" customHeight="1" x14ac:dyDescent="0.25">
      <c r="A83" s="276"/>
      <c r="B83" s="533"/>
      <c r="C83" s="353"/>
      <c r="D83" s="276"/>
      <c r="E83" s="276"/>
      <c r="F83" s="276"/>
      <c r="G83" s="276"/>
      <c r="H83" s="276"/>
      <c r="I83" s="276"/>
      <c r="J83" s="353"/>
      <c r="K83" s="276"/>
      <c r="L83" s="276"/>
      <c r="M83" s="276"/>
      <c r="N83" s="276"/>
      <c r="O83" s="276"/>
      <c r="P83" s="276"/>
      <c r="Q83" s="276"/>
      <c r="R83" s="276"/>
      <c r="S83" s="276"/>
      <c r="T83" s="276"/>
      <c r="U83" s="276"/>
      <c r="V83" s="276"/>
      <c r="W83" s="276"/>
      <c r="X83" s="276"/>
      <c r="Y83" s="276"/>
      <c r="Z83" s="276"/>
      <c r="AA83" s="276"/>
      <c r="AB83" s="276"/>
      <c r="AC83" s="276"/>
      <c r="AD83" s="276"/>
      <c r="AE83" s="276"/>
      <c r="AF83" s="276"/>
      <c r="AG83" s="276"/>
      <c r="AH83" s="276"/>
      <c r="AI83" s="276"/>
      <c r="AJ83" s="276"/>
      <c r="AK83" s="276"/>
      <c r="AL83" s="276"/>
      <c r="AM83" s="276"/>
      <c r="AN83" s="276"/>
      <c r="AO83" s="276"/>
      <c r="AP83" s="276"/>
      <c r="AQ83" s="276"/>
      <c r="AR83" s="276"/>
      <c r="AS83" s="276"/>
      <c r="AT83" s="276"/>
      <c r="AU83" s="276"/>
      <c r="AV83" s="276"/>
      <c r="AW83" s="276"/>
      <c r="AX83" s="276"/>
      <c r="AY83" s="276"/>
    </row>
    <row r="84" spans="1:51" ht="15.75" customHeight="1" x14ac:dyDescent="0.25">
      <c r="A84" s="276"/>
      <c r="B84" s="533"/>
      <c r="C84" s="353"/>
      <c r="D84" s="276"/>
      <c r="E84" s="276"/>
      <c r="F84" s="276"/>
      <c r="G84" s="276"/>
      <c r="H84" s="276"/>
      <c r="I84" s="276"/>
      <c r="J84" s="353"/>
      <c r="K84" s="276"/>
      <c r="L84" s="276"/>
      <c r="M84" s="276"/>
      <c r="N84" s="276"/>
      <c r="O84" s="276"/>
      <c r="P84" s="276"/>
      <c r="Q84" s="276"/>
      <c r="R84" s="276"/>
      <c r="S84" s="276"/>
      <c r="T84" s="276"/>
      <c r="U84" s="276"/>
      <c r="V84" s="276"/>
      <c r="W84" s="276"/>
      <c r="X84" s="276"/>
      <c r="Y84" s="276"/>
      <c r="Z84" s="276"/>
      <c r="AA84" s="276"/>
      <c r="AB84" s="276"/>
      <c r="AC84" s="276"/>
      <c r="AD84" s="276"/>
      <c r="AE84" s="276"/>
      <c r="AF84" s="276"/>
      <c r="AG84" s="276"/>
      <c r="AH84" s="276"/>
      <c r="AI84" s="276"/>
      <c r="AJ84" s="276"/>
      <c r="AK84" s="276"/>
      <c r="AL84" s="276"/>
      <c r="AM84" s="276"/>
      <c r="AN84" s="276"/>
      <c r="AO84" s="276"/>
      <c r="AP84" s="276"/>
      <c r="AQ84" s="276"/>
      <c r="AR84" s="276"/>
      <c r="AS84" s="276"/>
      <c r="AT84" s="276"/>
      <c r="AU84" s="276"/>
      <c r="AV84" s="276"/>
      <c r="AW84" s="276"/>
      <c r="AX84" s="276"/>
      <c r="AY84" s="276"/>
    </row>
    <row r="85" spans="1:51" ht="15.75" customHeight="1" x14ac:dyDescent="0.25">
      <c r="A85" s="276"/>
      <c r="B85" s="533"/>
      <c r="C85" s="353"/>
      <c r="D85" s="276"/>
      <c r="E85" s="276"/>
      <c r="F85" s="276"/>
      <c r="G85" s="276"/>
      <c r="H85" s="276"/>
      <c r="I85" s="276"/>
      <c r="J85" s="353"/>
      <c r="K85" s="276"/>
      <c r="L85" s="276"/>
      <c r="M85" s="276"/>
      <c r="N85" s="276"/>
      <c r="O85" s="276"/>
      <c r="P85" s="276"/>
      <c r="Q85" s="276"/>
      <c r="R85" s="276"/>
      <c r="S85" s="276"/>
      <c r="T85" s="276"/>
      <c r="U85" s="276"/>
      <c r="V85" s="276"/>
      <c r="W85" s="276"/>
      <c r="X85" s="276"/>
      <c r="Y85" s="276"/>
      <c r="Z85" s="276"/>
      <c r="AA85" s="276"/>
      <c r="AB85" s="276"/>
      <c r="AC85" s="276"/>
      <c r="AD85" s="276"/>
      <c r="AE85" s="276"/>
      <c r="AF85" s="276"/>
      <c r="AG85" s="276"/>
      <c r="AH85" s="276"/>
      <c r="AI85" s="276"/>
      <c r="AJ85" s="276"/>
      <c r="AK85" s="276"/>
      <c r="AL85" s="276"/>
      <c r="AM85" s="276"/>
      <c r="AN85" s="276"/>
      <c r="AO85" s="276"/>
      <c r="AP85" s="276"/>
      <c r="AQ85" s="276"/>
      <c r="AR85" s="276"/>
      <c r="AS85" s="276"/>
      <c r="AT85" s="276"/>
      <c r="AU85" s="276"/>
      <c r="AV85" s="276"/>
      <c r="AW85" s="276"/>
      <c r="AX85" s="276"/>
      <c r="AY85" s="276"/>
    </row>
    <row r="86" spans="1:51" ht="15.75" customHeight="1" x14ac:dyDescent="0.25">
      <c r="A86" s="276"/>
      <c r="B86" s="533"/>
      <c r="C86" s="353"/>
      <c r="D86" s="276"/>
      <c r="E86" s="276"/>
      <c r="F86" s="276"/>
      <c r="G86" s="276"/>
      <c r="H86" s="276"/>
      <c r="I86" s="276"/>
      <c r="J86" s="353"/>
      <c r="K86" s="276"/>
      <c r="L86" s="276"/>
      <c r="M86" s="276"/>
      <c r="N86" s="276"/>
      <c r="O86" s="276"/>
      <c r="P86" s="276"/>
      <c r="Q86" s="276"/>
      <c r="R86" s="276"/>
      <c r="S86" s="276"/>
      <c r="T86" s="276"/>
      <c r="U86" s="276"/>
      <c r="V86" s="276"/>
      <c r="W86" s="276"/>
      <c r="X86" s="276"/>
      <c r="Y86" s="276"/>
      <c r="Z86" s="276"/>
      <c r="AA86" s="276"/>
      <c r="AB86" s="276"/>
      <c r="AC86" s="276"/>
      <c r="AD86" s="276"/>
      <c r="AE86" s="276"/>
      <c r="AF86" s="276"/>
      <c r="AG86" s="276"/>
      <c r="AH86" s="276"/>
      <c r="AI86" s="276"/>
      <c r="AJ86" s="276"/>
      <c r="AK86" s="276"/>
      <c r="AL86" s="276"/>
      <c r="AM86" s="276"/>
      <c r="AN86" s="276"/>
      <c r="AO86" s="276"/>
      <c r="AP86" s="276"/>
      <c r="AQ86" s="276"/>
      <c r="AR86" s="276"/>
      <c r="AS86" s="276"/>
      <c r="AT86" s="276"/>
      <c r="AU86" s="276"/>
      <c r="AV86" s="276"/>
      <c r="AW86" s="276"/>
      <c r="AX86" s="276"/>
      <c r="AY86" s="276"/>
    </row>
    <row r="87" spans="1:51" ht="15.75" customHeight="1" x14ac:dyDescent="0.25">
      <c r="A87" s="276"/>
      <c r="B87" s="533"/>
      <c r="C87" s="353"/>
      <c r="D87" s="276"/>
      <c r="E87" s="276"/>
      <c r="F87" s="276"/>
      <c r="G87" s="276"/>
      <c r="H87" s="276"/>
      <c r="I87" s="276"/>
      <c r="J87" s="353"/>
      <c r="K87" s="276"/>
      <c r="L87" s="276"/>
      <c r="M87" s="276"/>
      <c r="N87" s="276"/>
      <c r="O87" s="276"/>
      <c r="P87" s="276"/>
      <c r="Q87" s="276"/>
      <c r="R87" s="276"/>
      <c r="S87" s="276"/>
      <c r="T87" s="276"/>
      <c r="U87" s="276"/>
      <c r="V87" s="276"/>
      <c r="W87" s="276"/>
      <c r="X87" s="276"/>
      <c r="Y87" s="276"/>
      <c r="Z87" s="276"/>
      <c r="AA87" s="276"/>
      <c r="AB87" s="276"/>
      <c r="AC87" s="276"/>
      <c r="AD87" s="276"/>
      <c r="AE87" s="276"/>
      <c r="AF87" s="276"/>
      <c r="AG87" s="276"/>
      <c r="AH87" s="276"/>
      <c r="AI87" s="276"/>
      <c r="AJ87" s="276"/>
      <c r="AK87" s="276"/>
      <c r="AL87" s="276"/>
      <c r="AM87" s="276"/>
      <c r="AN87" s="276"/>
      <c r="AO87" s="276"/>
      <c r="AP87" s="276"/>
      <c r="AQ87" s="276"/>
      <c r="AR87" s="276"/>
      <c r="AS87" s="276"/>
      <c r="AT87" s="276"/>
      <c r="AU87" s="276"/>
      <c r="AV87" s="276"/>
      <c r="AW87" s="276"/>
      <c r="AX87" s="276"/>
      <c r="AY87" s="276"/>
    </row>
    <row r="88" spans="1:51" ht="15.75" customHeight="1" x14ac:dyDescent="0.25">
      <c r="A88" s="276"/>
      <c r="B88" s="533"/>
      <c r="C88" s="353"/>
      <c r="D88" s="276"/>
      <c r="E88" s="276"/>
      <c r="F88" s="276"/>
      <c r="G88" s="276"/>
      <c r="H88" s="276"/>
      <c r="I88" s="276"/>
      <c r="J88" s="353"/>
      <c r="K88" s="276"/>
      <c r="L88" s="276"/>
      <c r="M88" s="276"/>
      <c r="N88" s="276"/>
      <c r="O88" s="276"/>
      <c r="P88" s="276"/>
      <c r="Q88" s="276"/>
      <c r="R88" s="276"/>
      <c r="S88" s="276"/>
      <c r="T88" s="276"/>
      <c r="U88" s="276"/>
      <c r="V88" s="276"/>
      <c r="W88" s="276"/>
      <c r="X88" s="276"/>
      <c r="Y88" s="276"/>
      <c r="Z88" s="276"/>
      <c r="AA88" s="276"/>
      <c r="AB88" s="276"/>
      <c r="AC88" s="276"/>
      <c r="AD88" s="276"/>
      <c r="AE88" s="276"/>
      <c r="AF88" s="276"/>
      <c r="AG88" s="276"/>
      <c r="AH88" s="276"/>
      <c r="AI88" s="276"/>
      <c r="AJ88" s="276"/>
      <c r="AK88" s="276"/>
      <c r="AL88" s="276"/>
      <c r="AM88" s="276"/>
      <c r="AN88" s="276"/>
      <c r="AO88" s="276"/>
      <c r="AP88" s="276"/>
      <c r="AQ88" s="276"/>
      <c r="AR88" s="276"/>
      <c r="AS88" s="276"/>
      <c r="AT88" s="276"/>
      <c r="AU88" s="276"/>
      <c r="AV88" s="276"/>
      <c r="AW88" s="276"/>
      <c r="AX88" s="276"/>
      <c r="AY88" s="276"/>
    </row>
    <row r="89" spans="1:51" ht="15.75" customHeight="1" x14ac:dyDescent="0.25">
      <c r="A89" s="276"/>
      <c r="B89" s="533"/>
      <c r="C89" s="353"/>
      <c r="D89" s="276"/>
      <c r="E89" s="276"/>
      <c r="F89" s="276"/>
      <c r="G89" s="276"/>
      <c r="H89" s="276"/>
      <c r="I89" s="276"/>
      <c r="J89" s="353"/>
      <c r="K89" s="276"/>
      <c r="L89" s="276"/>
      <c r="M89" s="276"/>
      <c r="N89" s="276"/>
      <c r="O89" s="276"/>
      <c r="P89" s="276"/>
      <c r="Q89" s="276"/>
      <c r="R89" s="276"/>
      <c r="S89" s="276"/>
      <c r="T89" s="276"/>
      <c r="U89" s="276"/>
      <c r="V89" s="276"/>
      <c r="W89" s="276"/>
      <c r="X89" s="276"/>
      <c r="Y89" s="276"/>
      <c r="Z89" s="276"/>
      <c r="AA89" s="276"/>
      <c r="AB89" s="276"/>
      <c r="AC89" s="276"/>
      <c r="AD89" s="276"/>
      <c r="AE89" s="276"/>
      <c r="AF89" s="276"/>
      <c r="AG89" s="276"/>
      <c r="AH89" s="276"/>
      <c r="AI89" s="276"/>
      <c r="AJ89" s="276"/>
      <c r="AK89" s="276"/>
      <c r="AL89" s="276"/>
      <c r="AM89" s="276"/>
      <c r="AN89" s="276"/>
      <c r="AO89" s="276"/>
      <c r="AP89" s="276"/>
      <c r="AQ89" s="276"/>
      <c r="AR89" s="276"/>
      <c r="AS89" s="276"/>
      <c r="AT89" s="276"/>
      <c r="AU89" s="276"/>
      <c r="AV89" s="276"/>
      <c r="AW89" s="276"/>
      <c r="AX89" s="276"/>
      <c r="AY89" s="276"/>
    </row>
    <row r="90" spans="1:51" ht="15.75" customHeight="1" x14ac:dyDescent="0.25">
      <c r="A90" s="276"/>
      <c r="B90" s="533"/>
      <c r="C90" s="353"/>
      <c r="D90" s="276"/>
      <c r="E90" s="276"/>
      <c r="F90" s="276"/>
      <c r="G90" s="276"/>
      <c r="H90" s="276"/>
      <c r="I90" s="276"/>
      <c r="J90" s="353"/>
      <c r="K90" s="276"/>
      <c r="L90" s="276"/>
      <c r="M90" s="276"/>
      <c r="N90" s="276"/>
      <c r="O90" s="276"/>
      <c r="P90" s="276"/>
      <c r="Q90" s="276"/>
      <c r="R90" s="276"/>
      <c r="S90" s="276"/>
      <c r="T90" s="276"/>
      <c r="U90" s="276"/>
      <c r="V90" s="276"/>
      <c r="W90" s="276"/>
      <c r="X90" s="276"/>
      <c r="Y90" s="276"/>
      <c r="Z90" s="276"/>
      <c r="AA90" s="276"/>
      <c r="AB90" s="276"/>
      <c r="AC90" s="276"/>
      <c r="AD90" s="276"/>
      <c r="AE90" s="276"/>
      <c r="AF90" s="276"/>
      <c r="AG90" s="276"/>
      <c r="AH90" s="276"/>
      <c r="AI90" s="276"/>
      <c r="AJ90" s="276"/>
      <c r="AK90" s="276"/>
      <c r="AL90" s="276"/>
      <c r="AM90" s="276"/>
      <c r="AN90" s="276"/>
      <c r="AO90" s="276"/>
      <c r="AP90" s="276"/>
      <c r="AQ90" s="276"/>
      <c r="AR90" s="276"/>
      <c r="AS90" s="276"/>
      <c r="AT90" s="276"/>
      <c r="AU90" s="276"/>
      <c r="AV90" s="276"/>
      <c r="AW90" s="276"/>
      <c r="AX90" s="276"/>
      <c r="AY90" s="276"/>
    </row>
    <row r="91" spans="1:51" ht="15.75" customHeight="1" x14ac:dyDescent="0.25">
      <c r="A91" s="276"/>
      <c r="B91" s="533"/>
      <c r="C91" s="353"/>
      <c r="D91" s="276"/>
      <c r="E91" s="276"/>
      <c r="F91" s="276"/>
      <c r="G91" s="276"/>
      <c r="H91" s="276"/>
      <c r="I91" s="276"/>
      <c r="J91" s="353"/>
      <c r="K91" s="276"/>
      <c r="L91" s="276"/>
      <c r="M91" s="276"/>
      <c r="N91" s="276"/>
      <c r="O91" s="276"/>
      <c r="P91" s="276"/>
      <c r="Q91" s="276"/>
      <c r="R91" s="276"/>
      <c r="S91" s="276"/>
      <c r="T91" s="276"/>
      <c r="U91" s="276"/>
      <c r="V91" s="276"/>
      <c r="W91" s="276"/>
      <c r="X91" s="276"/>
      <c r="Y91" s="276"/>
      <c r="Z91" s="276"/>
      <c r="AA91" s="276"/>
      <c r="AB91" s="276"/>
      <c r="AC91" s="276"/>
      <c r="AD91" s="276"/>
      <c r="AE91" s="276"/>
      <c r="AF91" s="276"/>
      <c r="AG91" s="276"/>
      <c r="AH91" s="276"/>
      <c r="AI91" s="276"/>
      <c r="AJ91" s="276"/>
      <c r="AK91" s="276"/>
      <c r="AL91" s="276"/>
      <c r="AM91" s="276"/>
      <c r="AN91" s="276"/>
      <c r="AO91" s="276"/>
      <c r="AP91" s="276"/>
      <c r="AQ91" s="276"/>
      <c r="AR91" s="276"/>
      <c r="AS91" s="276"/>
      <c r="AT91" s="276"/>
      <c r="AU91" s="276"/>
      <c r="AV91" s="276"/>
      <c r="AW91" s="276"/>
      <c r="AX91" s="276"/>
      <c r="AY91" s="276"/>
    </row>
    <row r="92" spans="1:51" ht="15.75" customHeight="1" x14ac:dyDescent="0.25">
      <c r="A92" s="276"/>
      <c r="B92" s="533"/>
      <c r="C92" s="353"/>
      <c r="D92" s="276"/>
      <c r="E92" s="276"/>
      <c r="F92" s="276"/>
      <c r="G92" s="276"/>
      <c r="H92" s="276"/>
      <c r="I92" s="276"/>
      <c r="J92" s="353"/>
      <c r="K92" s="276"/>
      <c r="L92" s="276"/>
      <c r="M92" s="276"/>
      <c r="N92" s="276"/>
      <c r="O92" s="276"/>
      <c r="P92" s="276"/>
      <c r="Q92" s="276"/>
      <c r="R92" s="276"/>
      <c r="S92" s="276"/>
      <c r="T92" s="276"/>
      <c r="U92" s="276"/>
      <c r="V92" s="276"/>
      <c r="W92" s="276"/>
      <c r="X92" s="276"/>
      <c r="Y92" s="276"/>
      <c r="Z92" s="276"/>
      <c r="AA92" s="276"/>
      <c r="AB92" s="276"/>
      <c r="AC92" s="276"/>
      <c r="AD92" s="276"/>
      <c r="AE92" s="276"/>
      <c r="AF92" s="276"/>
      <c r="AG92" s="276"/>
      <c r="AH92" s="276"/>
      <c r="AI92" s="276"/>
      <c r="AJ92" s="276"/>
      <c r="AK92" s="276"/>
      <c r="AL92" s="276"/>
      <c r="AM92" s="276"/>
      <c r="AN92" s="276"/>
      <c r="AO92" s="276"/>
      <c r="AP92" s="276"/>
      <c r="AQ92" s="276"/>
      <c r="AR92" s="276"/>
      <c r="AS92" s="276"/>
      <c r="AT92" s="276"/>
      <c r="AU92" s="276"/>
      <c r="AV92" s="276"/>
      <c r="AW92" s="276"/>
      <c r="AX92" s="276"/>
      <c r="AY92" s="276"/>
    </row>
    <row r="93" spans="1:51" ht="15.75" customHeight="1" x14ac:dyDescent="0.25">
      <c r="A93" s="276"/>
      <c r="B93" s="533"/>
      <c r="C93" s="353"/>
      <c r="D93" s="276"/>
      <c r="E93" s="276"/>
      <c r="F93" s="276"/>
      <c r="G93" s="276"/>
      <c r="H93" s="276"/>
      <c r="I93" s="276"/>
      <c r="J93" s="353"/>
      <c r="K93" s="276"/>
      <c r="L93" s="276"/>
      <c r="M93" s="276"/>
      <c r="N93" s="276"/>
      <c r="O93" s="276"/>
      <c r="P93" s="276"/>
      <c r="Q93" s="276"/>
      <c r="R93" s="276"/>
      <c r="S93" s="276"/>
      <c r="T93" s="276"/>
      <c r="U93" s="276"/>
      <c r="V93" s="276"/>
      <c r="W93" s="276"/>
      <c r="X93" s="276"/>
      <c r="Y93" s="276"/>
      <c r="Z93" s="276"/>
      <c r="AA93" s="276"/>
      <c r="AB93" s="276"/>
      <c r="AC93" s="276"/>
      <c r="AD93" s="276"/>
      <c r="AE93" s="276"/>
      <c r="AF93" s="276"/>
      <c r="AG93" s="276"/>
      <c r="AH93" s="276"/>
      <c r="AI93" s="276"/>
      <c r="AJ93" s="276"/>
      <c r="AK93" s="276"/>
      <c r="AL93" s="276"/>
      <c r="AM93" s="276"/>
      <c r="AN93" s="276"/>
      <c r="AO93" s="276"/>
      <c r="AP93" s="276"/>
      <c r="AQ93" s="276"/>
      <c r="AR93" s="276"/>
      <c r="AS93" s="276"/>
      <c r="AT93" s="276"/>
      <c r="AU93" s="276"/>
      <c r="AV93" s="276"/>
      <c r="AW93" s="276"/>
      <c r="AX93" s="276"/>
      <c r="AY93" s="276"/>
    </row>
    <row r="94" spans="1:51" ht="15.75" customHeight="1" x14ac:dyDescent="0.25">
      <c r="A94" s="276"/>
      <c r="B94" s="533"/>
      <c r="C94" s="353"/>
      <c r="D94" s="276"/>
      <c r="E94" s="276"/>
      <c r="F94" s="276"/>
      <c r="G94" s="276"/>
      <c r="H94" s="276"/>
      <c r="I94" s="276"/>
      <c r="J94" s="353"/>
      <c r="K94" s="276"/>
      <c r="L94" s="276"/>
      <c r="M94" s="276"/>
      <c r="N94" s="276"/>
      <c r="O94" s="276"/>
      <c r="P94" s="276"/>
      <c r="Q94" s="276"/>
      <c r="R94" s="276"/>
      <c r="S94" s="276"/>
      <c r="T94" s="276"/>
      <c r="U94" s="276"/>
      <c r="V94" s="276"/>
      <c r="W94" s="276"/>
      <c r="X94" s="276"/>
      <c r="Y94" s="276"/>
      <c r="Z94" s="276"/>
      <c r="AA94" s="276"/>
      <c r="AB94" s="276"/>
      <c r="AC94" s="276"/>
      <c r="AD94" s="276"/>
      <c r="AE94" s="276"/>
      <c r="AF94" s="276"/>
      <c r="AG94" s="276"/>
      <c r="AH94" s="276"/>
      <c r="AI94" s="276"/>
      <c r="AJ94" s="276"/>
      <c r="AK94" s="276"/>
      <c r="AL94" s="276"/>
      <c r="AM94" s="276"/>
      <c r="AN94" s="276"/>
      <c r="AO94" s="276"/>
      <c r="AP94" s="276"/>
      <c r="AQ94" s="276"/>
      <c r="AR94" s="276"/>
      <c r="AS94" s="276"/>
      <c r="AT94" s="276"/>
      <c r="AU94" s="276"/>
      <c r="AV94" s="276"/>
      <c r="AW94" s="276"/>
      <c r="AX94" s="276"/>
      <c r="AY94" s="276"/>
    </row>
    <row r="95" spans="1:51" ht="15.75" customHeight="1" x14ac:dyDescent="0.25">
      <c r="A95" s="276"/>
      <c r="B95" s="533"/>
      <c r="C95" s="353"/>
      <c r="D95" s="276"/>
      <c r="E95" s="276"/>
      <c r="F95" s="276"/>
      <c r="G95" s="276"/>
      <c r="H95" s="276"/>
      <c r="I95" s="276"/>
      <c r="J95" s="353"/>
      <c r="K95" s="276"/>
      <c r="L95" s="276"/>
      <c r="M95" s="276"/>
      <c r="N95" s="276"/>
      <c r="O95" s="276"/>
      <c r="P95" s="276"/>
      <c r="Q95" s="276"/>
      <c r="R95" s="276"/>
      <c r="S95" s="276"/>
      <c r="T95" s="276"/>
      <c r="U95" s="276"/>
      <c r="V95" s="276"/>
      <c r="W95" s="276"/>
      <c r="X95" s="276"/>
      <c r="Y95" s="276"/>
      <c r="Z95" s="276"/>
      <c r="AA95" s="276"/>
      <c r="AB95" s="276"/>
      <c r="AC95" s="276"/>
      <c r="AD95" s="276"/>
      <c r="AE95" s="276"/>
      <c r="AF95" s="276"/>
      <c r="AG95" s="276"/>
      <c r="AH95" s="276"/>
      <c r="AI95" s="276"/>
      <c r="AJ95" s="276"/>
      <c r="AK95" s="276"/>
      <c r="AL95" s="276"/>
      <c r="AM95" s="276"/>
      <c r="AN95" s="276"/>
      <c r="AO95" s="276"/>
      <c r="AP95" s="276"/>
      <c r="AQ95" s="276"/>
      <c r="AR95" s="276"/>
      <c r="AS95" s="276"/>
      <c r="AT95" s="276"/>
      <c r="AU95" s="276"/>
      <c r="AV95" s="276"/>
      <c r="AW95" s="276"/>
      <c r="AX95" s="276"/>
      <c r="AY95" s="276"/>
    </row>
    <row r="96" spans="1:51" ht="15.75" customHeight="1" x14ac:dyDescent="0.25">
      <c r="A96" s="276"/>
      <c r="B96" s="533"/>
      <c r="C96" s="353"/>
      <c r="D96" s="276"/>
      <c r="E96" s="276"/>
      <c r="F96" s="276"/>
      <c r="G96" s="276"/>
      <c r="H96" s="276"/>
      <c r="I96" s="276"/>
      <c r="J96" s="353"/>
      <c r="K96" s="276"/>
      <c r="L96" s="276"/>
      <c r="M96" s="276"/>
      <c r="N96" s="276"/>
      <c r="O96" s="276"/>
      <c r="P96" s="276"/>
      <c r="Q96" s="276"/>
      <c r="R96" s="276"/>
      <c r="S96" s="276"/>
      <c r="T96" s="276"/>
      <c r="U96" s="276"/>
      <c r="V96" s="276"/>
      <c r="W96" s="276"/>
      <c r="X96" s="276"/>
      <c r="Y96" s="276"/>
      <c r="Z96" s="276"/>
      <c r="AA96" s="276"/>
      <c r="AB96" s="276"/>
      <c r="AC96" s="276"/>
      <c r="AD96" s="276"/>
      <c r="AE96" s="276"/>
      <c r="AF96" s="276"/>
      <c r="AG96" s="276"/>
      <c r="AH96" s="276"/>
      <c r="AI96" s="276"/>
      <c r="AJ96" s="276"/>
      <c r="AK96" s="276"/>
      <c r="AL96" s="276"/>
      <c r="AM96" s="276"/>
      <c r="AN96" s="276"/>
      <c r="AO96" s="276"/>
      <c r="AP96" s="276"/>
      <c r="AQ96" s="276"/>
      <c r="AR96" s="276"/>
      <c r="AS96" s="276"/>
      <c r="AT96" s="276"/>
      <c r="AU96" s="276"/>
      <c r="AV96" s="276"/>
      <c r="AW96" s="276"/>
      <c r="AX96" s="276"/>
      <c r="AY96" s="276"/>
    </row>
    <row r="97" spans="1:51" ht="15.75" customHeight="1" x14ac:dyDescent="0.25">
      <c r="A97" s="276"/>
      <c r="B97" s="533"/>
      <c r="C97" s="353"/>
      <c r="D97" s="276"/>
      <c r="E97" s="276"/>
      <c r="F97" s="276"/>
      <c r="G97" s="276"/>
      <c r="H97" s="276"/>
      <c r="I97" s="276"/>
      <c r="J97" s="353"/>
      <c r="K97" s="276"/>
      <c r="L97" s="276"/>
      <c r="M97" s="276"/>
      <c r="N97" s="276"/>
      <c r="O97" s="276"/>
      <c r="P97" s="276"/>
      <c r="Q97" s="276"/>
      <c r="R97" s="276"/>
      <c r="S97" s="276"/>
      <c r="T97" s="276"/>
      <c r="U97" s="276"/>
      <c r="V97" s="276"/>
      <c r="W97" s="276"/>
      <c r="X97" s="276"/>
      <c r="Y97" s="276"/>
      <c r="Z97" s="276"/>
      <c r="AA97" s="276"/>
      <c r="AB97" s="276"/>
      <c r="AC97" s="276"/>
      <c r="AD97" s="276"/>
      <c r="AE97" s="276"/>
      <c r="AF97" s="276"/>
      <c r="AG97" s="276"/>
      <c r="AH97" s="276"/>
      <c r="AI97" s="276"/>
      <c r="AJ97" s="276"/>
      <c r="AK97" s="276"/>
      <c r="AL97" s="276"/>
      <c r="AM97" s="276"/>
      <c r="AN97" s="276"/>
      <c r="AO97" s="276"/>
      <c r="AP97" s="276"/>
      <c r="AQ97" s="276"/>
      <c r="AR97" s="276"/>
      <c r="AS97" s="276"/>
      <c r="AT97" s="276"/>
      <c r="AU97" s="276"/>
      <c r="AV97" s="276"/>
      <c r="AW97" s="276"/>
      <c r="AX97" s="276"/>
      <c r="AY97" s="276"/>
    </row>
    <row r="98" spans="1:51" ht="15.75" customHeight="1" x14ac:dyDescent="0.25">
      <c r="A98" s="276"/>
      <c r="B98" s="533"/>
      <c r="C98" s="353"/>
      <c r="D98" s="276"/>
      <c r="E98" s="276"/>
      <c r="F98" s="276"/>
      <c r="G98" s="276"/>
      <c r="H98" s="276"/>
      <c r="I98" s="276"/>
      <c r="J98" s="353"/>
      <c r="K98" s="276"/>
      <c r="L98" s="276"/>
      <c r="M98" s="276"/>
      <c r="N98" s="276"/>
      <c r="O98" s="276"/>
      <c r="P98" s="276"/>
      <c r="Q98" s="276"/>
      <c r="R98" s="276"/>
      <c r="S98" s="276"/>
      <c r="T98" s="276"/>
      <c r="U98" s="276"/>
      <c r="V98" s="276"/>
      <c r="W98" s="276"/>
      <c r="X98" s="276"/>
      <c r="Y98" s="276"/>
      <c r="Z98" s="276"/>
      <c r="AA98" s="276"/>
      <c r="AB98" s="276"/>
      <c r="AC98" s="276"/>
      <c r="AD98" s="276"/>
      <c r="AE98" s="276"/>
      <c r="AF98" s="276"/>
      <c r="AG98" s="276"/>
      <c r="AH98" s="276"/>
      <c r="AI98" s="276"/>
      <c r="AJ98" s="276"/>
      <c r="AK98" s="276"/>
      <c r="AL98" s="276"/>
      <c r="AM98" s="276"/>
      <c r="AN98" s="276"/>
      <c r="AO98" s="276"/>
      <c r="AP98" s="276"/>
      <c r="AQ98" s="276"/>
      <c r="AR98" s="276"/>
      <c r="AS98" s="276"/>
      <c r="AT98" s="276"/>
      <c r="AU98" s="276"/>
      <c r="AV98" s="276"/>
      <c r="AW98" s="276"/>
      <c r="AX98" s="276"/>
      <c r="AY98" s="276"/>
    </row>
    <row r="99" spans="1:51" ht="15.75" customHeight="1" x14ac:dyDescent="0.25">
      <c r="A99" s="276"/>
      <c r="B99" s="533"/>
      <c r="C99" s="353"/>
      <c r="D99" s="276"/>
      <c r="E99" s="276"/>
      <c r="F99" s="276"/>
      <c r="G99" s="276"/>
      <c r="H99" s="276"/>
      <c r="I99" s="276"/>
      <c r="J99" s="353"/>
      <c r="K99" s="276"/>
      <c r="L99" s="276"/>
      <c r="M99" s="276"/>
      <c r="N99" s="276"/>
      <c r="O99" s="276"/>
      <c r="P99" s="276"/>
      <c r="Q99" s="276"/>
      <c r="R99" s="276"/>
      <c r="S99" s="276"/>
      <c r="T99" s="276"/>
      <c r="U99" s="276"/>
      <c r="V99" s="276"/>
      <c r="W99" s="276"/>
      <c r="X99" s="276"/>
      <c r="Y99" s="276"/>
      <c r="Z99" s="276"/>
      <c r="AA99" s="276"/>
      <c r="AB99" s="276"/>
      <c r="AC99" s="276"/>
      <c r="AD99" s="276"/>
      <c r="AE99" s="276"/>
      <c r="AF99" s="276"/>
      <c r="AG99" s="276"/>
      <c r="AH99" s="276"/>
      <c r="AI99" s="276"/>
      <c r="AJ99" s="276"/>
      <c r="AK99" s="276"/>
      <c r="AL99" s="276"/>
      <c r="AM99" s="276"/>
      <c r="AN99" s="276"/>
      <c r="AO99" s="276"/>
      <c r="AP99" s="276"/>
      <c r="AQ99" s="276"/>
      <c r="AR99" s="276"/>
      <c r="AS99" s="276"/>
      <c r="AT99" s="276"/>
      <c r="AU99" s="276"/>
      <c r="AV99" s="276"/>
      <c r="AW99" s="276"/>
      <c r="AX99" s="276"/>
      <c r="AY99" s="276"/>
    </row>
    <row r="100" spans="1:51" ht="15.75" customHeight="1" x14ac:dyDescent="0.25">
      <c r="A100" s="276"/>
      <c r="B100" s="533"/>
      <c r="C100" s="353"/>
      <c r="D100" s="276"/>
      <c r="E100" s="276"/>
      <c r="F100" s="276"/>
      <c r="G100" s="276"/>
      <c r="H100" s="276"/>
      <c r="I100" s="276"/>
      <c r="J100" s="353"/>
      <c r="K100" s="276"/>
      <c r="L100" s="276"/>
      <c r="M100" s="276"/>
      <c r="N100" s="276"/>
      <c r="O100" s="276"/>
      <c r="P100" s="276"/>
      <c r="Q100" s="276"/>
      <c r="R100" s="276"/>
      <c r="S100" s="276"/>
      <c r="T100" s="276"/>
      <c r="U100" s="276"/>
      <c r="V100" s="276"/>
      <c r="W100" s="276"/>
      <c r="X100" s="276"/>
      <c r="Y100" s="276"/>
      <c r="Z100" s="276"/>
      <c r="AA100" s="276"/>
      <c r="AB100" s="276"/>
      <c r="AC100" s="276"/>
      <c r="AD100" s="276"/>
      <c r="AE100" s="276"/>
      <c r="AF100" s="276"/>
      <c r="AG100" s="276"/>
      <c r="AH100" s="276"/>
      <c r="AI100" s="276"/>
      <c r="AJ100" s="276"/>
      <c r="AK100" s="276"/>
      <c r="AL100" s="276"/>
      <c r="AM100" s="276"/>
      <c r="AN100" s="276"/>
      <c r="AO100" s="276"/>
      <c r="AP100" s="276"/>
      <c r="AQ100" s="276"/>
      <c r="AR100" s="276"/>
      <c r="AS100" s="276"/>
      <c r="AT100" s="276"/>
      <c r="AU100" s="276"/>
      <c r="AV100" s="276"/>
      <c r="AW100" s="276"/>
      <c r="AX100" s="276"/>
      <c r="AY100" s="276"/>
    </row>
    <row r="101" spans="1:51" ht="15.75" customHeight="1" x14ac:dyDescent="0.25">
      <c r="A101" s="276"/>
      <c r="B101" s="533"/>
      <c r="C101" s="353"/>
      <c r="D101" s="276"/>
      <c r="E101" s="276"/>
      <c r="F101" s="276"/>
      <c r="G101" s="276"/>
      <c r="H101" s="276"/>
      <c r="I101" s="276"/>
      <c r="J101" s="353"/>
      <c r="K101" s="276"/>
      <c r="L101" s="276"/>
      <c r="M101" s="276"/>
      <c r="N101" s="276"/>
      <c r="O101" s="276"/>
      <c r="P101" s="276"/>
      <c r="Q101" s="276"/>
      <c r="R101" s="276"/>
      <c r="S101" s="276"/>
      <c r="T101" s="276"/>
      <c r="U101" s="276"/>
      <c r="V101" s="276"/>
      <c r="W101" s="276"/>
      <c r="X101" s="276"/>
      <c r="Y101" s="276"/>
      <c r="Z101" s="276"/>
      <c r="AA101" s="276"/>
      <c r="AB101" s="276"/>
      <c r="AC101" s="276"/>
      <c r="AD101" s="276"/>
      <c r="AE101" s="276"/>
      <c r="AF101" s="276"/>
      <c r="AG101" s="276"/>
      <c r="AH101" s="276"/>
      <c r="AI101" s="276"/>
      <c r="AJ101" s="276"/>
      <c r="AK101" s="276"/>
      <c r="AL101" s="276"/>
      <c r="AM101" s="276"/>
      <c r="AN101" s="276"/>
      <c r="AO101" s="276"/>
      <c r="AP101" s="276"/>
      <c r="AQ101" s="276"/>
      <c r="AR101" s="276"/>
      <c r="AS101" s="276"/>
      <c r="AT101" s="276"/>
      <c r="AU101" s="276"/>
      <c r="AV101" s="276"/>
      <c r="AW101" s="276"/>
      <c r="AX101" s="276"/>
      <c r="AY101" s="276"/>
    </row>
    <row r="102" spans="1:51" ht="15.75" customHeight="1" x14ac:dyDescent="0.25">
      <c r="A102" s="276"/>
      <c r="B102" s="533"/>
      <c r="C102" s="353"/>
      <c r="D102" s="276"/>
      <c r="E102" s="276"/>
      <c r="F102" s="276"/>
      <c r="G102" s="276"/>
      <c r="H102" s="276"/>
      <c r="I102" s="276"/>
      <c r="J102" s="353"/>
      <c r="K102" s="276"/>
      <c r="L102" s="276"/>
      <c r="M102" s="276"/>
      <c r="N102" s="276"/>
      <c r="O102" s="276"/>
      <c r="P102" s="276"/>
      <c r="Q102" s="276"/>
      <c r="R102" s="276"/>
      <c r="S102" s="276"/>
      <c r="T102" s="276"/>
      <c r="U102" s="276"/>
      <c r="V102" s="276"/>
      <c r="W102" s="276"/>
      <c r="X102" s="276"/>
      <c r="Y102" s="276"/>
      <c r="Z102" s="276"/>
      <c r="AA102" s="276"/>
      <c r="AB102" s="276"/>
      <c r="AC102" s="276"/>
      <c r="AD102" s="276"/>
      <c r="AE102" s="276"/>
      <c r="AF102" s="276"/>
      <c r="AG102" s="276"/>
      <c r="AH102" s="276"/>
      <c r="AI102" s="276"/>
      <c r="AJ102" s="276"/>
      <c r="AK102" s="276"/>
      <c r="AL102" s="276"/>
      <c r="AM102" s="276"/>
      <c r="AN102" s="276"/>
      <c r="AO102" s="276"/>
      <c r="AP102" s="276"/>
      <c r="AQ102" s="276"/>
      <c r="AR102" s="276"/>
      <c r="AS102" s="276"/>
      <c r="AT102" s="276"/>
      <c r="AU102" s="276"/>
      <c r="AV102" s="276"/>
      <c r="AW102" s="276"/>
      <c r="AX102" s="276"/>
      <c r="AY102" s="276"/>
    </row>
    <row r="103" spans="1:51" ht="15.75" customHeight="1" x14ac:dyDescent="0.25">
      <c r="A103" s="276"/>
      <c r="B103" s="533"/>
      <c r="C103" s="353"/>
      <c r="D103" s="276"/>
      <c r="E103" s="276"/>
      <c r="F103" s="276"/>
      <c r="G103" s="276"/>
      <c r="H103" s="276"/>
      <c r="I103" s="276"/>
      <c r="J103" s="353"/>
      <c r="K103" s="276"/>
      <c r="L103" s="276"/>
      <c r="M103" s="276"/>
      <c r="N103" s="276"/>
      <c r="O103" s="276"/>
      <c r="P103" s="276"/>
      <c r="Q103" s="276"/>
      <c r="R103" s="276"/>
      <c r="S103" s="276"/>
      <c r="T103" s="276"/>
      <c r="U103" s="276"/>
      <c r="V103" s="276"/>
      <c r="W103" s="276"/>
      <c r="X103" s="276"/>
      <c r="Y103" s="276"/>
      <c r="Z103" s="276"/>
      <c r="AA103" s="276"/>
      <c r="AB103" s="276"/>
      <c r="AC103" s="276"/>
      <c r="AD103" s="276"/>
      <c r="AE103" s="276"/>
      <c r="AF103" s="276"/>
      <c r="AG103" s="276"/>
      <c r="AH103" s="276"/>
      <c r="AI103" s="276"/>
      <c r="AJ103" s="276"/>
      <c r="AK103" s="276"/>
      <c r="AL103" s="276"/>
      <c r="AM103" s="276"/>
      <c r="AN103" s="276"/>
      <c r="AO103" s="276"/>
      <c r="AP103" s="276"/>
      <c r="AQ103" s="276"/>
      <c r="AR103" s="276"/>
      <c r="AS103" s="276"/>
      <c r="AT103" s="276"/>
      <c r="AU103" s="276"/>
      <c r="AV103" s="276"/>
      <c r="AW103" s="276"/>
      <c r="AX103" s="276"/>
      <c r="AY103" s="276"/>
    </row>
    <row r="104" spans="1:51" ht="15.75" customHeight="1" x14ac:dyDescent="0.25">
      <c r="A104" s="276"/>
      <c r="B104" s="533"/>
      <c r="C104" s="353"/>
      <c r="D104" s="276"/>
      <c r="E104" s="276"/>
      <c r="F104" s="276"/>
      <c r="G104" s="276"/>
      <c r="H104" s="276"/>
      <c r="I104" s="276"/>
      <c r="J104" s="353"/>
      <c r="K104" s="276"/>
      <c r="L104" s="276"/>
      <c r="M104" s="276"/>
      <c r="N104" s="276"/>
      <c r="O104" s="276"/>
      <c r="P104" s="276"/>
      <c r="Q104" s="276"/>
      <c r="R104" s="276"/>
      <c r="S104" s="276"/>
      <c r="T104" s="276"/>
      <c r="U104" s="276"/>
      <c r="V104" s="276"/>
      <c r="W104" s="276"/>
      <c r="X104" s="276"/>
      <c r="Y104" s="276"/>
      <c r="Z104" s="276"/>
      <c r="AA104" s="276"/>
      <c r="AB104" s="276"/>
      <c r="AC104" s="276"/>
      <c r="AD104" s="276"/>
      <c r="AE104" s="276"/>
      <c r="AF104" s="276"/>
      <c r="AG104" s="276"/>
      <c r="AH104" s="276"/>
      <c r="AI104" s="276"/>
      <c r="AJ104" s="276"/>
      <c r="AK104" s="276"/>
      <c r="AL104" s="276"/>
      <c r="AM104" s="276"/>
      <c r="AN104" s="276"/>
      <c r="AO104" s="276"/>
      <c r="AP104" s="276"/>
      <c r="AQ104" s="276"/>
      <c r="AR104" s="276"/>
      <c r="AS104" s="276"/>
      <c r="AT104" s="276"/>
      <c r="AU104" s="276"/>
      <c r="AV104" s="276"/>
      <c r="AW104" s="276"/>
      <c r="AX104" s="276"/>
      <c r="AY104" s="276"/>
    </row>
    <row r="105" spans="1:51" ht="15.75" customHeight="1" x14ac:dyDescent="0.25">
      <c r="A105" s="276"/>
      <c r="B105" s="533"/>
      <c r="C105" s="353"/>
      <c r="D105" s="276"/>
      <c r="E105" s="276"/>
      <c r="F105" s="276"/>
      <c r="G105" s="276"/>
      <c r="H105" s="276"/>
      <c r="I105" s="276"/>
      <c r="J105" s="353"/>
      <c r="K105" s="276"/>
      <c r="L105" s="276"/>
      <c r="M105" s="276"/>
      <c r="N105" s="276"/>
      <c r="O105" s="276"/>
      <c r="P105" s="276"/>
      <c r="Q105" s="276"/>
      <c r="R105" s="276"/>
      <c r="S105" s="276"/>
      <c r="T105" s="276"/>
      <c r="U105" s="276"/>
      <c r="V105" s="276"/>
      <c r="W105" s="276"/>
      <c r="X105" s="276"/>
      <c r="Y105" s="276"/>
      <c r="Z105" s="276"/>
      <c r="AA105" s="276"/>
      <c r="AB105" s="276"/>
      <c r="AC105" s="276"/>
      <c r="AD105" s="276"/>
      <c r="AE105" s="276"/>
      <c r="AF105" s="276"/>
      <c r="AG105" s="276"/>
      <c r="AH105" s="276"/>
      <c r="AI105" s="276"/>
      <c r="AJ105" s="276"/>
      <c r="AK105" s="276"/>
      <c r="AL105" s="276"/>
      <c r="AM105" s="276"/>
      <c r="AN105" s="276"/>
      <c r="AO105" s="276"/>
      <c r="AP105" s="276"/>
      <c r="AQ105" s="276"/>
      <c r="AR105" s="276"/>
      <c r="AS105" s="276"/>
      <c r="AT105" s="276"/>
      <c r="AU105" s="276"/>
      <c r="AV105" s="276"/>
      <c r="AW105" s="276"/>
      <c r="AX105" s="276"/>
      <c r="AY105" s="276"/>
    </row>
    <row r="106" spans="1:51" ht="15.75" customHeight="1" x14ac:dyDescent="0.25">
      <c r="A106" s="276"/>
      <c r="B106" s="533"/>
      <c r="C106" s="353"/>
      <c r="D106" s="276"/>
      <c r="E106" s="276"/>
      <c r="F106" s="276"/>
      <c r="G106" s="276"/>
      <c r="H106" s="276"/>
      <c r="I106" s="276"/>
      <c r="J106" s="353"/>
      <c r="K106" s="276"/>
      <c r="L106" s="276"/>
      <c r="M106" s="276"/>
      <c r="N106" s="276"/>
      <c r="O106" s="276"/>
      <c r="P106" s="276"/>
      <c r="Q106" s="276"/>
      <c r="R106" s="276"/>
      <c r="S106" s="276"/>
      <c r="T106" s="276"/>
      <c r="U106" s="276"/>
      <c r="V106" s="276"/>
      <c r="W106" s="276"/>
      <c r="X106" s="276"/>
      <c r="Y106" s="276"/>
      <c r="Z106" s="276"/>
      <c r="AA106" s="276"/>
      <c r="AB106" s="276"/>
      <c r="AC106" s="276"/>
      <c r="AD106" s="276"/>
      <c r="AE106" s="276"/>
      <c r="AF106" s="276"/>
      <c r="AG106" s="276"/>
      <c r="AH106" s="276"/>
      <c r="AI106" s="276"/>
      <c r="AJ106" s="276"/>
      <c r="AK106" s="276"/>
      <c r="AL106" s="276"/>
      <c r="AM106" s="276"/>
      <c r="AN106" s="276"/>
      <c r="AO106" s="276"/>
      <c r="AP106" s="276"/>
      <c r="AQ106" s="276"/>
      <c r="AR106" s="276"/>
      <c r="AS106" s="276"/>
      <c r="AT106" s="276"/>
      <c r="AU106" s="276"/>
      <c r="AV106" s="276"/>
      <c r="AW106" s="276"/>
      <c r="AX106" s="276"/>
      <c r="AY106" s="276"/>
    </row>
    <row r="107" spans="1:51" ht="15.75" customHeight="1" x14ac:dyDescent="0.25">
      <c r="A107" s="276"/>
      <c r="B107" s="533"/>
      <c r="C107" s="353"/>
      <c r="D107" s="276"/>
      <c r="E107" s="276"/>
      <c r="F107" s="276"/>
      <c r="G107" s="276"/>
      <c r="H107" s="276"/>
      <c r="I107" s="276"/>
      <c r="J107" s="353"/>
      <c r="K107" s="276"/>
      <c r="L107" s="276"/>
      <c r="M107" s="276"/>
      <c r="N107" s="276"/>
      <c r="O107" s="276"/>
      <c r="P107" s="276"/>
      <c r="Q107" s="276"/>
      <c r="R107" s="276"/>
      <c r="S107" s="276"/>
      <c r="T107" s="276"/>
      <c r="U107" s="276"/>
      <c r="V107" s="276"/>
      <c r="W107" s="276"/>
      <c r="X107" s="276"/>
      <c r="Y107" s="276"/>
      <c r="Z107" s="276"/>
      <c r="AA107" s="276"/>
      <c r="AB107" s="276"/>
      <c r="AC107" s="276"/>
      <c r="AD107" s="276"/>
      <c r="AE107" s="276"/>
      <c r="AF107" s="276"/>
      <c r="AG107" s="276"/>
      <c r="AH107" s="276"/>
      <c r="AI107" s="276"/>
      <c r="AJ107" s="276"/>
      <c r="AK107" s="276"/>
      <c r="AL107" s="276"/>
      <c r="AM107" s="276"/>
      <c r="AN107" s="276"/>
      <c r="AO107" s="276"/>
      <c r="AP107" s="276"/>
      <c r="AQ107" s="276"/>
      <c r="AR107" s="276"/>
      <c r="AS107" s="276"/>
      <c r="AT107" s="276"/>
      <c r="AU107" s="276"/>
      <c r="AV107" s="276"/>
      <c r="AW107" s="276"/>
      <c r="AX107" s="276"/>
      <c r="AY107" s="276"/>
    </row>
    <row r="108" spans="1:51" ht="15.75" customHeight="1" x14ac:dyDescent="0.25">
      <c r="A108" s="276"/>
      <c r="B108" s="533"/>
      <c r="C108" s="353"/>
      <c r="D108" s="276"/>
      <c r="E108" s="276"/>
      <c r="F108" s="276"/>
      <c r="G108" s="276"/>
      <c r="H108" s="276"/>
      <c r="I108" s="276"/>
      <c r="J108" s="353"/>
      <c r="K108" s="276"/>
      <c r="L108" s="276"/>
      <c r="M108" s="276"/>
      <c r="N108" s="276"/>
      <c r="O108" s="276"/>
      <c r="P108" s="276"/>
      <c r="Q108" s="276"/>
      <c r="R108" s="276"/>
      <c r="S108" s="276"/>
      <c r="T108" s="276"/>
      <c r="U108" s="276"/>
      <c r="V108" s="276"/>
      <c r="W108" s="276"/>
      <c r="X108" s="276"/>
      <c r="Y108" s="276"/>
      <c r="Z108" s="276"/>
      <c r="AA108" s="276"/>
      <c r="AB108" s="276"/>
      <c r="AC108" s="276"/>
      <c r="AD108" s="276"/>
      <c r="AE108" s="276"/>
      <c r="AF108" s="276"/>
      <c r="AG108" s="276"/>
      <c r="AH108" s="276"/>
      <c r="AI108" s="276"/>
      <c r="AJ108" s="276"/>
      <c r="AK108" s="276"/>
      <c r="AL108" s="276"/>
      <c r="AM108" s="276"/>
      <c r="AN108" s="276"/>
      <c r="AO108" s="276"/>
      <c r="AP108" s="276"/>
      <c r="AQ108" s="276"/>
      <c r="AR108" s="276"/>
      <c r="AS108" s="276"/>
      <c r="AT108" s="276"/>
      <c r="AU108" s="276"/>
      <c r="AV108" s="276"/>
      <c r="AW108" s="276"/>
      <c r="AX108" s="276"/>
      <c r="AY108" s="276"/>
    </row>
    <row r="109" spans="1:51" ht="15.75" customHeight="1" x14ac:dyDescent="0.25">
      <c r="A109" s="276"/>
      <c r="B109" s="533"/>
      <c r="C109" s="353"/>
      <c r="D109" s="276"/>
      <c r="E109" s="276"/>
      <c r="F109" s="276"/>
      <c r="G109" s="276"/>
      <c r="H109" s="276"/>
      <c r="I109" s="276"/>
      <c r="J109" s="353"/>
      <c r="K109" s="276"/>
      <c r="L109" s="276"/>
      <c r="M109" s="276"/>
      <c r="N109" s="276"/>
      <c r="O109" s="276"/>
      <c r="P109" s="276"/>
      <c r="Q109" s="276"/>
      <c r="R109" s="276"/>
      <c r="S109" s="276"/>
      <c r="T109" s="276"/>
      <c r="U109" s="276"/>
      <c r="V109" s="276"/>
      <c r="W109" s="276"/>
      <c r="X109" s="276"/>
      <c r="Y109" s="276"/>
      <c r="Z109" s="276"/>
      <c r="AA109" s="276"/>
      <c r="AB109" s="276"/>
      <c r="AC109" s="276"/>
      <c r="AD109" s="276"/>
      <c r="AE109" s="276"/>
      <c r="AF109" s="276"/>
      <c r="AG109" s="276"/>
      <c r="AH109" s="276"/>
      <c r="AI109" s="276"/>
      <c r="AJ109" s="276"/>
      <c r="AK109" s="276"/>
      <c r="AL109" s="276"/>
      <c r="AM109" s="276"/>
      <c r="AN109" s="276"/>
      <c r="AO109" s="276"/>
      <c r="AP109" s="276"/>
      <c r="AQ109" s="276"/>
      <c r="AR109" s="276"/>
      <c r="AS109" s="276"/>
      <c r="AT109" s="276"/>
      <c r="AU109" s="276"/>
      <c r="AV109" s="276"/>
      <c r="AW109" s="276"/>
      <c r="AX109" s="276"/>
      <c r="AY109" s="276"/>
    </row>
    <row r="110" spans="1:51" ht="15.75" customHeight="1" x14ac:dyDescent="0.25">
      <c r="A110" s="276"/>
      <c r="B110" s="533"/>
      <c r="C110" s="353"/>
      <c r="D110" s="276"/>
      <c r="E110" s="276"/>
      <c r="F110" s="276"/>
      <c r="G110" s="276"/>
      <c r="H110" s="276"/>
      <c r="I110" s="276"/>
      <c r="J110" s="353"/>
      <c r="K110" s="276"/>
      <c r="L110" s="276"/>
      <c r="M110" s="276"/>
      <c r="N110" s="276"/>
      <c r="O110" s="276"/>
      <c r="P110" s="276"/>
      <c r="Q110" s="276"/>
      <c r="R110" s="276"/>
      <c r="S110" s="276"/>
      <c r="T110" s="276"/>
      <c r="U110" s="276"/>
      <c r="V110" s="276"/>
      <c r="W110" s="276"/>
      <c r="X110" s="276"/>
      <c r="Y110" s="276"/>
      <c r="Z110" s="276"/>
      <c r="AA110" s="276"/>
      <c r="AB110" s="276"/>
      <c r="AC110" s="276"/>
      <c r="AD110" s="276"/>
      <c r="AE110" s="276"/>
      <c r="AF110" s="276"/>
      <c r="AG110" s="276"/>
      <c r="AH110" s="276"/>
      <c r="AI110" s="276"/>
      <c r="AJ110" s="276"/>
      <c r="AK110" s="276"/>
      <c r="AL110" s="276"/>
      <c r="AM110" s="276"/>
      <c r="AN110" s="276"/>
      <c r="AO110" s="276"/>
      <c r="AP110" s="276"/>
      <c r="AQ110" s="276"/>
      <c r="AR110" s="276"/>
      <c r="AS110" s="276"/>
      <c r="AT110" s="276"/>
      <c r="AU110" s="276"/>
      <c r="AV110" s="276"/>
      <c r="AW110" s="276"/>
      <c r="AX110" s="276"/>
      <c r="AY110" s="276"/>
    </row>
    <row r="111" spans="1:51" ht="15.75" customHeight="1" x14ac:dyDescent="0.25">
      <c r="A111" s="276"/>
      <c r="B111" s="533"/>
      <c r="C111" s="353"/>
      <c r="D111" s="276"/>
      <c r="E111" s="276"/>
      <c r="F111" s="276"/>
      <c r="G111" s="276"/>
      <c r="H111" s="276"/>
      <c r="I111" s="276"/>
      <c r="J111" s="353"/>
      <c r="K111" s="276"/>
      <c r="L111" s="276"/>
      <c r="M111" s="276"/>
      <c r="N111" s="276"/>
      <c r="O111" s="276"/>
      <c r="P111" s="276"/>
      <c r="Q111" s="276"/>
      <c r="R111" s="276"/>
      <c r="S111" s="276"/>
      <c r="T111" s="276"/>
      <c r="U111" s="276"/>
      <c r="V111" s="276"/>
      <c r="W111" s="276"/>
      <c r="X111" s="276"/>
      <c r="Y111" s="276"/>
      <c r="Z111" s="276"/>
      <c r="AA111" s="276"/>
      <c r="AB111" s="276"/>
      <c r="AC111" s="276"/>
      <c r="AD111" s="276"/>
      <c r="AE111" s="276"/>
      <c r="AF111" s="276"/>
      <c r="AG111" s="276"/>
      <c r="AH111" s="276"/>
      <c r="AI111" s="276"/>
      <c r="AJ111" s="276"/>
      <c r="AK111" s="276"/>
      <c r="AL111" s="276"/>
      <c r="AM111" s="276"/>
      <c r="AN111" s="276"/>
      <c r="AO111" s="276"/>
      <c r="AP111" s="276"/>
      <c r="AQ111" s="276"/>
      <c r="AR111" s="276"/>
      <c r="AS111" s="276"/>
      <c r="AT111" s="276"/>
      <c r="AU111" s="276"/>
      <c r="AV111" s="276"/>
      <c r="AW111" s="276"/>
      <c r="AX111" s="276"/>
      <c r="AY111" s="276"/>
    </row>
    <row r="112" spans="1:51" ht="15.75" customHeight="1" x14ac:dyDescent="0.25">
      <c r="A112" s="276"/>
      <c r="B112" s="533"/>
      <c r="C112" s="353"/>
      <c r="D112" s="276"/>
      <c r="E112" s="276"/>
      <c r="F112" s="276"/>
      <c r="G112" s="276"/>
      <c r="H112" s="276"/>
      <c r="I112" s="276"/>
      <c r="J112" s="353"/>
      <c r="K112" s="276"/>
      <c r="L112" s="276"/>
      <c r="M112" s="276"/>
      <c r="N112" s="276"/>
      <c r="O112" s="276"/>
      <c r="P112" s="276"/>
      <c r="Q112" s="276"/>
      <c r="R112" s="276"/>
      <c r="S112" s="276"/>
      <c r="T112" s="276"/>
      <c r="U112" s="276"/>
      <c r="V112" s="276"/>
      <c r="W112" s="276"/>
      <c r="X112" s="276"/>
      <c r="Y112" s="276"/>
      <c r="Z112" s="276"/>
      <c r="AA112" s="276"/>
      <c r="AB112" s="276"/>
      <c r="AC112" s="276"/>
      <c r="AD112" s="276"/>
      <c r="AE112" s="276"/>
      <c r="AF112" s="276"/>
      <c r="AG112" s="276"/>
      <c r="AH112" s="276"/>
      <c r="AI112" s="276"/>
      <c r="AJ112" s="276"/>
      <c r="AK112" s="276"/>
      <c r="AL112" s="276"/>
      <c r="AM112" s="276"/>
      <c r="AN112" s="276"/>
      <c r="AO112" s="276"/>
      <c r="AP112" s="276"/>
      <c r="AQ112" s="276"/>
      <c r="AR112" s="276"/>
      <c r="AS112" s="276"/>
      <c r="AT112" s="276"/>
      <c r="AU112" s="276"/>
      <c r="AV112" s="276"/>
      <c r="AW112" s="276"/>
      <c r="AX112" s="276"/>
      <c r="AY112" s="276"/>
    </row>
    <row r="113" spans="1:51" ht="15.75" customHeight="1" x14ac:dyDescent="0.25">
      <c r="A113" s="276"/>
      <c r="B113" s="533"/>
      <c r="C113" s="353"/>
      <c r="D113" s="276"/>
      <c r="E113" s="276"/>
      <c r="F113" s="276"/>
      <c r="G113" s="276"/>
      <c r="H113" s="276"/>
      <c r="I113" s="276"/>
      <c r="J113" s="353"/>
      <c r="K113" s="276"/>
      <c r="L113" s="276"/>
      <c r="M113" s="276"/>
      <c r="N113" s="276"/>
      <c r="O113" s="276"/>
      <c r="P113" s="276"/>
      <c r="Q113" s="276"/>
      <c r="R113" s="276"/>
      <c r="S113" s="276"/>
      <c r="T113" s="276"/>
      <c r="U113" s="276"/>
      <c r="V113" s="276"/>
      <c r="W113" s="276"/>
      <c r="X113" s="276"/>
      <c r="Y113" s="276"/>
      <c r="Z113" s="276"/>
      <c r="AA113" s="276"/>
      <c r="AB113" s="276"/>
      <c r="AC113" s="276"/>
      <c r="AD113" s="276"/>
      <c r="AE113" s="276"/>
      <c r="AF113" s="276"/>
      <c r="AG113" s="276"/>
      <c r="AH113" s="276"/>
      <c r="AI113" s="276"/>
      <c r="AJ113" s="276"/>
      <c r="AK113" s="276"/>
      <c r="AL113" s="276"/>
      <c r="AM113" s="276"/>
      <c r="AN113" s="276"/>
      <c r="AO113" s="276"/>
      <c r="AP113" s="276"/>
      <c r="AQ113" s="276"/>
      <c r="AR113" s="276"/>
      <c r="AS113" s="276"/>
      <c r="AT113" s="276"/>
      <c r="AU113" s="276"/>
      <c r="AV113" s="276"/>
      <c r="AW113" s="276"/>
      <c r="AX113" s="276"/>
      <c r="AY113" s="276"/>
    </row>
    <row r="114" spans="1:51" ht="15.75" customHeight="1" x14ac:dyDescent="0.25">
      <c r="A114" s="276"/>
      <c r="B114" s="533"/>
      <c r="C114" s="353"/>
      <c r="D114" s="276"/>
      <c r="E114" s="276"/>
      <c r="F114" s="276"/>
      <c r="G114" s="276"/>
      <c r="H114" s="276"/>
      <c r="I114" s="276"/>
      <c r="J114" s="353"/>
      <c r="K114" s="276"/>
      <c r="L114" s="276"/>
      <c r="M114" s="276"/>
      <c r="N114" s="276"/>
      <c r="O114" s="276"/>
      <c r="P114" s="276"/>
      <c r="Q114" s="276"/>
      <c r="R114" s="276"/>
      <c r="S114" s="276"/>
      <c r="T114" s="276"/>
      <c r="U114" s="276"/>
      <c r="V114" s="276"/>
      <c r="W114" s="276"/>
      <c r="X114" s="276"/>
      <c r="Y114" s="276"/>
      <c r="Z114" s="276"/>
      <c r="AA114" s="276"/>
      <c r="AB114" s="276"/>
      <c r="AC114" s="276"/>
      <c r="AD114" s="276"/>
      <c r="AE114" s="276"/>
      <c r="AF114" s="276"/>
      <c r="AG114" s="276"/>
      <c r="AH114" s="276"/>
      <c r="AI114" s="276"/>
      <c r="AJ114" s="276"/>
      <c r="AK114" s="276"/>
      <c r="AL114" s="276"/>
      <c r="AM114" s="276"/>
      <c r="AN114" s="276"/>
      <c r="AO114" s="276"/>
      <c r="AP114" s="276"/>
      <c r="AQ114" s="276"/>
      <c r="AR114" s="276"/>
      <c r="AS114" s="276"/>
      <c r="AT114" s="276"/>
      <c r="AU114" s="276"/>
      <c r="AV114" s="276"/>
      <c r="AW114" s="276"/>
      <c r="AX114" s="276"/>
      <c r="AY114" s="276"/>
    </row>
    <row r="115" spans="1:51" ht="15.75" customHeight="1" x14ac:dyDescent="0.25">
      <c r="A115" s="276"/>
      <c r="B115" s="533"/>
      <c r="C115" s="353"/>
      <c r="D115" s="276"/>
      <c r="E115" s="276"/>
      <c r="F115" s="276"/>
      <c r="G115" s="276"/>
      <c r="H115" s="276"/>
      <c r="I115" s="276"/>
      <c r="J115" s="353"/>
      <c r="K115" s="276"/>
      <c r="L115" s="276"/>
      <c r="M115" s="276"/>
      <c r="N115" s="276"/>
      <c r="O115" s="276"/>
      <c r="P115" s="276"/>
      <c r="Q115" s="276"/>
      <c r="R115" s="276"/>
      <c r="S115" s="276"/>
      <c r="T115" s="276"/>
      <c r="U115" s="276"/>
      <c r="V115" s="276"/>
      <c r="W115" s="276"/>
      <c r="X115" s="276"/>
      <c r="Y115" s="276"/>
      <c r="Z115" s="276"/>
      <c r="AA115" s="276"/>
      <c r="AB115" s="276"/>
      <c r="AC115" s="276"/>
      <c r="AD115" s="276"/>
      <c r="AE115" s="276"/>
      <c r="AF115" s="276"/>
      <c r="AG115" s="276"/>
      <c r="AH115" s="276"/>
      <c r="AI115" s="276"/>
      <c r="AJ115" s="276"/>
      <c r="AK115" s="276"/>
      <c r="AL115" s="276"/>
      <c r="AM115" s="276"/>
      <c r="AN115" s="276"/>
      <c r="AO115" s="276"/>
      <c r="AP115" s="276"/>
      <c r="AQ115" s="276"/>
      <c r="AR115" s="276"/>
      <c r="AS115" s="276"/>
      <c r="AT115" s="276"/>
      <c r="AU115" s="276"/>
      <c r="AV115" s="276"/>
      <c r="AW115" s="276"/>
      <c r="AX115" s="276"/>
      <c r="AY115" s="276"/>
    </row>
    <row r="116" spans="1:51" ht="15.75" customHeight="1" x14ac:dyDescent="0.25">
      <c r="A116" s="276"/>
      <c r="B116" s="533"/>
      <c r="C116" s="353"/>
      <c r="D116" s="276"/>
      <c r="E116" s="276"/>
      <c r="F116" s="276"/>
      <c r="G116" s="276"/>
      <c r="H116" s="276"/>
      <c r="I116" s="276"/>
      <c r="J116" s="353"/>
      <c r="K116" s="276"/>
      <c r="L116" s="276"/>
      <c r="M116" s="276"/>
      <c r="N116" s="276"/>
      <c r="O116" s="276"/>
      <c r="P116" s="276"/>
      <c r="Q116" s="276"/>
      <c r="R116" s="276"/>
      <c r="S116" s="276"/>
      <c r="T116" s="276"/>
      <c r="U116" s="276"/>
      <c r="V116" s="276"/>
      <c r="W116" s="276"/>
      <c r="X116" s="276"/>
      <c r="Y116" s="276"/>
      <c r="Z116" s="276"/>
      <c r="AA116" s="276"/>
      <c r="AB116" s="276"/>
      <c r="AC116" s="276"/>
      <c r="AD116" s="276"/>
      <c r="AE116" s="276"/>
      <c r="AF116" s="276"/>
      <c r="AG116" s="276"/>
      <c r="AH116" s="276"/>
      <c r="AI116" s="276"/>
      <c r="AJ116" s="276"/>
      <c r="AK116" s="276"/>
      <c r="AL116" s="276"/>
      <c r="AM116" s="276"/>
      <c r="AN116" s="276"/>
      <c r="AO116" s="276"/>
      <c r="AP116" s="276"/>
      <c r="AQ116" s="276"/>
      <c r="AR116" s="276"/>
      <c r="AS116" s="276"/>
      <c r="AT116" s="276"/>
      <c r="AU116" s="276"/>
      <c r="AV116" s="276"/>
      <c r="AW116" s="276"/>
      <c r="AX116" s="276"/>
      <c r="AY116" s="276"/>
    </row>
    <row r="117" spans="1:51" ht="15.75" customHeight="1" x14ac:dyDescent="0.25">
      <c r="A117" s="276"/>
      <c r="B117" s="533"/>
      <c r="C117" s="353"/>
      <c r="D117" s="276"/>
      <c r="E117" s="276"/>
      <c r="F117" s="276"/>
      <c r="G117" s="276"/>
      <c r="H117" s="276"/>
      <c r="I117" s="276"/>
      <c r="J117" s="353"/>
      <c r="K117" s="276"/>
      <c r="L117" s="276"/>
      <c r="M117" s="276"/>
      <c r="N117" s="276"/>
      <c r="O117" s="276"/>
      <c r="P117" s="276"/>
      <c r="Q117" s="276"/>
      <c r="R117" s="276"/>
      <c r="S117" s="276"/>
      <c r="T117" s="276"/>
      <c r="U117" s="276"/>
      <c r="V117" s="276"/>
      <c r="W117" s="276"/>
      <c r="X117" s="276"/>
      <c r="Y117" s="276"/>
      <c r="Z117" s="276"/>
      <c r="AA117" s="276"/>
      <c r="AB117" s="276"/>
      <c r="AC117" s="276"/>
      <c r="AD117" s="276"/>
      <c r="AE117" s="276"/>
      <c r="AF117" s="276"/>
      <c r="AG117" s="276"/>
      <c r="AH117" s="276"/>
      <c r="AI117" s="276"/>
      <c r="AJ117" s="276"/>
      <c r="AK117" s="276"/>
      <c r="AL117" s="276"/>
      <c r="AM117" s="276"/>
      <c r="AN117" s="276"/>
      <c r="AO117" s="276"/>
      <c r="AP117" s="276"/>
      <c r="AQ117" s="276"/>
      <c r="AR117" s="276"/>
      <c r="AS117" s="276"/>
      <c r="AT117" s="276"/>
      <c r="AU117" s="276"/>
      <c r="AV117" s="276"/>
      <c r="AW117" s="276"/>
      <c r="AX117" s="276"/>
      <c r="AY117" s="276"/>
    </row>
    <row r="118" spans="1:51" ht="15.75" customHeight="1" x14ac:dyDescent="0.25">
      <c r="A118" s="276"/>
      <c r="B118" s="533"/>
      <c r="C118" s="353"/>
      <c r="D118" s="276"/>
      <c r="E118" s="276"/>
      <c r="F118" s="276"/>
      <c r="G118" s="276"/>
      <c r="H118" s="276"/>
      <c r="I118" s="276"/>
      <c r="J118" s="353"/>
      <c r="K118" s="276"/>
      <c r="L118" s="276"/>
      <c r="M118" s="276"/>
      <c r="N118" s="276"/>
      <c r="O118" s="276"/>
      <c r="P118" s="276"/>
      <c r="Q118" s="276"/>
      <c r="R118" s="276"/>
      <c r="S118" s="276"/>
      <c r="T118" s="276"/>
      <c r="U118" s="276"/>
      <c r="V118" s="276"/>
      <c r="W118" s="276"/>
      <c r="X118" s="276"/>
      <c r="Y118" s="276"/>
      <c r="Z118" s="276"/>
      <c r="AA118" s="276"/>
      <c r="AB118" s="276"/>
      <c r="AC118" s="276"/>
      <c r="AD118" s="276"/>
      <c r="AE118" s="276"/>
      <c r="AF118" s="276"/>
      <c r="AG118" s="276"/>
      <c r="AH118" s="276"/>
      <c r="AI118" s="276"/>
      <c r="AJ118" s="276"/>
      <c r="AK118" s="276"/>
      <c r="AL118" s="276"/>
      <c r="AM118" s="276"/>
      <c r="AN118" s="276"/>
      <c r="AO118" s="276"/>
      <c r="AP118" s="276"/>
      <c r="AQ118" s="276"/>
      <c r="AR118" s="276"/>
      <c r="AS118" s="276"/>
      <c r="AT118" s="276"/>
      <c r="AU118" s="276"/>
      <c r="AV118" s="276"/>
      <c r="AW118" s="276"/>
      <c r="AX118" s="276"/>
      <c r="AY118" s="276"/>
    </row>
    <row r="119" spans="1:51" ht="15.75" customHeight="1" x14ac:dyDescent="0.25">
      <c r="A119" s="276"/>
      <c r="B119" s="533"/>
      <c r="C119" s="353"/>
      <c r="D119" s="276"/>
      <c r="E119" s="276"/>
      <c r="F119" s="276"/>
      <c r="G119" s="276"/>
      <c r="H119" s="276"/>
      <c r="I119" s="276"/>
      <c r="J119" s="353"/>
      <c r="K119" s="276"/>
      <c r="L119" s="276"/>
      <c r="M119" s="276"/>
      <c r="N119" s="276"/>
      <c r="O119" s="276"/>
      <c r="P119" s="276"/>
      <c r="Q119" s="276"/>
      <c r="R119" s="276"/>
      <c r="S119" s="276"/>
      <c r="T119" s="276"/>
      <c r="U119" s="276"/>
      <c r="V119" s="276"/>
      <c r="W119" s="276"/>
      <c r="X119" s="276"/>
      <c r="Y119" s="276"/>
      <c r="Z119" s="276"/>
      <c r="AA119" s="276"/>
      <c r="AB119" s="276"/>
      <c r="AC119" s="276"/>
      <c r="AD119" s="276"/>
      <c r="AE119" s="276"/>
      <c r="AF119" s="276"/>
      <c r="AG119" s="276"/>
      <c r="AH119" s="276"/>
      <c r="AI119" s="276"/>
      <c r="AJ119" s="276"/>
      <c r="AK119" s="276"/>
      <c r="AL119" s="276"/>
      <c r="AM119" s="276"/>
      <c r="AN119" s="276"/>
      <c r="AO119" s="276"/>
      <c r="AP119" s="276"/>
      <c r="AQ119" s="276"/>
      <c r="AR119" s="276"/>
      <c r="AS119" s="276"/>
      <c r="AT119" s="276"/>
      <c r="AU119" s="276"/>
      <c r="AV119" s="276"/>
      <c r="AW119" s="276"/>
      <c r="AX119" s="276"/>
      <c r="AY119" s="276"/>
    </row>
    <row r="120" spans="1:51" ht="15.75" customHeight="1" x14ac:dyDescent="0.25">
      <c r="A120" s="276"/>
      <c r="B120" s="533"/>
      <c r="C120" s="353"/>
      <c r="D120" s="276"/>
      <c r="E120" s="276"/>
      <c r="F120" s="276"/>
      <c r="G120" s="276"/>
      <c r="H120" s="276"/>
      <c r="I120" s="276"/>
      <c r="J120" s="353"/>
      <c r="K120" s="276"/>
      <c r="L120" s="276"/>
      <c r="M120" s="276"/>
      <c r="N120" s="276"/>
      <c r="O120" s="276"/>
      <c r="P120" s="276"/>
      <c r="Q120" s="276"/>
      <c r="R120" s="276"/>
      <c r="S120" s="276"/>
      <c r="T120" s="276"/>
      <c r="U120" s="276"/>
      <c r="V120" s="276"/>
      <c r="W120" s="276"/>
      <c r="X120" s="276"/>
      <c r="Y120" s="276"/>
      <c r="Z120" s="276"/>
      <c r="AA120" s="276"/>
      <c r="AB120" s="276"/>
      <c r="AC120" s="276"/>
      <c r="AD120" s="276"/>
      <c r="AE120" s="276"/>
      <c r="AF120" s="276"/>
      <c r="AG120" s="276"/>
      <c r="AH120" s="276"/>
      <c r="AI120" s="276"/>
      <c r="AJ120" s="276"/>
      <c r="AK120" s="276"/>
      <c r="AL120" s="276"/>
      <c r="AM120" s="276"/>
      <c r="AN120" s="276"/>
      <c r="AO120" s="276"/>
      <c r="AP120" s="276"/>
      <c r="AQ120" s="276"/>
      <c r="AR120" s="276"/>
      <c r="AS120" s="276"/>
      <c r="AT120" s="276"/>
      <c r="AU120" s="276"/>
      <c r="AV120" s="276"/>
      <c r="AW120" s="276"/>
      <c r="AX120" s="276"/>
      <c r="AY120" s="276"/>
    </row>
    <row r="121" spans="1:51" ht="15.75" customHeight="1" x14ac:dyDescent="0.25">
      <c r="A121" s="276"/>
      <c r="B121" s="533"/>
      <c r="C121" s="353"/>
      <c r="D121" s="276"/>
      <c r="E121" s="276"/>
      <c r="F121" s="276"/>
      <c r="G121" s="276"/>
      <c r="H121" s="276"/>
      <c r="I121" s="276"/>
      <c r="J121" s="353"/>
      <c r="K121" s="276"/>
      <c r="L121" s="276"/>
      <c r="M121" s="276"/>
      <c r="N121" s="276"/>
      <c r="O121" s="276"/>
      <c r="P121" s="276"/>
      <c r="Q121" s="276"/>
      <c r="R121" s="276"/>
      <c r="S121" s="276"/>
      <c r="T121" s="276"/>
      <c r="U121" s="276"/>
      <c r="V121" s="276"/>
      <c r="W121" s="276"/>
      <c r="X121" s="276"/>
      <c r="Y121" s="276"/>
      <c r="Z121" s="276"/>
      <c r="AA121" s="276"/>
      <c r="AB121" s="276"/>
      <c r="AC121" s="276"/>
      <c r="AD121" s="276"/>
      <c r="AE121" s="276"/>
      <c r="AF121" s="276"/>
      <c r="AG121" s="276"/>
      <c r="AH121" s="276"/>
      <c r="AI121" s="276"/>
      <c r="AJ121" s="276"/>
      <c r="AK121" s="276"/>
      <c r="AL121" s="276"/>
      <c r="AM121" s="276"/>
      <c r="AN121" s="276"/>
      <c r="AO121" s="276"/>
      <c r="AP121" s="276"/>
      <c r="AQ121" s="276"/>
      <c r="AR121" s="276"/>
      <c r="AS121" s="276"/>
      <c r="AT121" s="276"/>
      <c r="AU121" s="276"/>
      <c r="AV121" s="276"/>
      <c r="AW121" s="276"/>
      <c r="AX121" s="276"/>
      <c r="AY121" s="276"/>
    </row>
    <row r="122" spans="1:51" ht="15.75" customHeight="1" x14ac:dyDescent="0.25">
      <c r="A122" s="276"/>
      <c r="B122" s="533"/>
      <c r="C122" s="353"/>
      <c r="D122" s="276"/>
      <c r="E122" s="276"/>
      <c r="F122" s="276"/>
      <c r="G122" s="276"/>
      <c r="H122" s="276"/>
      <c r="I122" s="276"/>
      <c r="J122" s="353"/>
      <c r="K122" s="276"/>
      <c r="L122" s="276"/>
      <c r="M122" s="276"/>
      <c r="N122" s="276"/>
      <c r="O122" s="276"/>
      <c r="P122" s="276"/>
      <c r="Q122" s="276"/>
      <c r="R122" s="276"/>
      <c r="S122" s="276"/>
      <c r="T122" s="276"/>
      <c r="U122" s="276"/>
      <c r="V122" s="276"/>
      <c r="W122" s="276"/>
      <c r="X122" s="276"/>
      <c r="Y122" s="276"/>
      <c r="Z122" s="276"/>
      <c r="AA122" s="276"/>
      <c r="AB122" s="276"/>
      <c r="AC122" s="276"/>
      <c r="AD122" s="276"/>
      <c r="AE122" s="276"/>
      <c r="AF122" s="276"/>
      <c r="AG122" s="276"/>
      <c r="AH122" s="276"/>
      <c r="AI122" s="276"/>
      <c r="AJ122" s="276"/>
      <c r="AK122" s="276"/>
      <c r="AL122" s="276"/>
      <c r="AM122" s="276"/>
      <c r="AN122" s="276"/>
      <c r="AO122" s="276"/>
      <c r="AP122" s="276"/>
      <c r="AQ122" s="276"/>
      <c r="AR122" s="276"/>
      <c r="AS122" s="276"/>
      <c r="AT122" s="276"/>
      <c r="AU122" s="276"/>
      <c r="AV122" s="276"/>
      <c r="AW122" s="276"/>
      <c r="AX122" s="276"/>
      <c r="AY122" s="276"/>
    </row>
    <row r="123" spans="1:51" ht="15.75" customHeight="1" x14ac:dyDescent="0.25">
      <c r="A123" s="276"/>
      <c r="B123" s="533"/>
      <c r="C123" s="353"/>
      <c r="D123" s="276"/>
      <c r="E123" s="276"/>
      <c r="F123" s="276"/>
      <c r="G123" s="276"/>
      <c r="H123" s="276"/>
      <c r="I123" s="276"/>
      <c r="J123" s="353"/>
      <c r="K123" s="276"/>
      <c r="L123" s="276"/>
      <c r="M123" s="276"/>
      <c r="N123" s="276"/>
      <c r="O123" s="276"/>
      <c r="P123" s="276"/>
      <c r="Q123" s="276"/>
      <c r="R123" s="276"/>
      <c r="S123" s="276"/>
      <c r="T123" s="276"/>
      <c r="U123" s="276"/>
      <c r="V123" s="276"/>
      <c r="W123" s="276"/>
      <c r="X123" s="276"/>
      <c r="Y123" s="276"/>
      <c r="Z123" s="276"/>
      <c r="AA123" s="276"/>
      <c r="AB123" s="276"/>
      <c r="AC123" s="276"/>
      <c r="AD123" s="276"/>
      <c r="AE123" s="276"/>
      <c r="AF123" s="276"/>
      <c r="AG123" s="276"/>
      <c r="AH123" s="276"/>
      <c r="AI123" s="276"/>
      <c r="AJ123" s="276"/>
      <c r="AK123" s="276"/>
      <c r="AL123" s="276"/>
      <c r="AM123" s="276"/>
      <c r="AN123" s="276"/>
      <c r="AO123" s="276"/>
      <c r="AP123" s="276"/>
      <c r="AQ123" s="276"/>
      <c r="AR123" s="276"/>
      <c r="AS123" s="276"/>
      <c r="AT123" s="276"/>
      <c r="AU123" s="276"/>
      <c r="AV123" s="276"/>
      <c r="AW123" s="276"/>
      <c r="AX123" s="276"/>
      <c r="AY123" s="276"/>
    </row>
    <row r="124" spans="1:51" ht="15.75" customHeight="1" x14ac:dyDescent="0.25">
      <c r="A124" s="276"/>
      <c r="B124" s="533"/>
      <c r="C124" s="353"/>
      <c r="D124" s="276"/>
      <c r="E124" s="276"/>
      <c r="F124" s="276"/>
      <c r="G124" s="276"/>
      <c r="H124" s="276"/>
      <c r="I124" s="276"/>
      <c r="J124" s="353"/>
      <c r="K124" s="276"/>
      <c r="L124" s="276"/>
      <c r="M124" s="276"/>
      <c r="N124" s="276"/>
      <c r="O124" s="276"/>
      <c r="P124" s="276"/>
      <c r="Q124" s="276"/>
      <c r="R124" s="276"/>
      <c r="S124" s="276"/>
      <c r="T124" s="276"/>
      <c r="U124" s="276"/>
      <c r="V124" s="276"/>
      <c r="W124" s="276"/>
      <c r="X124" s="276"/>
      <c r="Y124" s="276"/>
      <c r="Z124" s="276"/>
      <c r="AA124" s="276"/>
      <c r="AB124" s="276"/>
      <c r="AC124" s="276"/>
      <c r="AD124" s="276"/>
      <c r="AE124" s="276"/>
      <c r="AF124" s="276"/>
      <c r="AG124" s="276"/>
      <c r="AH124" s="276"/>
      <c r="AI124" s="276"/>
      <c r="AJ124" s="276"/>
      <c r="AK124" s="276"/>
      <c r="AL124" s="276"/>
      <c r="AM124" s="276"/>
      <c r="AN124" s="276"/>
      <c r="AO124" s="276"/>
      <c r="AP124" s="276"/>
      <c r="AQ124" s="276"/>
      <c r="AR124" s="276"/>
      <c r="AS124" s="276"/>
      <c r="AT124" s="276"/>
      <c r="AU124" s="276"/>
      <c r="AV124" s="276"/>
      <c r="AW124" s="276"/>
      <c r="AX124" s="276"/>
      <c r="AY124" s="276"/>
    </row>
    <row r="125" spans="1:51" ht="15.75" customHeight="1" x14ac:dyDescent="0.25">
      <c r="A125" s="276"/>
      <c r="B125" s="533"/>
      <c r="C125" s="353"/>
      <c r="D125" s="276"/>
      <c r="E125" s="276"/>
      <c r="F125" s="276"/>
      <c r="G125" s="276"/>
      <c r="H125" s="276"/>
      <c r="I125" s="276"/>
      <c r="J125" s="353"/>
      <c r="K125" s="276"/>
      <c r="L125" s="276"/>
      <c r="M125" s="276"/>
      <c r="N125" s="276"/>
      <c r="O125" s="276"/>
      <c r="P125" s="276"/>
      <c r="Q125" s="276"/>
      <c r="R125" s="276"/>
      <c r="S125" s="276"/>
      <c r="T125" s="276"/>
      <c r="U125" s="276"/>
      <c r="V125" s="276"/>
      <c r="W125" s="276"/>
      <c r="X125" s="276"/>
      <c r="Y125" s="276"/>
      <c r="Z125" s="276"/>
      <c r="AA125" s="276"/>
      <c r="AB125" s="276"/>
      <c r="AC125" s="276"/>
      <c r="AD125" s="276"/>
      <c r="AE125" s="276"/>
      <c r="AF125" s="276"/>
      <c r="AG125" s="276"/>
      <c r="AH125" s="276"/>
      <c r="AI125" s="276"/>
      <c r="AJ125" s="276"/>
      <c r="AK125" s="276"/>
      <c r="AL125" s="276"/>
      <c r="AM125" s="276"/>
      <c r="AN125" s="276"/>
      <c r="AO125" s="276"/>
      <c r="AP125" s="276"/>
      <c r="AQ125" s="276"/>
      <c r="AR125" s="276"/>
      <c r="AS125" s="276"/>
      <c r="AT125" s="276"/>
      <c r="AU125" s="276"/>
      <c r="AV125" s="276"/>
      <c r="AW125" s="276"/>
      <c r="AX125" s="276"/>
      <c r="AY125" s="276"/>
    </row>
    <row r="126" spans="1:51" ht="15.75" customHeight="1" x14ac:dyDescent="0.25">
      <c r="A126" s="276"/>
      <c r="B126" s="533"/>
      <c r="C126" s="353"/>
      <c r="D126" s="276"/>
      <c r="E126" s="276"/>
      <c r="F126" s="276"/>
      <c r="G126" s="276"/>
      <c r="H126" s="276"/>
      <c r="I126" s="276"/>
      <c r="J126" s="353"/>
      <c r="K126" s="276"/>
      <c r="L126" s="276"/>
      <c r="M126" s="276"/>
      <c r="N126" s="276"/>
      <c r="O126" s="276"/>
      <c r="P126" s="276"/>
      <c r="Q126" s="276"/>
      <c r="R126" s="276"/>
      <c r="S126" s="276"/>
      <c r="T126" s="276"/>
      <c r="U126" s="276"/>
      <c r="V126" s="276"/>
      <c r="W126" s="276"/>
      <c r="X126" s="276"/>
      <c r="Y126" s="276"/>
      <c r="Z126" s="276"/>
      <c r="AA126" s="276"/>
      <c r="AB126" s="276"/>
      <c r="AC126" s="276"/>
      <c r="AD126" s="276"/>
      <c r="AE126" s="276"/>
      <c r="AF126" s="276"/>
      <c r="AG126" s="276"/>
      <c r="AH126" s="276"/>
      <c r="AI126" s="276"/>
      <c r="AJ126" s="276"/>
      <c r="AK126" s="276"/>
      <c r="AL126" s="276"/>
      <c r="AM126" s="276"/>
      <c r="AN126" s="276"/>
      <c r="AO126" s="276"/>
      <c r="AP126" s="276"/>
      <c r="AQ126" s="276"/>
      <c r="AR126" s="276"/>
      <c r="AS126" s="276"/>
      <c r="AT126" s="276"/>
      <c r="AU126" s="276"/>
      <c r="AV126" s="276"/>
      <c r="AW126" s="276"/>
      <c r="AX126" s="276"/>
      <c r="AY126" s="276"/>
    </row>
    <row r="127" spans="1:51" ht="15.75" customHeight="1" x14ac:dyDescent="0.25">
      <c r="A127" s="276"/>
      <c r="B127" s="533"/>
      <c r="C127" s="353"/>
      <c r="D127" s="276"/>
      <c r="E127" s="276"/>
      <c r="F127" s="276"/>
      <c r="G127" s="276"/>
      <c r="H127" s="276"/>
      <c r="I127" s="276"/>
      <c r="J127" s="353"/>
      <c r="K127" s="276"/>
      <c r="L127" s="276"/>
      <c r="M127" s="276"/>
      <c r="N127" s="276"/>
      <c r="O127" s="276"/>
      <c r="P127" s="276"/>
      <c r="Q127" s="276"/>
      <c r="R127" s="276"/>
      <c r="S127" s="276"/>
      <c r="T127" s="276"/>
      <c r="U127" s="276"/>
      <c r="V127" s="276"/>
      <c r="W127" s="276"/>
      <c r="X127" s="276"/>
      <c r="Y127" s="276"/>
      <c r="Z127" s="276"/>
      <c r="AA127" s="276"/>
      <c r="AB127" s="276"/>
      <c r="AC127" s="276"/>
      <c r="AD127" s="276"/>
      <c r="AE127" s="276"/>
      <c r="AF127" s="276"/>
      <c r="AG127" s="276"/>
      <c r="AH127" s="276"/>
      <c r="AI127" s="276"/>
      <c r="AJ127" s="276"/>
      <c r="AK127" s="276"/>
      <c r="AL127" s="276"/>
      <c r="AM127" s="276"/>
      <c r="AN127" s="276"/>
      <c r="AO127" s="276"/>
      <c r="AP127" s="276"/>
      <c r="AQ127" s="276"/>
      <c r="AR127" s="276"/>
      <c r="AS127" s="276"/>
      <c r="AT127" s="276"/>
      <c r="AU127" s="276"/>
      <c r="AV127" s="276"/>
      <c r="AW127" s="276"/>
      <c r="AX127" s="276"/>
      <c r="AY127" s="276"/>
    </row>
    <row r="128" spans="1:51" ht="15.75" customHeight="1" x14ac:dyDescent="0.25">
      <c r="A128" s="276"/>
      <c r="B128" s="533"/>
      <c r="C128" s="353"/>
      <c r="D128" s="276"/>
      <c r="E128" s="276"/>
      <c r="F128" s="276"/>
      <c r="G128" s="276"/>
      <c r="H128" s="276"/>
      <c r="I128" s="276"/>
      <c r="J128" s="353"/>
      <c r="K128" s="276"/>
      <c r="L128" s="276"/>
      <c r="M128" s="276"/>
      <c r="N128" s="276"/>
      <c r="O128" s="276"/>
      <c r="P128" s="276"/>
      <c r="Q128" s="276"/>
      <c r="R128" s="276"/>
      <c r="S128" s="276"/>
      <c r="T128" s="276"/>
      <c r="U128" s="276"/>
      <c r="V128" s="276"/>
      <c r="W128" s="276"/>
      <c r="X128" s="276"/>
      <c r="Y128" s="276"/>
      <c r="Z128" s="276"/>
      <c r="AA128" s="276"/>
      <c r="AB128" s="276"/>
      <c r="AC128" s="276"/>
      <c r="AD128" s="276"/>
      <c r="AE128" s="276"/>
      <c r="AF128" s="276"/>
      <c r="AG128" s="276"/>
      <c r="AH128" s="276"/>
      <c r="AI128" s="276"/>
      <c r="AJ128" s="276"/>
      <c r="AK128" s="276"/>
      <c r="AL128" s="276"/>
      <c r="AM128" s="276"/>
      <c r="AN128" s="276"/>
      <c r="AO128" s="276"/>
      <c r="AP128" s="276"/>
      <c r="AQ128" s="276"/>
      <c r="AR128" s="276"/>
      <c r="AS128" s="276"/>
      <c r="AT128" s="276"/>
      <c r="AU128" s="276"/>
      <c r="AV128" s="276"/>
      <c r="AW128" s="276"/>
      <c r="AX128" s="276"/>
      <c r="AY128" s="276"/>
    </row>
    <row r="129" spans="1:51" ht="15.75" customHeight="1" x14ac:dyDescent="0.25">
      <c r="A129" s="276"/>
      <c r="B129" s="533"/>
      <c r="C129" s="353"/>
      <c r="D129" s="276"/>
      <c r="E129" s="276"/>
      <c r="F129" s="276"/>
      <c r="G129" s="276"/>
      <c r="H129" s="276"/>
      <c r="I129" s="276"/>
      <c r="J129" s="353"/>
      <c r="K129" s="276"/>
      <c r="L129" s="276"/>
      <c r="M129" s="276"/>
      <c r="N129" s="276"/>
      <c r="O129" s="276"/>
      <c r="P129" s="276"/>
      <c r="Q129" s="276"/>
      <c r="R129" s="276"/>
      <c r="S129" s="276"/>
      <c r="T129" s="276"/>
      <c r="U129" s="276"/>
      <c r="V129" s="276"/>
      <c r="W129" s="276"/>
      <c r="X129" s="276"/>
      <c r="Y129" s="276"/>
      <c r="Z129" s="276"/>
      <c r="AA129" s="276"/>
      <c r="AB129" s="276"/>
      <c r="AC129" s="276"/>
      <c r="AD129" s="276"/>
      <c r="AE129" s="276"/>
      <c r="AF129" s="276"/>
      <c r="AG129" s="276"/>
      <c r="AH129" s="276"/>
      <c r="AI129" s="276"/>
      <c r="AJ129" s="276"/>
      <c r="AK129" s="276"/>
      <c r="AL129" s="276"/>
      <c r="AM129" s="276"/>
      <c r="AN129" s="276"/>
      <c r="AO129" s="276"/>
      <c r="AP129" s="276"/>
      <c r="AQ129" s="276"/>
      <c r="AR129" s="276"/>
      <c r="AS129" s="276"/>
      <c r="AT129" s="276"/>
      <c r="AU129" s="276"/>
      <c r="AV129" s="276"/>
      <c r="AW129" s="276"/>
      <c r="AX129" s="276"/>
      <c r="AY129" s="276"/>
    </row>
    <row r="130" spans="1:51" ht="15.75" customHeight="1" x14ac:dyDescent="0.25">
      <c r="A130" s="276"/>
      <c r="B130" s="533"/>
      <c r="C130" s="353"/>
      <c r="D130" s="276"/>
      <c r="E130" s="276"/>
      <c r="F130" s="276"/>
      <c r="G130" s="276"/>
      <c r="H130" s="276"/>
      <c r="I130" s="276"/>
      <c r="J130" s="353"/>
      <c r="K130" s="276"/>
      <c r="L130" s="276"/>
      <c r="M130" s="276"/>
      <c r="N130" s="276"/>
      <c r="O130" s="276"/>
      <c r="P130" s="276"/>
      <c r="Q130" s="276"/>
      <c r="R130" s="276"/>
      <c r="S130" s="276"/>
      <c r="T130" s="276"/>
      <c r="U130" s="276"/>
      <c r="V130" s="276"/>
      <c r="W130" s="276"/>
      <c r="X130" s="276"/>
      <c r="Y130" s="276"/>
      <c r="Z130" s="276"/>
      <c r="AA130" s="276"/>
      <c r="AB130" s="276"/>
      <c r="AC130" s="276"/>
      <c r="AD130" s="276"/>
      <c r="AE130" s="276"/>
      <c r="AF130" s="276"/>
      <c r="AG130" s="276"/>
      <c r="AH130" s="276"/>
      <c r="AI130" s="276"/>
      <c r="AJ130" s="276"/>
      <c r="AK130" s="276"/>
      <c r="AL130" s="276"/>
      <c r="AM130" s="276"/>
      <c r="AN130" s="276"/>
      <c r="AO130" s="276"/>
      <c r="AP130" s="276"/>
      <c r="AQ130" s="276"/>
      <c r="AR130" s="276"/>
      <c r="AS130" s="276"/>
      <c r="AT130" s="276"/>
      <c r="AU130" s="276"/>
      <c r="AV130" s="276"/>
      <c r="AW130" s="276"/>
      <c r="AX130" s="276"/>
      <c r="AY130" s="276"/>
    </row>
    <row r="131" spans="1:51" ht="15.75" customHeight="1" x14ac:dyDescent="0.25">
      <c r="A131" s="276"/>
      <c r="B131" s="533"/>
      <c r="C131" s="353"/>
      <c r="D131" s="276"/>
      <c r="E131" s="276"/>
      <c r="F131" s="276"/>
      <c r="G131" s="276"/>
      <c r="H131" s="276"/>
      <c r="I131" s="276"/>
      <c r="J131" s="353"/>
      <c r="K131" s="276"/>
      <c r="L131" s="276"/>
      <c r="M131" s="276"/>
      <c r="N131" s="276"/>
      <c r="O131" s="276"/>
      <c r="P131" s="276"/>
      <c r="Q131" s="276"/>
      <c r="R131" s="276"/>
      <c r="S131" s="276"/>
      <c r="T131" s="276"/>
      <c r="U131" s="276"/>
      <c r="V131" s="276"/>
      <c r="W131" s="276"/>
      <c r="X131" s="276"/>
      <c r="Y131" s="276"/>
      <c r="Z131" s="276"/>
      <c r="AA131" s="276"/>
      <c r="AB131" s="276"/>
      <c r="AC131" s="276"/>
      <c r="AD131" s="276"/>
      <c r="AE131" s="276"/>
      <c r="AF131" s="276"/>
      <c r="AG131" s="276"/>
      <c r="AH131" s="276"/>
      <c r="AI131" s="276"/>
      <c r="AJ131" s="276"/>
      <c r="AK131" s="276"/>
      <c r="AL131" s="276"/>
      <c r="AM131" s="276"/>
      <c r="AN131" s="276"/>
      <c r="AO131" s="276"/>
      <c r="AP131" s="276"/>
      <c r="AQ131" s="276"/>
      <c r="AR131" s="276"/>
      <c r="AS131" s="276"/>
      <c r="AT131" s="276"/>
      <c r="AU131" s="276"/>
      <c r="AV131" s="276"/>
      <c r="AW131" s="276"/>
      <c r="AX131" s="276"/>
      <c r="AY131" s="276"/>
    </row>
    <row r="132" spans="1:51" ht="15.75" customHeight="1" x14ac:dyDescent="0.25">
      <c r="A132" s="276"/>
      <c r="B132" s="533"/>
      <c r="C132" s="353"/>
      <c r="D132" s="276"/>
      <c r="E132" s="276"/>
      <c r="F132" s="276"/>
      <c r="G132" s="276"/>
      <c r="H132" s="276"/>
      <c r="I132" s="276"/>
      <c r="J132" s="353"/>
      <c r="K132" s="276"/>
      <c r="L132" s="276"/>
      <c r="M132" s="276"/>
      <c r="N132" s="276"/>
      <c r="O132" s="276"/>
      <c r="P132" s="276"/>
      <c r="Q132" s="276"/>
      <c r="R132" s="276"/>
      <c r="S132" s="276"/>
      <c r="T132" s="276"/>
      <c r="U132" s="276"/>
      <c r="V132" s="276"/>
      <c r="W132" s="276"/>
      <c r="X132" s="276"/>
      <c r="Y132" s="276"/>
      <c r="Z132" s="276"/>
      <c r="AA132" s="276"/>
      <c r="AB132" s="276"/>
      <c r="AC132" s="276"/>
      <c r="AD132" s="276"/>
      <c r="AE132" s="276"/>
      <c r="AF132" s="276"/>
      <c r="AG132" s="276"/>
      <c r="AH132" s="276"/>
      <c r="AI132" s="276"/>
      <c r="AJ132" s="276"/>
      <c r="AK132" s="276"/>
      <c r="AL132" s="276"/>
      <c r="AM132" s="276"/>
      <c r="AN132" s="276"/>
      <c r="AO132" s="276"/>
      <c r="AP132" s="276"/>
      <c r="AQ132" s="276"/>
      <c r="AR132" s="276"/>
      <c r="AS132" s="276"/>
      <c r="AT132" s="276"/>
      <c r="AU132" s="276"/>
      <c r="AV132" s="276"/>
      <c r="AW132" s="276"/>
      <c r="AX132" s="276"/>
      <c r="AY132" s="276"/>
    </row>
    <row r="133" spans="1:51" ht="15.75" customHeight="1" x14ac:dyDescent="0.25">
      <c r="A133" s="276"/>
      <c r="B133" s="533"/>
      <c r="C133" s="353"/>
      <c r="D133" s="276"/>
      <c r="E133" s="276"/>
      <c r="F133" s="276"/>
      <c r="G133" s="276"/>
      <c r="H133" s="276"/>
      <c r="I133" s="276"/>
      <c r="J133" s="353"/>
      <c r="K133" s="276"/>
      <c r="L133" s="276"/>
      <c r="M133" s="276"/>
      <c r="N133" s="276"/>
      <c r="O133" s="276"/>
      <c r="P133" s="276"/>
      <c r="Q133" s="276"/>
      <c r="R133" s="276"/>
      <c r="S133" s="276"/>
      <c r="T133" s="276"/>
      <c r="U133" s="276"/>
      <c r="V133" s="276"/>
      <c r="W133" s="276"/>
      <c r="X133" s="276"/>
      <c r="Y133" s="276"/>
      <c r="Z133" s="276"/>
      <c r="AA133" s="276"/>
      <c r="AB133" s="276"/>
      <c r="AC133" s="276"/>
      <c r="AD133" s="276"/>
      <c r="AE133" s="276"/>
      <c r="AF133" s="276"/>
      <c r="AG133" s="276"/>
      <c r="AH133" s="276"/>
      <c r="AI133" s="276"/>
      <c r="AJ133" s="276"/>
      <c r="AK133" s="276"/>
      <c r="AL133" s="276"/>
      <c r="AM133" s="276"/>
      <c r="AN133" s="276"/>
      <c r="AO133" s="276"/>
      <c r="AP133" s="276"/>
      <c r="AQ133" s="276"/>
      <c r="AR133" s="276"/>
      <c r="AS133" s="276"/>
      <c r="AT133" s="276"/>
      <c r="AU133" s="276"/>
      <c r="AV133" s="276"/>
      <c r="AW133" s="276"/>
      <c r="AX133" s="276"/>
      <c r="AY133" s="276"/>
    </row>
    <row r="134" spans="1:51" ht="15.75" customHeight="1" x14ac:dyDescent="0.25">
      <c r="A134" s="276"/>
      <c r="B134" s="533"/>
      <c r="C134" s="353"/>
      <c r="D134" s="276"/>
      <c r="E134" s="276"/>
      <c r="F134" s="276"/>
      <c r="G134" s="276"/>
      <c r="H134" s="276"/>
      <c r="I134" s="276"/>
      <c r="J134" s="353"/>
      <c r="K134" s="276"/>
      <c r="L134" s="276"/>
      <c r="M134" s="276"/>
      <c r="N134" s="276"/>
      <c r="O134" s="276"/>
      <c r="P134" s="276"/>
      <c r="Q134" s="276"/>
      <c r="R134" s="276"/>
      <c r="S134" s="276"/>
      <c r="T134" s="276"/>
      <c r="U134" s="276"/>
      <c r="V134" s="276"/>
      <c r="W134" s="276"/>
      <c r="X134" s="276"/>
      <c r="Y134" s="276"/>
      <c r="Z134" s="276"/>
      <c r="AA134" s="276"/>
      <c r="AB134" s="276"/>
      <c r="AC134" s="276"/>
      <c r="AD134" s="276"/>
      <c r="AE134" s="276"/>
      <c r="AF134" s="276"/>
      <c r="AG134" s="276"/>
      <c r="AH134" s="276"/>
      <c r="AI134" s="276"/>
      <c r="AJ134" s="276"/>
      <c r="AK134" s="276"/>
      <c r="AL134" s="276"/>
      <c r="AM134" s="276"/>
      <c r="AN134" s="276"/>
      <c r="AO134" s="276"/>
      <c r="AP134" s="276"/>
      <c r="AQ134" s="276"/>
      <c r="AR134" s="276"/>
      <c r="AS134" s="276"/>
      <c r="AT134" s="276"/>
      <c r="AU134" s="276"/>
      <c r="AV134" s="276"/>
      <c r="AW134" s="276"/>
      <c r="AX134" s="276"/>
      <c r="AY134" s="276"/>
    </row>
    <row r="135" spans="1:51" ht="15.75" customHeight="1" x14ac:dyDescent="0.25">
      <c r="A135" s="276"/>
      <c r="B135" s="533"/>
      <c r="C135" s="353"/>
      <c r="D135" s="276"/>
      <c r="E135" s="276"/>
      <c r="F135" s="276"/>
      <c r="G135" s="276"/>
      <c r="H135" s="276"/>
      <c r="I135" s="276"/>
      <c r="J135" s="353"/>
      <c r="K135" s="276"/>
      <c r="L135" s="276"/>
      <c r="M135" s="276"/>
      <c r="N135" s="276"/>
      <c r="O135" s="276"/>
      <c r="P135" s="276"/>
      <c r="Q135" s="276"/>
      <c r="R135" s="276"/>
      <c r="S135" s="276"/>
      <c r="T135" s="276"/>
      <c r="U135" s="276"/>
      <c r="V135" s="276"/>
      <c r="W135" s="276"/>
      <c r="X135" s="276"/>
      <c r="Y135" s="276"/>
      <c r="Z135" s="276"/>
      <c r="AA135" s="276"/>
      <c r="AB135" s="276"/>
      <c r="AC135" s="276"/>
      <c r="AD135" s="276"/>
      <c r="AE135" s="276"/>
      <c r="AF135" s="276"/>
      <c r="AG135" s="276"/>
      <c r="AH135" s="276"/>
      <c r="AI135" s="276"/>
      <c r="AJ135" s="276"/>
      <c r="AK135" s="276"/>
      <c r="AL135" s="276"/>
      <c r="AM135" s="276"/>
      <c r="AN135" s="276"/>
      <c r="AO135" s="276"/>
      <c r="AP135" s="276"/>
      <c r="AQ135" s="276"/>
      <c r="AR135" s="276"/>
      <c r="AS135" s="276"/>
      <c r="AT135" s="276"/>
      <c r="AU135" s="276"/>
      <c r="AV135" s="276"/>
      <c r="AW135" s="276"/>
      <c r="AX135" s="276"/>
      <c r="AY135" s="276"/>
    </row>
    <row r="136" spans="1:51" ht="15.75" customHeight="1" x14ac:dyDescent="0.25">
      <c r="A136" s="276"/>
      <c r="B136" s="533"/>
      <c r="C136" s="353"/>
      <c r="D136" s="276"/>
      <c r="E136" s="276"/>
      <c r="F136" s="276"/>
      <c r="G136" s="276"/>
      <c r="H136" s="276"/>
      <c r="I136" s="276"/>
      <c r="J136" s="353"/>
      <c r="K136" s="276"/>
      <c r="L136" s="276"/>
      <c r="M136" s="276"/>
      <c r="N136" s="276"/>
      <c r="O136" s="276"/>
      <c r="P136" s="276"/>
      <c r="Q136" s="276"/>
      <c r="R136" s="276"/>
      <c r="S136" s="276"/>
      <c r="T136" s="276"/>
      <c r="U136" s="276"/>
      <c r="V136" s="276"/>
      <c r="W136" s="276"/>
      <c r="X136" s="276"/>
      <c r="Y136" s="276"/>
      <c r="Z136" s="276"/>
      <c r="AA136" s="276"/>
      <c r="AB136" s="276"/>
      <c r="AC136" s="276"/>
      <c r="AD136" s="276"/>
      <c r="AE136" s="276"/>
      <c r="AF136" s="276"/>
      <c r="AG136" s="276"/>
      <c r="AH136" s="276"/>
      <c r="AI136" s="276"/>
      <c r="AJ136" s="276"/>
      <c r="AK136" s="276"/>
      <c r="AL136" s="276"/>
      <c r="AM136" s="276"/>
      <c r="AN136" s="276"/>
      <c r="AO136" s="276"/>
      <c r="AP136" s="276"/>
      <c r="AQ136" s="276"/>
      <c r="AR136" s="276"/>
      <c r="AS136" s="276"/>
      <c r="AT136" s="276"/>
      <c r="AU136" s="276"/>
      <c r="AV136" s="276"/>
      <c r="AW136" s="276"/>
      <c r="AX136" s="276"/>
      <c r="AY136" s="276"/>
    </row>
    <row r="137" spans="1:51" ht="15.75" customHeight="1" x14ac:dyDescent="0.25">
      <c r="A137" s="276"/>
      <c r="B137" s="533"/>
      <c r="C137" s="353"/>
      <c r="D137" s="276"/>
      <c r="E137" s="276"/>
      <c r="F137" s="276"/>
      <c r="G137" s="276"/>
      <c r="H137" s="276"/>
      <c r="I137" s="276"/>
      <c r="J137" s="353"/>
      <c r="K137" s="276"/>
      <c r="L137" s="276"/>
      <c r="M137" s="276"/>
      <c r="N137" s="276"/>
      <c r="O137" s="276"/>
      <c r="P137" s="276"/>
      <c r="Q137" s="276"/>
      <c r="R137" s="276"/>
      <c r="S137" s="276"/>
      <c r="T137" s="276"/>
      <c r="U137" s="276"/>
      <c r="V137" s="276"/>
      <c r="W137" s="276"/>
      <c r="X137" s="276"/>
      <c r="Y137" s="276"/>
      <c r="Z137" s="276"/>
      <c r="AA137" s="276"/>
      <c r="AB137" s="276"/>
      <c r="AC137" s="276"/>
      <c r="AD137" s="276"/>
      <c r="AE137" s="276"/>
      <c r="AF137" s="276"/>
      <c r="AG137" s="276"/>
      <c r="AH137" s="276"/>
      <c r="AI137" s="276"/>
      <c r="AJ137" s="276"/>
      <c r="AK137" s="276"/>
      <c r="AL137" s="276"/>
      <c r="AM137" s="276"/>
      <c r="AN137" s="276"/>
      <c r="AO137" s="276"/>
      <c r="AP137" s="276"/>
      <c r="AQ137" s="276"/>
      <c r="AR137" s="276"/>
      <c r="AS137" s="276"/>
      <c r="AT137" s="276"/>
      <c r="AU137" s="276"/>
      <c r="AV137" s="276"/>
      <c r="AW137" s="276"/>
      <c r="AX137" s="276"/>
      <c r="AY137" s="276"/>
    </row>
    <row r="138" spans="1:51" ht="15.75" customHeight="1" x14ac:dyDescent="0.25">
      <c r="A138" s="276"/>
      <c r="B138" s="533"/>
      <c r="C138" s="353"/>
      <c r="D138" s="276"/>
      <c r="E138" s="276"/>
      <c r="F138" s="276"/>
      <c r="G138" s="276"/>
      <c r="H138" s="276"/>
      <c r="I138" s="276"/>
      <c r="J138" s="353"/>
      <c r="K138" s="276"/>
      <c r="L138" s="276"/>
      <c r="M138" s="276"/>
      <c r="N138" s="276"/>
      <c r="O138" s="276"/>
      <c r="P138" s="276"/>
      <c r="Q138" s="276"/>
      <c r="R138" s="276"/>
      <c r="S138" s="276"/>
      <c r="T138" s="276"/>
      <c r="U138" s="276"/>
      <c r="V138" s="276"/>
      <c r="W138" s="276"/>
      <c r="X138" s="276"/>
      <c r="Y138" s="276"/>
      <c r="Z138" s="276"/>
      <c r="AA138" s="276"/>
      <c r="AB138" s="276"/>
      <c r="AC138" s="276"/>
      <c r="AD138" s="276"/>
      <c r="AE138" s="276"/>
      <c r="AF138" s="276"/>
      <c r="AG138" s="276"/>
      <c r="AH138" s="276"/>
      <c r="AI138" s="276"/>
      <c r="AJ138" s="276"/>
      <c r="AK138" s="276"/>
      <c r="AL138" s="276"/>
      <c r="AM138" s="276"/>
      <c r="AN138" s="276"/>
      <c r="AO138" s="276"/>
      <c r="AP138" s="276"/>
      <c r="AQ138" s="276"/>
      <c r="AR138" s="276"/>
      <c r="AS138" s="276"/>
      <c r="AT138" s="276"/>
      <c r="AU138" s="276"/>
      <c r="AV138" s="276"/>
      <c r="AW138" s="276"/>
      <c r="AX138" s="276"/>
      <c r="AY138" s="276"/>
    </row>
    <row r="139" spans="1:51" ht="15.75" customHeight="1" x14ac:dyDescent="0.25">
      <c r="A139" s="276"/>
      <c r="B139" s="533"/>
      <c r="C139" s="353"/>
      <c r="D139" s="276"/>
      <c r="E139" s="276"/>
      <c r="F139" s="276"/>
      <c r="G139" s="276"/>
      <c r="H139" s="276"/>
      <c r="I139" s="276"/>
      <c r="J139" s="353"/>
      <c r="K139" s="276"/>
      <c r="L139" s="276"/>
      <c r="M139" s="276"/>
      <c r="N139" s="276"/>
      <c r="O139" s="276"/>
      <c r="P139" s="276"/>
      <c r="Q139" s="276"/>
      <c r="R139" s="276"/>
      <c r="S139" s="276"/>
      <c r="T139" s="276"/>
      <c r="U139" s="276"/>
      <c r="V139" s="276"/>
      <c r="W139" s="276"/>
      <c r="X139" s="276"/>
      <c r="Y139" s="276"/>
      <c r="Z139" s="276"/>
      <c r="AA139" s="276"/>
      <c r="AB139" s="276"/>
      <c r="AC139" s="276"/>
      <c r="AD139" s="276"/>
      <c r="AE139" s="276"/>
      <c r="AF139" s="276"/>
      <c r="AG139" s="276"/>
      <c r="AH139" s="276"/>
      <c r="AI139" s="276"/>
      <c r="AJ139" s="276"/>
      <c r="AK139" s="276"/>
      <c r="AL139" s="276"/>
      <c r="AM139" s="276"/>
      <c r="AN139" s="276"/>
      <c r="AO139" s="276"/>
      <c r="AP139" s="276"/>
      <c r="AQ139" s="276"/>
      <c r="AR139" s="276"/>
      <c r="AS139" s="276"/>
      <c r="AT139" s="276"/>
      <c r="AU139" s="276"/>
      <c r="AV139" s="276"/>
      <c r="AW139" s="276"/>
      <c r="AX139" s="276"/>
      <c r="AY139" s="276"/>
    </row>
    <row r="140" spans="1:51" ht="15.75" customHeight="1" x14ac:dyDescent="0.25">
      <c r="A140" s="276"/>
      <c r="B140" s="533"/>
      <c r="C140" s="353"/>
      <c r="D140" s="276"/>
      <c r="E140" s="276"/>
      <c r="F140" s="276"/>
      <c r="G140" s="276"/>
      <c r="H140" s="276"/>
      <c r="I140" s="276"/>
      <c r="J140" s="353"/>
      <c r="K140" s="276"/>
      <c r="L140" s="276"/>
      <c r="M140" s="276"/>
      <c r="N140" s="276"/>
      <c r="O140" s="276"/>
      <c r="P140" s="276"/>
      <c r="Q140" s="276"/>
      <c r="R140" s="276"/>
      <c r="S140" s="276"/>
      <c r="T140" s="276"/>
      <c r="U140" s="276"/>
      <c r="V140" s="276"/>
      <c r="W140" s="276"/>
      <c r="X140" s="276"/>
      <c r="Y140" s="276"/>
      <c r="Z140" s="276"/>
      <c r="AA140" s="276"/>
      <c r="AB140" s="276"/>
      <c r="AC140" s="276"/>
      <c r="AD140" s="276"/>
      <c r="AE140" s="276"/>
      <c r="AF140" s="276"/>
      <c r="AG140" s="276"/>
      <c r="AH140" s="276"/>
      <c r="AI140" s="276"/>
      <c r="AJ140" s="276"/>
      <c r="AK140" s="276"/>
      <c r="AL140" s="276"/>
      <c r="AM140" s="276"/>
      <c r="AN140" s="276"/>
      <c r="AO140" s="276"/>
      <c r="AP140" s="276"/>
      <c r="AQ140" s="276"/>
      <c r="AR140" s="276"/>
      <c r="AS140" s="276"/>
      <c r="AT140" s="276"/>
      <c r="AU140" s="276"/>
      <c r="AV140" s="276"/>
      <c r="AW140" s="276"/>
      <c r="AX140" s="276"/>
      <c r="AY140" s="276"/>
    </row>
    <row r="141" spans="1:51" ht="15.75" customHeight="1" x14ac:dyDescent="0.25">
      <c r="A141" s="276"/>
      <c r="B141" s="533"/>
      <c r="C141" s="353"/>
      <c r="D141" s="276"/>
      <c r="E141" s="276"/>
      <c r="F141" s="276"/>
      <c r="G141" s="276"/>
      <c r="H141" s="276"/>
      <c r="I141" s="276"/>
      <c r="J141" s="353"/>
      <c r="K141" s="276"/>
      <c r="L141" s="276"/>
      <c r="M141" s="276"/>
      <c r="N141" s="276"/>
      <c r="O141" s="276"/>
      <c r="P141" s="276"/>
      <c r="Q141" s="276"/>
      <c r="R141" s="276"/>
      <c r="S141" s="276"/>
      <c r="T141" s="276"/>
      <c r="U141" s="276"/>
      <c r="V141" s="276"/>
      <c r="W141" s="276"/>
      <c r="X141" s="276"/>
      <c r="Y141" s="276"/>
      <c r="Z141" s="276"/>
      <c r="AA141" s="276"/>
      <c r="AB141" s="276"/>
      <c r="AC141" s="276"/>
      <c r="AD141" s="276"/>
      <c r="AE141" s="276"/>
      <c r="AF141" s="276"/>
      <c r="AG141" s="276"/>
      <c r="AH141" s="276"/>
      <c r="AI141" s="276"/>
      <c r="AJ141" s="276"/>
      <c r="AK141" s="276"/>
      <c r="AL141" s="276"/>
      <c r="AM141" s="276"/>
      <c r="AN141" s="276"/>
      <c r="AO141" s="276"/>
      <c r="AP141" s="276"/>
      <c r="AQ141" s="276"/>
      <c r="AR141" s="276"/>
      <c r="AS141" s="276"/>
      <c r="AT141" s="276"/>
      <c r="AU141" s="276"/>
      <c r="AV141" s="276"/>
      <c r="AW141" s="276"/>
      <c r="AX141" s="276"/>
      <c r="AY141" s="276"/>
    </row>
    <row r="142" spans="1:51" ht="15.75" customHeight="1" x14ac:dyDescent="0.25">
      <c r="A142" s="276"/>
      <c r="B142" s="533"/>
      <c r="C142" s="353"/>
      <c r="D142" s="276"/>
      <c r="E142" s="276"/>
      <c r="F142" s="276"/>
      <c r="G142" s="276"/>
      <c r="H142" s="276"/>
      <c r="I142" s="276"/>
      <c r="J142" s="353"/>
      <c r="K142" s="276"/>
      <c r="L142" s="276"/>
      <c r="M142" s="276"/>
      <c r="N142" s="276"/>
      <c r="O142" s="276"/>
      <c r="P142" s="276"/>
      <c r="Q142" s="276"/>
      <c r="R142" s="276"/>
      <c r="S142" s="276"/>
      <c r="T142" s="276"/>
      <c r="U142" s="276"/>
      <c r="V142" s="276"/>
      <c r="W142" s="276"/>
      <c r="X142" s="276"/>
      <c r="Y142" s="276"/>
      <c r="Z142" s="276"/>
      <c r="AA142" s="276"/>
      <c r="AB142" s="276"/>
      <c r="AC142" s="276"/>
      <c r="AD142" s="276"/>
      <c r="AE142" s="276"/>
      <c r="AF142" s="276"/>
      <c r="AG142" s="276"/>
      <c r="AH142" s="276"/>
      <c r="AI142" s="276"/>
      <c r="AJ142" s="276"/>
      <c r="AK142" s="276"/>
      <c r="AL142" s="276"/>
      <c r="AM142" s="276"/>
      <c r="AN142" s="276"/>
      <c r="AO142" s="276"/>
      <c r="AP142" s="276"/>
      <c r="AQ142" s="276"/>
      <c r="AR142" s="276"/>
      <c r="AS142" s="276"/>
      <c r="AT142" s="276"/>
      <c r="AU142" s="276"/>
      <c r="AV142" s="276"/>
      <c r="AW142" s="276"/>
      <c r="AX142" s="276"/>
      <c r="AY142" s="276"/>
    </row>
    <row r="143" spans="1:51" ht="15.75" customHeight="1" x14ac:dyDescent="0.25">
      <c r="A143" s="276"/>
      <c r="B143" s="533"/>
      <c r="C143" s="353"/>
      <c r="D143" s="276"/>
      <c r="E143" s="276"/>
      <c r="F143" s="276"/>
      <c r="G143" s="276"/>
      <c r="H143" s="276"/>
      <c r="I143" s="276"/>
      <c r="J143" s="353"/>
      <c r="K143" s="276"/>
      <c r="L143" s="276"/>
      <c r="M143" s="276"/>
      <c r="N143" s="276"/>
      <c r="O143" s="276"/>
      <c r="P143" s="276"/>
      <c r="Q143" s="276"/>
      <c r="R143" s="276"/>
      <c r="S143" s="276"/>
      <c r="T143" s="276"/>
      <c r="U143" s="276"/>
      <c r="V143" s="276"/>
      <c r="W143" s="276"/>
      <c r="X143" s="276"/>
      <c r="Y143" s="276"/>
      <c r="Z143" s="276"/>
      <c r="AA143" s="276"/>
      <c r="AB143" s="276"/>
      <c r="AC143" s="276"/>
      <c r="AD143" s="276"/>
      <c r="AE143" s="276"/>
      <c r="AF143" s="276"/>
      <c r="AG143" s="276"/>
      <c r="AH143" s="276"/>
      <c r="AI143" s="276"/>
      <c r="AJ143" s="276"/>
      <c r="AK143" s="276"/>
      <c r="AL143" s="276"/>
      <c r="AM143" s="276"/>
      <c r="AN143" s="276"/>
      <c r="AO143" s="276"/>
      <c r="AP143" s="276"/>
      <c r="AQ143" s="276"/>
      <c r="AR143" s="276"/>
      <c r="AS143" s="276"/>
      <c r="AT143" s="276"/>
      <c r="AU143" s="276"/>
      <c r="AV143" s="276"/>
      <c r="AW143" s="276"/>
      <c r="AX143" s="276"/>
      <c r="AY143" s="276"/>
    </row>
    <row r="144" spans="1:51" ht="15.75" customHeight="1" x14ac:dyDescent="0.25">
      <c r="A144" s="276"/>
      <c r="B144" s="533"/>
      <c r="C144" s="353"/>
      <c r="D144" s="276"/>
      <c r="E144" s="276"/>
      <c r="F144" s="276"/>
      <c r="G144" s="276"/>
      <c r="H144" s="276"/>
      <c r="I144" s="276"/>
      <c r="J144" s="353"/>
      <c r="K144" s="276"/>
      <c r="L144" s="276"/>
      <c r="M144" s="276"/>
      <c r="N144" s="276"/>
      <c r="O144" s="276"/>
      <c r="P144" s="276"/>
      <c r="Q144" s="276"/>
      <c r="R144" s="276"/>
      <c r="S144" s="276"/>
      <c r="T144" s="276"/>
      <c r="U144" s="276"/>
      <c r="V144" s="276"/>
      <c r="W144" s="276"/>
      <c r="X144" s="276"/>
      <c r="Y144" s="276"/>
      <c r="Z144" s="276"/>
      <c r="AA144" s="276"/>
      <c r="AB144" s="276"/>
      <c r="AC144" s="276"/>
      <c r="AD144" s="276"/>
      <c r="AE144" s="276"/>
      <c r="AF144" s="276"/>
      <c r="AG144" s="276"/>
      <c r="AH144" s="276"/>
      <c r="AI144" s="276"/>
      <c r="AJ144" s="276"/>
      <c r="AK144" s="276"/>
      <c r="AL144" s="276"/>
      <c r="AM144" s="276"/>
      <c r="AN144" s="276"/>
      <c r="AO144" s="276"/>
      <c r="AP144" s="276"/>
      <c r="AQ144" s="276"/>
      <c r="AR144" s="276"/>
      <c r="AS144" s="276"/>
      <c r="AT144" s="276"/>
      <c r="AU144" s="276"/>
      <c r="AV144" s="276"/>
      <c r="AW144" s="276"/>
      <c r="AX144" s="276"/>
      <c r="AY144" s="276"/>
    </row>
    <row r="145" spans="1:51" ht="15.75" customHeight="1" x14ac:dyDescent="0.25">
      <c r="A145" s="276"/>
      <c r="B145" s="533"/>
      <c r="C145" s="353"/>
      <c r="D145" s="276"/>
      <c r="E145" s="276"/>
      <c r="F145" s="276"/>
      <c r="G145" s="276"/>
      <c r="H145" s="276"/>
      <c r="I145" s="276"/>
      <c r="J145" s="353"/>
      <c r="K145" s="276"/>
      <c r="L145" s="276"/>
      <c r="M145" s="276"/>
      <c r="N145" s="276"/>
      <c r="O145" s="276"/>
      <c r="P145" s="276"/>
      <c r="Q145" s="276"/>
      <c r="R145" s="276"/>
      <c r="S145" s="276"/>
      <c r="T145" s="276"/>
      <c r="U145" s="276"/>
      <c r="V145" s="276"/>
      <c r="W145" s="276"/>
      <c r="X145" s="276"/>
      <c r="Y145" s="276"/>
      <c r="Z145" s="276"/>
      <c r="AA145" s="276"/>
      <c r="AB145" s="276"/>
      <c r="AC145" s="276"/>
      <c r="AD145" s="276"/>
      <c r="AE145" s="276"/>
      <c r="AF145" s="276"/>
      <c r="AG145" s="276"/>
      <c r="AH145" s="276"/>
      <c r="AI145" s="276"/>
      <c r="AJ145" s="276"/>
      <c r="AK145" s="276"/>
      <c r="AL145" s="276"/>
      <c r="AM145" s="276"/>
      <c r="AN145" s="276"/>
      <c r="AO145" s="276"/>
      <c r="AP145" s="276"/>
      <c r="AQ145" s="276"/>
      <c r="AR145" s="276"/>
      <c r="AS145" s="276"/>
      <c r="AT145" s="276"/>
      <c r="AU145" s="276"/>
      <c r="AV145" s="276"/>
      <c r="AW145" s="276"/>
      <c r="AX145" s="276"/>
      <c r="AY145" s="276"/>
    </row>
    <row r="146" spans="1:51" ht="15.75" customHeight="1" x14ac:dyDescent="0.25">
      <c r="A146" s="276"/>
      <c r="B146" s="533"/>
      <c r="C146" s="353"/>
      <c r="D146" s="276"/>
      <c r="E146" s="276"/>
      <c r="F146" s="276"/>
      <c r="G146" s="276"/>
      <c r="H146" s="276"/>
      <c r="I146" s="276"/>
      <c r="J146" s="353"/>
      <c r="K146" s="276"/>
      <c r="L146" s="276"/>
      <c r="M146" s="276"/>
      <c r="N146" s="276"/>
      <c r="O146" s="276"/>
      <c r="P146" s="276"/>
      <c r="Q146" s="276"/>
      <c r="R146" s="276"/>
      <c r="S146" s="276"/>
      <c r="T146" s="276"/>
      <c r="U146" s="276"/>
      <c r="V146" s="276"/>
      <c r="W146" s="276"/>
      <c r="X146" s="276"/>
      <c r="Y146" s="276"/>
      <c r="Z146" s="276"/>
      <c r="AA146" s="276"/>
      <c r="AB146" s="276"/>
      <c r="AC146" s="276"/>
      <c r="AD146" s="276"/>
      <c r="AE146" s="276"/>
      <c r="AF146" s="276"/>
      <c r="AG146" s="276"/>
      <c r="AH146" s="276"/>
      <c r="AI146" s="276"/>
      <c r="AJ146" s="276"/>
      <c r="AK146" s="276"/>
      <c r="AL146" s="276"/>
      <c r="AM146" s="276"/>
      <c r="AN146" s="276"/>
      <c r="AO146" s="276"/>
      <c r="AP146" s="276"/>
      <c r="AQ146" s="276"/>
      <c r="AR146" s="276"/>
      <c r="AS146" s="276"/>
      <c r="AT146" s="276"/>
      <c r="AU146" s="276"/>
      <c r="AV146" s="276"/>
      <c r="AW146" s="276"/>
      <c r="AX146" s="276"/>
      <c r="AY146" s="276"/>
    </row>
    <row r="147" spans="1:51" ht="15.75" customHeight="1" x14ac:dyDescent="0.25">
      <c r="A147" s="276"/>
      <c r="B147" s="533"/>
      <c r="C147" s="353"/>
      <c r="D147" s="276"/>
      <c r="E147" s="276"/>
      <c r="F147" s="276"/>
      <c r="G147" s="276"/>
      <c r="H147" s="276"/>
      <c r="I147" s="276"/>
      <c r="J147" s="353"/>
      <c r="K147" s="276"/>
      <c r="L147" s="276"/>
      <c r="M147" s="276"/>
      <c r="N147" s="276"/>
      <c r="O147" s="276"/>
      <c r="P147" s="276"/>
      <c r="Q147" s="276"/>
      <c r="R147" s="276"/>
      <c r="S147" s="276"/>
      <c r="T147" s="276"/>
      <c r="U147" s="276"/>
      <c r="V147" s="276"/>
      <c r="W147" s="276"/>
      <c r="X147" s="276"/>
      <c r="Y147" s="276"/>
      <c r="Z147" s="276"/>
      <c r="AA147" s="276"/>
      <c r="AB147" s="276"/>
      <c r="AC147" s="276"/>
      <c r="AD147" s="276"/>
      <c r="AE147" s="276"/>
      <c r="AF147" s="276"/>
      <c r="AG147" s="276"/>
      <c r="AH147" s="276"/>
      <c r="AI147" s="276"/>
      <c r="AJ147" s="276"/>
      <c r="AK147" s="276"/>
      <c r="AL147" s="276"/>
      <c r="AM147" s="276"/>
      <c r="AN147" s="276"/>
      <c r="AO147" s="276"/>
      <c r="AP147" s="276"/>
      <c r="AQ147" s="276"/>
      <c r="AR147" s="276"/>
      <c r="AS147" s="276"/>
      <c r="AT147" s="276"/>
      <c r="AU147" s="276"/>
      <c r="AV147" s="276"/>
      <c r="AW147" s="276"/>
      <c r="AX147" s="276"/>
      <c r="AY147" s="276"/>
    </row>
    <row r="148" spans="1:51" ht="15.75" customHeight="1" x14ac:dyDescent="0.25">
      <c r="A148" s="276"/>
      <c r="B148" s="533"/>
      <c r="C148" s="353"/>
      <c r="D148" s="276"/>
      <c r="E148" s="276"/>
      <c r="F148" s="276"/>
      <c r="G148" s="276"/>
      <c r="H148" s="276"/>
      <c r="I148" s="276"/>
      <c r="J148" s="353"/>
      <c r="K148" s="276"/>
      <c r="L148" s="276"/>
      <c r="M148" s="276"/>
      <c r="N148" s="276"/>
      <c r="O148" s="276"/>
      <c r="P148" s="276"/>
      <c r="Q148" s="276"/>
      <c r="R148" s="276"/>
      <c r="S148" s="276"/>
      <c r="T148" s="276"/>
      <c r="U148" s="276"/>
      <c r="V148" s="276"/>
      <c r="W148" s="276"/>
      <c r="X148" s="276"/>
      <c r="Y148" s="276"/>
      <c r="Z148" s="276"/>
      <c r="AA148" s="276"/>
      <c r="AB148" s="276"/>
      <c r="AC148" s="276"/>
      <c r="AD148" s="276"/>
      <c r="AE148" s="276"/>
      <c r="AF148" s="276"/>
      <c r="AG148" s="276"/>
      <c r="AH148" s="276"/>
      <c r="AI148" s="276"/>
      <c r="AJ148" s="276"/>
      <c r="AK148" s="276"/>
      <c r="AL148" s="276"/>
      <c r="AM148" s="276"/>
      <c r="AN148" s="276"/>
      <c r="AO148" s="276"/>
      <c r="AP148" s="276"/>
      <c r="AQ148" s="276"/>
      <c r="AR148" s="276"/>
      <c r="AS148" s="276"/>
      <c r="AT148" s="276"/>
      <c r="AU148" s="276"/>
      <c r="AV148" s="276"/>
      <c r="AW148" s="276"/>
      <c r="AX148" s="276"/>
      <c r="AY148" s="276"/>
    </row>
    <row r="149" spans="1:51" ht="15.75" customHeight="1" x14ac:dyDescent="0.25">
      <c r="A149" s="276"/>
      <c r="B149" s="533"/>
      <c r="C149" s="353"/>
      <c r="D149" s="276"/>
      <c r="E149" s="276"/>
      <c r="F149" s="276"/>
      <c r="G149" s="276"/>
      <c r="H149" s="276"/>
      <c r="I149" s="276"/>
      <c r="J149" s="353"/>
      <c r="K149" s="276"/>
      <c r="L149" s="276"/>
      <c r="M149" s="276"/>
      <c r="N149" s="276"/>
      <c r="O149" s="276"/>
      <c r="P149" s="276"/>
      <c r="Q149" s="276"/>
      <c r="R149" s="276"/>
      <c r="S149" s="276"/>
      <c r="T149" s="276"/>
      <c r="U149" s="276"/>
      <c r="V149" s="276"/>
      <c r="W149" s="276"/>
      <c r="X149" s="276"/>
      <c r="Y149" s="276"/>
      <c r="Z149" s="276"/>
      <c r="AA149" s="276"/>
      <c r="AB149" s="276"/>
      <c r="AC149" s="276"/>
      <c r="AD149" s="276"/>
      <c r="AE149" s="276"/>
      <c r="AF149" s="276"/>
      <c r="AG149" s="276"/>
      <c r="AH149" s="276"/>
      <c r="AI149" s="276"/>
      <c r="AJ149" s="276"/>
      <c r="AK149" s="276"/>
      <c r="AL149" s="276"/>
      <c r="AM149" s="276"/>
      <c r="AN149" s="276"/>
      <c r="AO149" s="276"/>
      <c r="AP149" s="276"/>
      <c r="AQ149" s="276"/>
      <c r="AR149" s="276"/>
      <c r="AS149" s="276"/>
      <c r="AT149" s="276"/>
      <c r="AU149" s="276"/>
      <c r="AV149" s="276"/>
      <c r="AW149" s="276"/>
      <c r="AX149" s="276"/>
      <c r="AY149" s="276"/>
    </row>
    <row r="150" spans="1:51" ht="15.75" customHeight="1" x14ac:dyDescent="0.25">
      <c r="A150" s="276"/>
      <c r="B150" s="533"/>
      <c r="C150" s="353"/>
      <c r="D150" s="276"/>
      <c r="E150" s="276"/>
      <c r="F150" s="276"/>
      <c r="G150" s="276"/>
      <c r="H150" s="276"/>
      <c r="I150" s="276"/>
      <c r="J150" s="353"/>
      <c r="K150" s="276"/>
      <c r="L150" s="276"/>
      <c r="M150" s="276"/>
      <c r="N150" s="276"/>
      <c r="O150" s="276"/>
      <c r="P150" s="276"/>
      <c r="Q150" s="276"/>
      <c r="R150" s="276"/>
      <c r="S150" s="276"/>
      <c r="T150" s="276"/>
      <c r="U150" s="276"/>
      <c r="V150" s="276"/>
      <c r="W150" s="276"/>
      <c r="X150" s="276"/>
      <c r="Y150" s="276"/>
      <c r="Z150" s="276"/>
      <c r="AA150" s="276"/>
      <c r="AB150" s="276"/>
      <c r="AC150" s="276"/>
      <c r="AD150" s="276"/>
      <c r="AE150" s="276"/>
      <c r="AF150" s="276"/>
      <c r="AG150" s="276"/>
      <c r="AH150" s="276"/>
      <c r="AI150" s="276"/>
      <c r="AJ150" s="276"/>
      <c r="AK150" s="276"/>
      <c r="AL150" s="276"/>
      <c r="AM150" s="276"/>
      <c r="AN150" s="276"/>
      <c r="AO150" s="276"/>
      <c r="AP150" s="276"/>
      <c r="AQ150" s="276"/>
      <c r="AR150" s="276"/>
      <c r="AS150" s="276"/>
      <c r="AT150" s="276"/>
      <c r="AU150" s="276"/>
      <c r="AV150" s="276"/>
      <c r="AW150" s="276"/>
      <c r="AX150" s="276"/>
      <c r="AY150" s="276"/>
    </row>
    <row r="151" spans="1:51" ht="15.75" customHeight="1" x14ac:dyDescent="0.25">
      <c r="A151" s="276"/>
      <c r="B151" s="533"/>
      <c r="C151" s="353"/>
      <c r="D151" s="276"/>
      <c r="E151" s="276"/>
      <c r="F151" s="276"/>
      <c r="G151" s="276"/>
      <c r="H151" s="276"/>
      <c r="I151" s="276"/>
      <c r="J151" s="353"/>
      <c r="K151" s="276"/>
      <c r="L151" s="276"/>
      <c r="M151" s="276"/>
      <c r="N151" s="276"/>
      <c r="O151" s="276"/>
      <c r="P151" s="276"/>
      <c r="Q151" s="276"/>
      <c r="R151" s="276"/>
      <c r="S151" s="276"/>
      <c r="T151" s="276"/>
      <c r="U151" s="276"/>
      <c r="V151" s="276"/>
      <c r="W151" s="276"/>
      <c r="X151" s="276"/>
      <c r="Y151" s="276"/>
      <c r="Z151" s="276"/>
      <c r="AA151" s="276"/>
      <c r="AB151" s="276"/>
      <c r="AC151" s="276"/>
      <c r="AD151" s="276"/>
      <c r="AE151" s="276"/>
      <c r="AF151" s="276"/>
      <c r="AG151" s="276"/>
      <c r="AH151" s="276"/>
      <c r="AI151" s="276"/>
      <c r="AJ151" s="276"/>
      <c r="AK151" s="276"/>
      <c r="AL151" s="276"/>
      <c r="AM151" s="276"/>
      <c r="AN151" s="276"/>
      <c r="AO151" s="276"/>
      <c r="AP151" s="276"/>
      <c r="AQ151" s="276"/>
      <c r="AR151" s="276"/>
      <c r="AS151" s="276"/>
      <c r="AT151" s="276"/>
      <c r="AU151" s="276"/>
      <c r="AV151" s="276"/>
      <c r="AW151" s="276"/>
      <c r="AX151" s="276"/>
      <c r="AY151" s="276"/>
    </row>
    <row r="152" spans="1:51" ht="15.75" customHeight="1" x14ac:dyDescent="0.25">
      <c r="A152" s="276"/>
      <c r="B152" s="533"/>
      <c r="C152" s="353"/>
      <c r="D152" s="276"/>
      <c r="E152" s="276"/>
      <c r="F152" s="276"/>
      <c r="G152" s="276"/>
      <c r="H152" s="276"/>
      <c r="I152" s="276"/>
      <c r="J152" s="353"/>
      <c r="K152" s="276"/>
      <c r="L152" s="276"/>
      <c r="M152" s="276"/>
      <c r="N152" s="276"/>
      <c r="O152" s="276"/>
      <c r="P152" s="276"/>
      <c r="Q152" s="276"/>
      <c r="R152" s="276"/>
      <c r="S152" s="276"/>
      <c r="T152" s="276"/>
      <c r="U152" s="276"/>
      <c r="V152" s="276"/>
      <c r="W152" s="276"/>
      <c r="X152" s="276"/>
      <c r="Y152" s="276"/>
      <c r="Z152" s="276"/>
      <c r="AA152" s="276"/>
      <c r="AB152" s="276"/>
      <c r="AC152" s="276"/>
      <c r="AD152" s="276"/>
      <c r="AE152" s="276"/>
      <c r="AF152" s="276"/>
      <c r="AG152" s="276"/>
      <c r="AH152" s="276"/>
      <c r="AI152" s="276"/>
      <c r="AJ152" s="276"/>
      <c r="AK152" s="276"/>
      <c r="AL152" s="276"/>
      <c r="AM152" s="276"/>
      <c r="AN152" s="276"/>
      <c r="AO152" s="276"/>
      <c r="AP152" s="276"/>
      <c r="AQ152" s="276"/>
      <c r="AR152" s="276"/>
      <c r="AS152" s="276"/>
      <c r="AT152" s="276"/>
      <c r="AU152" s="276"/>
      <c r="AV152" s="276"/>
      <c r="AW152" s="276"/>
      <c r="AX152" s="276"/>
      <c r="AY152" s="276"/>
    </row>
    <row r="153" spans="1:51" ht="15.75" customHeight="1" x14ac:dyDescent="0.25">
      <c r="A153" s="276"/>
      <c r="B153" s="533"/>
      <c r="C153" s="353"/>
      <c r="D153" s="276"/>
      <c r="E153" s="276"/>
      <c r="F153" s="276"/>
      <c r="G153" s="276"/>
      <c r="H153" s="276"/>
      <c r="I153" s="276"/>
      <c r="J153" s="353"/>
      <c r="K153" s="276"/>
      <c r="L153" s="276"/>
      <c r="M153" s="276"/>
      <c r="N153" s="276"/>
      <c r="O153" s="276"/>
      <c r="P153" s="276"/>
      <c r="Q153" s="276"/>
      <c r="R153" s="276"/>
      <c r="S153" s="276"/>
      <c r="T153" s="276"/>
      <c r="U153" s="276"/>
      <c r="V153" s="276"/>
      <c r="W153" s="276"/>
      <c r="X153" s="276"/>
      <c r="Y153" s="276"/>
      <c r="Z153" s="276"/>
      <c r="AA153" s="276"/>
      <c r="AB153" s="276"/>
      <c r="AC153" s="276"/>
      <c r="AD153" s="276"/>
      <c r="AE153" s="276"/>
      <c r="AF153" s="276"/>
      <c r="AG153" s="276"/>
      <c r="AH153" s="276"/>
      <c r="AI153" s="276"/>
      <c r="AJ153" s="276"/>
      <c r="AK153" s="276"/>
      <c r="AL153" s="276"/>
      <c r="AM153" s="276"/>
      <c r="AN153" s="276"/>
      <c r="AO153" s="276"/>
      <c r="AP153" s="276"/>
      <c r="AQ153" s="276"/>
      <c r="AR153" s="276"/>
      <c r="AS153" s="276"/>
      <c r="AT153" s="276"/>
      <c r="AU153" s="276"/>
      <c r="AV153" s="276"/>
      <c r="AW153" s="276"/>
      <c r="AX153" s="276"/>
      <c r="AY153" s="276"/>
    </row>
    <row r="154" spans="1:51" ht="15.75" customHeight="1" x14ac:dyDescent="0.25">
      <c r="A154" s="276"/>
      <c r="B154" s="533"/>
      <c r="C154" s="353"/>
      <c r="D154" s="276"/>
      <c r="E154" s="276"/>
      <c r="F154" s="276"/>
      <c r="G154" s="276"/>
      <c r="H154" s="276"/>
      <c r="I154" s="276"/>
      <c r="J154" s="353"/>
      <c r="K154" s="276"/>
      <c r="L154" s="276"/>
      <c r="M154" s="276"/>
      <c r="N154" s="276"/>
      <c r="O154" s="276"/>
      <c r="P154" s="276"/>
      <c r="Q154" s="276"/>
      <c r="R154" s="276"/>
      <c r="S154" s="276"/>
      <c r="T154" s="276"/>
      <c r="U154" s="276"/>
      <c r="V154" s="276"/>
      <c r="W154" s="276"/>
      <c r="X154" s="276"/>
      <c r="Y154" s="276"/>
      <c r="Z154" s="276"/>
      <c r="AA154" s="276"/>
      <c r="AB154" s="276"/>
      <c r="AC154" s="276"/>
      <c r="AD154" s="276"/>
      <c r="AE154" s="276"/>
      <c r="AF154" s="276"/>
      <c r="AG154" s="276"/>
      <c r="AH154" s="276"/>
      <c r="AI154" s="276"/>
      <c r="AJ154" s="276"/>
      <c r="AK154" s="276"/>
      <c r="AL154" s="276"/>
      <c r="AM154" s="276"/>
      <c r="AN154" s="276"/>
      <c r="AO154" s="276"/>
      <c r="AP154" s="276"/>
      <c r="AQ154" s="276"/>
      <c r="AR154" s="276"/>
      <c r="AS154" s="276"/>
      <c r="AT154" s="276"/>
      <c r="AU154" s="276"/>
      <c r="AV154" s="276"/>
      <c r="AW154" s="276"/>
      <c r="AX154" s="276"/>
      <c r="AY154" s="276"/>
    </row>
    <row r="155" spans="1:51" ht="15.75" customHeight="1" x14ac:dyDescent="0.25">
      <c r="A155" s="276"/>
      <c r="B155" s="533"/>
      <c r="C155" s="353"/>
      <c r="D155" s="276"/>
      <c r="E155" s="276"/>
      <c r="F155" s="276"/>
      <c r="G155" s="276"/>
      <c r="H155" s="276"/>
      <c r="I155" s="276"/>
      <c r="J155" s="353"/>
      <c r="K155" s="276"/>
      <c r="L155" s="276"/>
      <c r="M155" s="276"/>
      <c r="N155" s="276"/>
      <c r="O155" s="276"/>
      <c r="P155" s="276"/>
      <c r="Q155" s="276"/>
      <c r="R155" s="276"/>
      <c r="S155" s="276"/>
      <c r="T155" s="276"/>
      <c r="U155" s="276"/>
      <c r="V155" s="276"/>
      <c r="W155" s="276"/>
      <c r="X155" s="276"/>
      <c r="Y155" s="276"/>
      <c r="Z155" s="276"/>
      <c r="AA155" s="276"/>
      <c r="AB155" s="276"/>
      <c r="AC155" s="276"/>
      <c r="AD155" s="276"/>
      <c r="AE155" s="276"/>
      <c r="AF155" s="276"/>
      <c r="AG155" s="276"/>
      <c r="AH155" s="276"/>
      <c r="AI155" s="276"/>
      <c r="AJ155" s="276"/>
      <c r="AK155" s="276"/>
      <c r="AL155" s="276"/>
      <c r="AM155" s="276"/>
      <c r="AN155" s="276"/>
      <c r="AO155" s="276"/>
      <c r="AP155" s="276"/>
      <c r="AQ155" s="276"/>
      <c r="AR155" s="276"/>
      <c r="AS155" s="276"/>
      <c r="AT155" s="276"/>
      <c r="AU155" s="276"/>
      <c r="AV155" s="276"/>
      <c r="AW155" s="276"/>
      <c r="AX155" s="276"/>
      <c r="AY155" s="276"/>
    </row>
    <row r="156" spans="1:51" ht="15.75" customHeight="1" x14ac:dyDescent="0.25">
      <c r="A156" s="276"/>
      <c r="B156" s="533"/>
      <c r="C156" s="353"/>
      <c r="D156" s="276"/>
      <c r="E156" s="276"/>
      <c r="F156" s="276"/>
      <c r="G156" s="276"/>
      <c r="H156" s="276"/>
      <c r="I156" s="276"/>
      <c r="J156" s="353"/>
      <c r="K156" s="276"/>
      <c r="L156" s="276"/>
      <c r="M156" s="276"/>
      <c r="N156" s="276"/>
      <c r="O156" s="276"/>
      <c r="P156" s="276"/>
      <c r="Q156" s="276"/>
      <c r="R156" s="276"/>
      <c r="S156" s="276"/>
      <c r="T156" s="276"/>
      <c r="U156" s="276"/>
      <c r="V156" s="276"/>
      <c r="W156" s="276"/>
      <c r="X156" s="276"/>
      <c r="Y156" s="276"/>
      <c r="Z156" s="276"/>
      <c r="AA156" s="276"/>
      <c r="AB156" s="276"/>
      <c r="AC156" s="276"/>
      <c r="AD156" s="276"/>
      <c r="AE156" s="276"/>
      <c r="AF156" s="276"/>
      <c r="AG156" s="276"/>
      <c r="AH156" s="276"/>
      <c r="AI156" s="276"/>
      <c r="AJ156" s="276"/>
      <c r="AK156" s="276"/>
      <c r="AL156" s="276"/>
      <c r="AM156" s="276"/>
      <c r="AN156" s="276"/>
      <c r="AO156" s="276"/>
      <c r="AP156" s="276"/>
      <c r="AQ156" s="276"/>
      <c r="AR156" s="276"/>
      <c r="AS156" s="276"/>
      <c r="AT156" s="276"/>
      <c r="AU156" s="276"/>
      <c r="AV156" s="276"/>
      <c r="AW156" s="276"/>
      <c r="AX156" s="276"/>
      <c r="AY156" s="276"/>
    </row>
    <row r="157" spans="1:51" ht="15.75" customHeight="1" x14ac:dyDescent="0.25">
      <c r="A157" s="276"/>
      <c r="B157" s="533"/>
      <c r="C157" s="353"/>
      <c r="D157" s="276"/>
      <c r="E157" s="276"/>
      <c r="F157" s="276"/>
      <c r="G157" s="276"/>
      <c r="H157" s="276"/>
      <c r="I157" s="276"/>
      <c r="J157" s="353"/>
      <c r="K157" s="276"/>
      <c r="L157" s="276"/>
      <c r="M157" s="276"/>
      <c r="N157" s="276"/>
      <c r="O157" s="276"/>
      <c r="P157" s="276"/>
      <c r="Q157" s="276"/>
      <c r="R157" s="276"/>
      <c r="S157" s="276"/>
      <c r="T157" s="276"/>
      <c r="U157" s="276"/>
      <c r="V157" s="276"/>
      <c r="W157" s="276"/>
      <c r="X157" s="276"/>
      <c r="Y157" s="276"/>
      <c r="Z157" s="276"/>
      <c r="AA157" s="276"/>
      <c r="AB157" s="276"/>
      <c r="AC157" s="276"/>
      <c r="AD157" s="276"/>
      <c r="AE157" s="276"/>
      <c r="AF157" s="276"/>
      <c r="AG157" s="276"/>
      <c r="AH157" s="276"/>
      <c r="AI157" s="276"/>
      <c r="AJ157" s="276"/>
      <c r="AK157" s="276"/>
      <c r="AL157" s="276"/>
      <c r="AM157" s="276"/>
      <c r="AN157" s="276"/>
      <c r="AO157" s="276"/>
      <c r="AP157" s="276"/>
      <c r="AQ157" s="276"/>
      <c r="AR157" s="276"/>
      <c r="AS157" s="276"/>
      <c r="AT157" s="276"/>
      <c r="AU157" s="276"/>
      <c r="AV157" s="276"/>
      <c r="AW157" s="276"/>
      <c r="AX157" s="276"/>
      <c r="AY157" s="276"/>
    </row>
    <row r="158" spans="1:51" ht="15.75" customHeight="1" x14ac:dyDescent="0.25">
      <c r="A158" s="276"/>
      <c r="B158" s="533"/>
      <c r="C158" s="353"/>
      <c r="D158" s="276"/>
      <c r="E158" s="276"/>
      <c r="F158" s="276"/>
      <c r="G158" s="276"/>
      <c r="H158" s="276"/>
      <c r="I158" s="276"/>
      <c r="J158" s="353"/>
      <c r="K158" s="276"/>
      <c r="L158" s="276"/>
      <c r="M158" s="276"/>
      <c r="N158" s="276"/>
      <c r="O158" s="276"/>
      <c r="P158" s="276"/>
      <c r="Q158" s="276"/>
      <c r="R158" s="276"/>
      <c r="S158" s="276"/>
      <c r="T158" s="276"/>
      <c r="U158" s="276"/>
      <c r="V158" s="276"/>
      <c r="W158" s="276"/>
      <c r="X158" s="276"/>
      <c r="Y158" s="276"/>
      <c r="Z158" s="276"/>
      <c r="AA158" s="276"/>
      <c r="AB158" s="276"/>
      <c r="AC158" s="276"/>
      <c r="AD158" s="276"/>
      <c r="AE158" s="276"/>
      <c r="AF158" s="276"/>
      <c r="AG158" s="276"/>
      <c r="AH158" s="276"/>
      <c r="AI158" s="276"/>
      <c r="AJ158" s="276"/>
      <c r="AK158" s="276"/>
      <c r="AL158" s="276"/>
      <c r="AM158" s="276"/>
      <c r="AN158" s="276"/>
      <c r="AO158" s="276"/>
      <c r="AP158" s="276"/>
      <c r="AQ158" s="276"/>
      <c r="AR158" s="276"/>
      <c r="AS158" s="276"/>
      <c r="AT158" s="276"/>
      <c r="AU158" s="276"/>
      <c r="AV158" s="276"/>
      <c r="AW158" s="276"/>
      <c r="AX158" s="276"/>
      <c r="AY158" s="276"/>
    </row>
    <row r="159" spans="1:51" ht="15.75" customHeight="1" x14ac:dyDescent="0.25">
      <c r="A159" s="276"/>
      <c r="B159" s="533"/>
      <c r="C159" s="353"/>
      <c r="D159" s="276"/>
      <c r="E159" s="276"/>
      <c r="F159" s="276"/>
      <c r="G159" s="276"/>
      <c r="H159" s="276"/>
      <c r="I159" s="276"/>
      <c r="J159" s="353"/>
      <c r="K159" s="276"/>
      <c r="L159" s="276"/>
      <c r="M159" s="276"/>
      <c r="N159" s="276"/>
      <c r="O159" s="276"/>
      <c r="P159" s="276"/>
      <c r="Q159" s="276"/>
      <c r="R159" s="276"/>
      <c r="S159" s="276"/>
      <c r="T159" s="276"/>
      <c r="U159" s="276"/>
      <c r="V159" s="276"/>
      <c r="W159" s="276"/>
      <c r="X159" s="276"/>
      <c r="Y159" s="276"/>
      <c r="Z159" s="276"/>
      <c r="AA159" s="276"/>
      <c r="AB159" s="276"/>
      <c r="AC159" s="276"/>
      <c r="AD159" s="276"/>
      <c r="AE159" s="276"/>
      <c r="AF159" s="276"/>
      <c r="AG159" s="276"/>
      <c r="AH159" s="276"/>
      <c r="AI159" s="276"/>
      <c r="AJ159" s="276"/>
      <c r="AK159" s="276"/>
      <c r="AL159" s="276"/>
      <c r="AM159" s="276"/>
      <c r="AN159" s="276"/>
      <c r="AO159" s="276"/>
      <c r="AP159" s="276"/>
      <c r="AQ159" s="276"/>
      <c r="AR159" s="276"/>
      <c r="AS159" s="276"/>
      <c r="AT159" s="276"/>
      <c r="AU159" s="276"/>
      <c r="AV159" s="276"/>
      <c r="AW159" s="276"/>
      <c r="AX159" s="276"/>
      <c r="AY159" s="276"/>
    </row>
    <row r="160" spans="1:51" ht="15.75" customHeight="1" x14ac:dyDescent="0.25">
      <c r="A160" s="276"/>
      <c r="B160" s="533"/>
      <c r="C160" s="353"/>
      <c r="D160" s="276"/>
      <c r="E160" s="276"/>
      <c r="F160" s="276"/>
      <c r="G160" s="276"/>
      <c r="H160" s="276"/>
      <c r="I160" s="276"/>
      <c r="J160" s="353"/>
      <c r="K160" s="276"/>
      <c r="L160" s="276"/>
      <c r="M160" s="276"/>
      <c r="N160" s="276"/>
      <c r="O160" s="276"/>
      <c r="P160" s="276"/>
      <c r="Q160" s="276"/>
      <c r="R160" s="276"/>
      <c r="S160" s="276"/>
      <c r="T160" s="276"/>
      <c r="U160" s="276"/>
      <c r="V160" s="276"/>
      <c r="W160" s="276"/>
      <c r="X160" s="276"/>
      <c r="Y160" s="276"/>
      <c r="Z160" s="276"/>
      <c r="AA160" s="276"/>
      <c r="AB160" s="276"/>
      <c r="AC160" s="276"/>
      <c r="AD160" s="276"/>
      <c r="AE160" s="276"/>
      <c r="AF160" s="276"/>
      <c r="AG160" s="276"/>
      <c r="AH160" s="276"/>
      <c r="AI160" s="276"/>
      <c r="AJ160" s="276"/>
      <c r="AK160" s="276"/>
      <c r="AL160" s="276"/>
      <c r="AM160" s="276"/>
      <c r="AN160" s="276"/>
      <c r="AO160" s="276"/>
      <c r="AP160" s="276"/>
      <c r="AQ160" s="276"/>
      <c r="AR160" s="276"/>
      <c r="AS160" s="276"/>
      <c r="AT160" s="276"/>
      <c r="AU160" s="276"/>
      <c r="AV160" s="276"/>
      <c r="AW160" s="276"/>
      <c r="AX160" s="276"/>
      <c r="AY160" s="276"/>
    </row>
    <row r="161" spans="1:51" ht="15.75" customHeight="1" x14ac:dyDescent="0.25">
      <c r="A161" s="276"/>
      <c r="B161" s="533"/>
      <c r="C161" s="353"/>
      <c r="D161" s="276"/>
      <c r="E161" s="276"/>
      <c r="F161" s="276"/>
      <c r="G161" s="276"/>
      <c r="H161" s="276"/>
      <c r="I161" s="276"/>
      <c r="J161" s="353"/>
      <c r="K161" s="276"/>
      <c r="L161" s="276"/>
      <c r="M161" s="276"/>
      <c r="N161" s="276"/>
      <c r="O161" s="276"/>
      <c r="P161" s="276"/>
      <c r="Q161" s="276"/>
      <c r="R161" s="276"/>
      <c r="S161" s="276"/>
      <c r="T161" s="276"/>
      <c r="U161" s="276"/>
      <c r="V161" s="276"/>
      <c r="W161" s="276"/>
      <c r="X161" s="276"/>
      <c r="Y161" s="276"/>
      <c r="Z161" s="276"/>
      <c r="AA161" s="276"/>
      <c r="AB161" s="276"/>
      <c r="AC161" s="276"/>
      <c r="AD161" s="276"/>
      <c r="AE161" s="276"/>
      <c r="AF161" s="276"/>
      <c r="AG161" s="276"/>
      <c r="AH161" s="276"/>
      <c r="AI161" s="276"/>
      <c r="AJ161" s="276"/>
      <c r="AK161" s="276"/>
      <c r="AL161" s="276"/>
      <c r="AM161" s="276"/>
      <c r="AN161" s="276"/>
      <c r="AO161" s="276"/>
      <c r="AP161" s="276"/>
      <c r="AQ161" s="276"/>
      <c r="AR161" s="276"/>
      <c r="AS161" s="276"/>
      <c r="AT161" s="276"/>
      <c r="AU161" s="276"/>
      <c r="AV161" s="276"/>
      <c r="AW161" s="276"/>
      <c r="AX161" s="276"/>
      <c r="AY161" s="276"/>
    </row>
    <row r="162" spans="1:51" ht="15.75" customHeight="1" x14ac:dyDescent="0.25">
      <c r="A162" s="276"/>
      <c r="B162" s="533"/>
      <c r="C162" s="353"/>
      <c r="D162" s="276"/>
      <c r="E162" s="276"/>
      <c r="F162" s="276"/>
      <c r="G162" s="276"/>
      <c r="H162" s="276"/>
      <c r="I162" s="276"/>
      <c r="J162" s="353"/>
      <c r="K162" s="276"/>
      <c r="L162" s="276"/>
      <c r="M162" s="276"/>
      <c r="N162" s="276"/>
      <c r="O162" s="276"/>
      <c r="P162" s="276"/>
      <c r="Q162" s="276"/>
      <c r="R162" s="276"/>
      <c r="S162" s="276"/>
      <c r="T162" s="276"/>
      <c r="U162" s="276"/>
      <c r="V162" s="276"/>
      <c r="W162" s="276"/>
      <c r="X162" s="276"/>
      <c r="Y162" s="276"/>
      <c r="Z162" s="276"/>
      <c r="AA162" s="276"/>
      <c r="AB162" s="276"/>
      <c r="AC162" s="276"/>
      <c r="AD162" s="276"/>
      <c r="AE162" s="276"/>
      <c r="AF162" s="276"/>
      <c r="AG162" s="276"/>
      <c r="AH162" s="276"/>
      <c r="AI162" s="276"/>
      <c r="AJ162" s="276"/>
      <c r="AK162" s="276"/>
      <c r="AL162" s="276"/>
      <c r="AM162" s="276"/>
      <c r="AN162" s="276"/>
      <c r="AO162" s="276"/>
      <c r="AP162" s="276"/>
      <c r="AQ162" s="276"/>
      <c r="AR162" s="276"/>
      <c r="AS162" s="276"/>
      <c r="AT162" s="276"/>
      <c r="AU162" s="276"/>
      <c r="AV162" s="276"/>
      <c r="AW162" s="276"/>
      <c r="AX162" s="276"/>
      <c r="AY162" s="276"/>
    </row>
    <row r="163" spans="1:51" ht="15.75" customHeight="1" x14ac:dyDescent="0.25">
      <c r="A163" s="276"/>
      <c r="B163" s="533"/>
      <c r="C163" s="353"/>
      <c r="D163" s="276"/>
      <c r="E163" s="276"/>
      <c r="F163" s="276"/>
      <c r="G163" s="276"/>
      <c r="H163" s="276"/>
      <c r="I163" s="276"/>
      <c r="J163" s="353"/>
      <c r="K163" s="276"/>
      <c r="L163" s="276"/>
      <c r="M163" s="276"/>
      <c r="N163" s="276"/>
      <c r="O163" s="276"/>
      <c r="P163" s="276"/>
      <c r="Q163" s="276"/>
      <c r="R163" s="276"/>
      <c r="S163" s="276"/>
      <c r="T163" s="276"/>
      <c r="U163" s="276"/>
      <c r="V163" s="276"/>
      <c r="W163" s="276"/>
      <c r="X163" s="276"/>
      <c r="Y163" s="276"/>
      <c r="Z163" s="276"/>
      <c r="AA163" s="276"/>
      <c r="AB163" s="276"/>
      <c r="AC163" s="276"/>
      <c r="AD163" s="276"/>
      <c r="AE163" s="276"/>
      <c r="AF163" s="276"/>
      <c r="AG163" s="276"/>
      <c r="AH163" s="276"/>
      <c r="AI163" s="276"/>
      <c r="AJ163" s="276"/>
      <c r="AK163" s="276"/>
      <c r="AL163" s="276"/>
      <c r="AM163" s="276"/>
      <c r="AN163" s="276"/>
      <c r="AO163" s="276"/>
      <c r="AP163" s="276"/>
      <c r="AQ163" s="276"/>
      <c r="AR163" s="276"/>
      <c r="AS163" s="276"/>
      <c r="AT163" s="276"/>
      <c r="AU163" s="276"/>
      <c r="AV163" s="276"/>
      <c r="AW163" s="276"/>
      <c r="AX163" s="276"/>
      <c r="AY163" s="276"/>
    </row>
    <row r="164" spans="1:51" ht="15.75" customHeight="1" x14ac:dyDescent="0.25">
      <c r="A164" s="276"/>
      <c r="B164" s="533"/>
      <c r="C164" s="353"/>
      <c r="D164" s="276"/>
      <c r="E164" s="276"/>
      <c r="F164" s="276"/>
      <c r="G164" s="276"/>
      <c r="H164" s="276"/>
      <c r="I164" s="276"/>
      <c r="J164" s="353"/>
      <c r="K164" s="276"/>
      <c r="L164" s="276"/>
      <c r="M164" s="276"/>
      <c r="N164" s="276"/>
      <c r="O164" s="276"/>
      <c r="P164" s="276"/>
      <c r="Q164" s="276"/>
      <c r="R164" s="276"/>
      <c r="S164" s="276"/>
      <c r="T164" s="276"/>
      <c r="U164" s="276"/>
      <c r="V164" s="276"/>
      <c r="W164" s="276"/>
      <c r="X164" s="276"/>
      <c r="Y164" s="276"/>
      <c r="Z164" s="276"/>
      <c r="AA164" s="276"/>
      <c r="AB164" s="276"/>
      <c r="AC164" s="276"/>
      <c r="AD164" s="276"/>
      <c r="AE164" s="276"/>
      <c r="AF164" s="276"/>
      <c r="AG164" s="276"/>
      <c r="AH164" s="276"/>
      <c r="AI164" s="276"/>
      <c r="AJ164" s="276"/>
      <c r="AK164" s="276"/>
      <c r="AL164" s="276"/>
      <c r="AM164" s="276"/>
      <c r="AN164" s="276"/>
      <c r="AO164" s="276"/>
      <c r="AP164" s="276"/>
      <c r="AQ164" s="276"/>
      <c r="AR164" s="276"/>
      <c r="AS164" s="276"/>
      <c r="AT164" s="276"/>
      <c r="AU164" s="276"/>
      <c r="AV164" s="276"/>
      <c r="AW164" s="276"/>
      <c r="AX164" s="276"/>
      <c r="AY164" s="276"/>
    </row>
    <row r="165" spans="1:51" ht="15.75" customHeight="1" x14ac:dyDescent="0.25">
      <c r="A165" s="276"/>
      <c r="B165" s="533"/>
      <c r="C165" s="353"/>
      <c r="D165" s="276"/>
      <c r="E165" s="276"/>
      <c r="F165" s="276"/>
      <c r="G165" s="276"/>
      <c r="H165" s="276"/>
      <c r="I165" s="276"/>
      <c r="J165" s="353"/>
      <c r="K165" s="276"/>
      <c r="L165" s="276"/>
      <c r="M165" s="276"/>
      <c r="N165" s="276"/>
      <c r="O165" s="276"/>
      <c r="P165" s="276"/>
      <c r="Q165" s="276"/>
      <c r="R165" s="276"/>
      <c r="S165" s="276"/>
      <c r="T165" s="276"/>
      <c r="U165" s="276"/>
      <c r="V165" s="276"/>
      <c r="W165" s="276"/>
      <c r="X165" s="276"/>
      <c r="Y165" s="276"/>
      <c r="Z165" s="276"/>
      <c r="AA165" s="276"/>
      <c r="AB165" s="276"/>
      <c r="AC165" s="276"/>
      <c r="AD165" s="276"/>
      <c r="AE165" s="276"/>
      <c r="AF165" s="276"/>
      <c r="AG165" s="276"/>
      <c r="AH165" s="276"/>
      <c r="AI165" s="276"/>
      <c r="AJ165" s="276"/>
      <c r="AK165" s="276"/>
      <c r="AL165" s="276"/>
      <c r="AM165" s="276"/>
      <c r="AN165" s="276"/>
      <c r="AO165" s="276"/>
      <c r="AP165" s="276"/>
      <c r="AQ165" s="276"/>
      <c r="AR165" s="276"/>
      <c r="AS165" s="276"/>
      <c r="AT165" s="276"/>
      <c r="AU165" s="276"/>
      <c r="AV165" s="276"/>
      <c r="AW165" s="276"/>
      <c r="AX165" s="276"/>
      <c r="AY165" s="276"/>
    </row>
    <row r="166" spans="1:51" ht="15.75" customHeight="1" x14ac:dyDescent="0.25">
      <c r="A166" s="276"/>
      <c r="B166" s="533"/>
      <c r="C166" s="353"/>
      <c r="D166" s="276"/>
      <c r="E166" s="276"/>
      <c r="F166" s="276"/>
      <c r="G166" s="276"/>
      <c r="H166" s="276"/>
      <c r="I166" s="276"/>
      <c r="J166" s="353"/>
      <c r="K166" s="276"/>
      <c r="L166" s="276"/>
      <c r="M166" s="276"/>
      <c r="N166" s="276"/>
      <c r="O166" s="276"/>
      <c r="P166" s="276"/>
      <c r="Q166" s="276"/>
      <c r="R166" s="276"/>
      <c r="S166" s="276"/>
      <c r="T166" s="276"/>
      <c r="U166" s="276"/>
      <c r="V166" s="276"/>
      <c r="W166" s="276"/>
      <c r="X166" s="276"/>
      <c r="Y166" s="276"/>
      <c r="Z166" s="276"/>
      <c r="AA166" s="276"/>
      <c r="AB166" s="276"/>
      <c r="AC166" s="276"/>
      <c r="AD166" s="276"/>
      <c r="AE166" s="276"/>
      <c r="AF166" s="276"/>
      <c r="AG166" s="276"/>
      <c r="AH166" s="276"/>
      <c r="AI166" s="276"/>
      <c r="AJ166" s="276"/>
      <c r="AK166" s="276"/>
      <c r="AL166" s="276"/>
      <c r="AM166" s="276"/>
      <c r="AN166" s="276"/>
      <c r="AO166" s="276"/>
      <c r="AP166" s="276"/>
      <c r="AQ166" s="276"/>
      <c r="AR166" s="276"/>
      <c r="AS166" s="276"/>
      <c r="AT166" s="276"/>
      <c r="AU166" s="276"/>
      <c r="AV166" s="276"/>
      <c r="AW166" s="276"/>
      <c r="AX166" s="276"/>
      <c r="AY166" s="276"/>
    </row>
    <row r="167" spans="1:51" ht="15.75" customHeight="1" x14ac:dyDescent="0.25">
      <c r="A167" s="276"/>
      <c r="B167" s="533"/>
      <c r="C167" s="353"/>
      <c r="D167" s="276"/>
      <c r="E167" s="276"/>
      <c r="F167" s="276"/>
      <c r="G167" s="276"/>
      <c r="H167" s="276"/>
      <c r="I167" s="276"/>
      <c r="J167" s="353"/>
      <c r="K167" s="276"/>
      <c r="L167" s="276"/>
      <c r="M167" s="276"/>
      <c r="N167" s="276"/>
      <c r="O167" s="276"/>
      <c r="P167" s="276"/>
      <c r="Q167" s="276"/>
      <c r="R167" s="276"/>
      <c r="S167" s="276"/>
      <c r="T167" s="276"/>
      <c r="U167" s="276"/>
      <c r="V167" s="276"/>
      <c r="W167" s="276"/>
      <c r="X167" s="276"/>
      <c r="Y167" s="276"/>
      <c r="Z167" s="276"/>
      <c r="AA167" s="276"/>
      <c r="AB167" s="276"/>
      <c r="AC167" s="276"/>
      <c r="AD167" s="276"/>
      <c r="AE167" s="276"/>
      <c r="AF167" s="276"/>
      <c r="AG167" s="276"/>
      <c r="AH167" s="276"/>
      <c r="AI167" s="276"/>
      <c r="AJ167" s="276"/>
      <c r="AK167" s="276"/>
      <c r="AL167" s="276"/>
      <c r="AM167" s="276"/>
      <c r="AN167" s="276"/>
      <c r="AO167" s="276"/>
      <c r="AP167" s="276"/>
      <c r="AQ167" s="276"/>
      <c r="AR167" s="276"/>
      <c r="AS167" s="276"/>
      <c r="AT167" s="276"/>
      <c r="AU167" s="276"/>
      <c r="AV167" s="276"/>
      <c r="AW167" s="276"/>
      <c r="AX167" s="276"/>
      <c r="AY167" s="276"/>
    </row>
    <row r="168" spans="1:51" ht="15.75" customHeight="1" x14ac:dyDescent="0.25">
      <c r="A168" s="276"/>
      <c r="B168" s="533"/>
      <c r="C168" s="353"/>
      <c r="D168" s="276"/>
      <c r="E168" s="276"/>
      <c r="F168" s="276"/>
      <c r="G168" s="276"/>
      <c r="H168" s="276"/>
      <c r="I168" s="276"/>
      <c r="J168" s="353"/>
      <c r="K168" s="276"/>
      <c r="L168" s="276"/>
      <c r="M168" s="276"/>
      <c r="N168" s="276"/>
      <c r="O168" s="276"/>
      <c r="P168" s="276"/>
      <c r="Q168" s="276"/>
      <c r="R168" s="276"/>
      <c r="S168" s="276"/>
      <c r="T168" s="276"/>
      <c r="U168" s="276"/>
      <c r="V168" s="276"/>
      <c r="W168" s="276"/>
      <c r="X168" s="276"/>
      <c r="Y168" s="276"/>
      <c r="Z168" s="276"/>
      <c r="AA168" s="276"/>
      <c r="AB168" s="276"/>
      <c r="AC168" s="276"/>
      <c r="AD168" s="276"/>
      <c r="AE168" s="276"/>
      <c r="AF168" s="276"/>
      <c r="AG168" s="276"/>
      <c r="AH168" s="276"/>
      <c r="AI168" s="276"/>
      <c r="AJ168" s="276"/>
      <c r="AK168" s="276"/>
      <c r="AL168" s="276"/>
      <c r="AM168" s="276"/>
      <c r="AN168" s="276"/>
      <c r="AO168" s="276"/>
      <c r="AP168" s="276"/>
      <c r="AQ168" s="276"/>
      <c r="AR168" s="276"/>
      <c r="AS168" s="276"/>
      <c r="AT168" s="276"/>
      <c r="AU168" s="276"/>
      <c r="AV168" s="276"/>
      <c r="AW168" s="276"/>
      <c r="AX168" s="276"/>
      <c r="AY168" s="276"/>
    </row>
    <row r="169" spans="1:51" ht="15.75" customHeight="1" x14ac:dyDescent="0.25">
      <c r="A169" s="276"/>
      <c r="B169" s="533"/>
      <c r="C169" s="353"/>
      <c r="D169" s="276"/>
      <c r="E169" s="276"/>
      <c r="F169" s="276"/>
      <c r="G169" s="276"/>
      <c r="H169" s="276"/>
      <c r="I169" s="276"/>
      <c r="J169" s="353"/>
      <c r="K169" s="276"/>
      <c r="L169" s="276"/>
      <c r="M169" s="276"/>
      <c r="N169" s="276"/>
      <c r="O169" s="276"/>
      <c r="P169" s="276"/>
      <c r="Q169" s="276"/>
      <c r="R169" s="276"/>
      <c r="S169" s="276"/>
      <c r="T169" s="276"/>
      <c r="U169" s="276"/>
      <c r="V169" s="276"/>
      <c r="W169" s="276"/>
      <c r="X169" s="276"/>
      <c r="Y169" s="276"/>
      <c r="Z169" s="276"/>
      <c r="AA169" s="276"/>
      <c r="AB169" s="276"/>
      <c r="AC169" s="276"/>
      <c r="AD169" s="276"/>
      <c r="AE169" s="276"/>
      <c r="AF169" s="276"/>
      <c r="AG169" s="276"/>
      <c r="AH169" s="276"/>
      <c r="AI169" s="276"/>
      <c r="AJ169" s="276"/>
      <c r="AK169" s="276"/>
      <c r="AL169" s="276"/>
      <c r="AM169" s="276"/>
      <c r="AN169" s="276"/>
      <c r="AO169" s="276"/>
      <c r="AP169" s="276"/>
      <c r="AQ169" s="276"/>
      <c r="AR169" s="276"/>
      <c r="AS169" s="276"/>
      <c r="AT169" s="276"/>
      <c r="AU169" s="276"/>
      <c r="AV169" s="276"/>
      <c r="AW169" s="276"/>
      <c r="AX169" s="276"/>
      <c r="AY169" s="276"/>
    </row>
    <row r="170" spans="1:51" ht="15.75" customHeight="1" x14ac:dyDescent="0.25">
      <c r="A170" s="276"/>
      <c r="B170" s="533"/>
      <c r="C170" s="353"/>
      <c r="D170" s="276"/>
      <c r="E170" s="276"/>
      <c r="F170" s="276"/>
      <c r="G170" s="276"/>
      <c r="H170" s="276"/>
      <c r="I170" s="276"/>
      <c r="J170" s="353"/>
      <c r="K170" s="276"/>
      <c r="L170" s="276"/>
      <c r="M170" s="276"/>
      <c r="N170" s="276"/>
      <c r="O170" s="276"/>
      <c r="P170" s="276"/>
      <c r="Q170" s="276"/>
      <c r="R170" s="276"/>
      <c r="S170" s="276"/>
      <c r="T170" s="276"/>
      <c r="U170" s="276"/>
      <c r="V170" s="276"/>
      <c r="W170" s="276"/>
      <c r="X170" s="276"/>
      <c r="Y170" s="276"/>
      <c r="Z170" s="276"/>
      <c r="AA170" s="276"/>
      <c r="AB170" s="276"/>
      <c r="AC170" s="276"/>
      <c r="AD170" s="276"/>
      <c r="AE170" s="276"/>
      <c r="AF170" s="276"/>
      <c r="AG170" s="276"/>
      <c r="AH170" s="276"/>
      <c r="AI170" s="276"/>
      <c r="AJ170" s="276"/>
      <c r="AK170" s="276"/>
      <c r="AL170" s="276"/>
      <c r="AM170" s="276"/>
      <c r="AN170" s="276"/>
      <c r="AO170" s="276"/>
      <c r="AP170" s="276"/>
      <c r="AQ170" s="276"/>
      <c r="AR170" s="276"/>
      <c r="AS170" s="276"/>
      <c r="AT170" s="276"/>
      <c r="AU170" s="276"/>
      <c r="AV170" s="276"/>
      <c r="AW170" s="276"/>
      <c r="AX170" s="276"/>
      <c r="AY170" s="276"/>
    </row>
    <row r="171" spans="1:51" ht="15.75" customHeight="1" x14ac:dyDescent="0.25">
      <c r="A171" s="276"/>
      <c r="B171" s="533"/>
      <c r="C171" s="353"/>
      <c r="D171" s="276"/>
      <c r="E171" s="276"/>
      <c r="F171" s="276"/>
      <c r="G171" s="276"/>
      <c r="H171" s="276"/>
      <c r="I171" s="276"/>
      <c r="J171" s="353"/>
      <c r="K171" s="276"/>
      <c r="L171" s="276"/>
      <c r="M171" s="276"/>
      <c r="N171" s="276"/>
      <c r="O171" s="276"/>
      <c r="P171" s="276"/>
      <c r="Q171" s="276"/>
      <c r="R171" s="276"/>
      <c r="S171" s="276"/>
      <c r="T171" s="276"/>
      <c r="U171" s="276"/>
      <c r="V171" s="276"/>
      <c r="W171" s="276"/>
      <c r="X171" s="276"/>
      <c r="Y171" s="276"/>
      <c r="Z171" s="276"/>
      <c r="AA171" s="276"/>
      <c r="AB171" s="276"/>
      <c r="AC171" s="276"/>
      <c r="AD171" s="276"/>
      <c r="AE171" s="276"/>
      <c r="AF171" s="276"/>
      <c r="AG171" s="276"/>
      <c r="AH171" s="276"/>
      <c r="AI171" s="276"/>
      <c r="AJ171" s="276"/>
      <c r="AK171" s="276"/>
      <c r="AL171" s="276"/>
      <c r="AM171" s="276"/>
      <c r="AN171" s="276"/>
      <c r="AO171" s="276"/>
      <c r="AP171" s="276"/>
      <c r="AQ171" s="276"/>
      <c r="AR171" s="276"/>
      <c r="AS171" s="276"/>
      <c r="AT171" s="276"/>
      <c r="AU171" s="276"/>
      <c r="AV171" s="276"/>
      <c r="AW171" s="276"/>
      <c r="AX171" s="276"/>
      <c r="AY171" s="276"/>
    </row>
    <row r="172" spans="1:51" ht="15.75" customHeight="1" x14ac:dyDescent="0.25">
      <c r="A172" s="276"/>
      <c r="B172" s="533"/>
      <c r="C172" s="353"/>
      <c r="D172" s="276"/>
      <c r="E172" s="276"/>
      <c r="F172" s="276"/>
      <c r="G172" s="276"/>
      <c r="H172" s="276"/>
      <c r="I172" s="276"/>
      <c r="J172" s="353"/>
      <c r="K172" s="276"/>
      <c r="L172" s="276"/>
      <c r="M172" s="276"/>
      <c r="N172" s="276"/>
      <c r="O172" s="276"/>
      <c r="P172" s="276"/>
      <c r="Q172" s="276"/>
      <c r="R172" s="276"/>
      <c r="S172" s="276"/>
      <c r="T172" s="276"/>
      <c r="U172" s="276"/>
      <c r="V172" s="276"/>
      <c r="W172" s="276"/>
      <c r="X172" s="276"/>
      <c r="Y172" s="276"/>
      <c r="Z172" s="276"/>
      <c r="AA172" s="276"/>
      <c r="AB172" s="276"/>
      <c r="AC172" s="276"/>
      <c r="AD172" s="276"/>
      <c r="AE172" s="276"/>
      <c r="AF172" s="276"/>
      <c r="AG172" s="276"/>
      <c r="AH172" s="276"/>
      <c r="AI172" s="276"/>
      <c r="AJ172" s="276"/>
      <c r="AK172" s="276"/>
      <c r="AL172" s="276"/>
      <c r="AM172" s="276"/>
      <c r="AN172" s="276"/>
      <c r="AO172" s="276"/>
      <c r="AP172" s="276"/>
      <c r="AQ172" s="276"/>
      <c r="AR172" s="276"/>
      <c r="AS172" s="276"/>
      <c r="AT172" s="276"/>
      <c r="AU172" s="276"/>
      <c r="AV172" s="276"/>
      <c r="AW172" s="276"/>
      <c r="AX172" s="276"/>
      <c r="AY172" s="276"/>
    </row>
    <row r="173" spans="1:51" ht="15.75" customHeight="1" x14ac:dyDescent="0.25">
      <c r="A173" s="276"/>
      <c r="B173" s="533"/>
      <c r="C173" s="353"/>
      <c r="D173" s="276"/>
      <c r="E173" s="276"/>
      <c r="F173" s="276"/>
      <c r="G173" s="276"/>
      <c r="H173" s="276"/>
      <c r="I173" s="276"/>
      <c r="J173" s="353"/>
      <c r="K173" s="276"/>
      <c r="L173" s="276"/>
      <c r="M173" s="276"/>
      <c r="N173" s="276"/>
      <c r="O173" s="276"/>
      <c r="P173" s="276"/>
      <c r="Q173" s="276"/>
      <c r="R173" s="276"/>
      <c r="S173" s="276"/>
      <c r="T173" s="276"/>
      <c r="U173" s="276"/>
      <c r="V173" s="276"/>
      <c r="W173" s="276"/>
      <c r="X173" s="276"/>
      <c r="Y173" s="276"/>
      <c r="Z173" s="276"/>
      <c r="AA173" s="276"/>
      <c r="AB173" s="276"/>
      <c r="AC173" s="276"/>
      <c r="AD173" s="276"/>
      <c r="AE173" s="276"/>
      <c r="AF173" s="276"/>
      <c r="AG173" s="276"/>
      <c r="AH173" s="276"/>
      <c r="AI173" s="276"/>
      <c r="AJ173" s="276"/>
      <c r="AK173" s="276"/>
      <c r="AL173" s="276"/>
      <c r="AM173" s="276"/>
      <c r="AN173" s="276"/>
      <c r="AO173" s="276"/>
      <c r="AP173" s="276"/>
      <c r="AQ173" s="276"/>
      <c r="AR173" s="276"/>
      <c r="AS173" s="276"/>
      <c r="AT173" s="276"/>
      <c r="AU173" s="276"/>
      <c r="AV173" s="276"/>
      <c r="AW173" s="276"/>
      <c r="AX173" s="276"/>
      <c r="AY173" s="276"/>
    </row>
    <row r="174" spans="1:51" ht="15.75" customHeight="1" x14ac:dyDescent="0.25">
      <c r="A174" s="276"/>
      <c r="B174" s="533"/>
      <c r="C174" s="353"/>
      <c r="D174" s="276"/>
      <c r="E174" s="276"/>
      <c r="F174" s="276"/>
      <c r="G174" s="276"/>
      <c r="H174" s="276"/>
      <c r="I174" s="276"/>
      <c r="J174" s="353"/>
      <c r="K174" s="276"/>
      <c r="L174" s="276"/>
      <c r="M174" s="276"/>
      <c r="N174" s="276"/>
      <c r="O174" s="276"/>
      <c r="P174" s="276"/>
      <c r="Q174" s="276"/>
      <c r="R174" s="276"/>
      <c r="S174" s="276"/>
      <c r="T174" s="276"/>
      <c r="U174" s="276"/>
      <c r="V174" s="276"/>
      <c r="W174" s="276"/>
      <c r="X174" s="276"/>
      <c r="Y174" s="276"/>
      <c r="Z174" s="276"/>
      <c r="AA174" s="276"/>
      <c r="AB174" s="276"/>
      <c r="AC174" s="276"/>
      <c r="AD174" s="276"/>
      <c r="AE174" s="276"/>
      <c r="AF174" s="276"/>
      <c r="AG174" s="276"/>
      <c r="AH174" s="276"/>
      <c r="AI174" s="276"/>
      <c r="AJ174" s="276"/>
      <c r="AK174" s="276"/>
      <c r="AL174" s="276"/>
      <c r="AM174" s="276"/>
      <c r="AN174" s="276"/>
      <c r="AO174" s="276"/>
      <c r="AP174" s="276"/>
      <c r="AQ174" s="276"/>
      <c r="AR174" s="276"/>
      <c r="AS174" s="276"/>
      <c r="AT174" s="276"/>
      <c r="AU174" s="276"/>
      <c r="AV174" s="276"/>
      <c r="AW174" s="276"/>
      <c r="AX174" s="276"/>
      <c r="AY174" s="276"/>
    </row>
    <row r="175" spans="1:51" ht="15.75" customHeight="1" x14ac:dyDescent="0.25">
      <c r="A175" s="276"/>
      <c r="B175" s="533"/>
      <c r="C175" s="353"/>
      <c r="D175" s="276"/>
      <c r="E175" s="276"/>
      <c r="F175" s="276"/>
      <c r="G175" s="276"/>
      <c r="H175" s="276"/>
      <c r="I175" s="276"/>
      <c r="J175" s="353"/>
      <c r="K175" s="276"/>
      <c r="L175" s="276"/>
      <c r="M175" s="276"/>
      <c r="N175" s="276"/>
      <c r="O175" s="276"/>
      <c r="P175" s="276"/>
      <c r="Q175" s="276"/>
      <c r="R175" s="276"/>
      <c r="S175" s="276"/>
      <c r="T175" s="276"/>
      <c r="U175" s="276"/>
      <c r="V175" s="276"/>
      <c r="W175" s="276"/>
      <c r="X175" s="276"/>
      <c r="Y175" s="276"/>
      <c r="Z175" s="276"/>
      <c r="AA175" s="276"/>
      <c r="AB175" s="276"/>
      <c r="AC175" s="276"/>
      <c r="AD175" s="276"/>
      <c r="AE175" s="276"/>
      <c r="AF175" s="276"/>
      <c r="AG175" s="276"/>
      <c r="AH175" s="276"/>
      <c r="AI175" s="276"/>
      <c r="AJ175" s="276"/>
      <c r="AK175" s="276"/>
      <c r="AL175" s="276"/>
      <c r="AM175" s="276"/>
      <c r="AN175" s="276"/>
      <c r="AO175" s="276"/>
      <c r="AP175" s="276"/>
      <c r="AQ175" s="276"/>
      <c r="AR175" s="276"/>
      <c r="AS175" s="276"/>
      <c r="AT175" s="276"/>
      <c r="AU175" s="276"/>
      <c r="AV175" s="276"/>
      <c r="AW175" s="276"/>
      <c r="AX175" s="276"/>
      <c r="AY175" s="276"/>
    </row>
    <row r="176" spans="1:51" ht="15.75" customHeight="1" x14ac:dyDescent="0.25">
      <c r="A176" s="276"/>
      <c r="B176" s="533"/>
      <c r="C176" s="353"/>
      <c r="D176" s="276"/>
      <c r="E176" s="276"/>
      <c r="F176" s="276"/>
      <c r="G176" s="276"/>
      <c r="H176" s="276"/>
      <c r="I176" s="276"/>
      <c r="J176" s="353"/>
      <c r="K176" s="276"/>
      <c r="L176" s="276"/>
      <c r="M176" s="276"/>
      <c r="N176" s="276"/>
      <c r="O176" s="276"/>
      <c r="P176" s="276"/>
      <c r="Q176" s="276"/>
      <c r="R176" s="276"/>
      <c r="S176" s="276"/>
      <c r="T176" s="276"/>
      <c r="U176" s="276"/>
      <c r="V176" s="276"/>
      <c r="W176" s="276"/>
      <c r="X176" s="276"/>
      <c r="Y176" s="276"/>
      <c r="Z176" s="276"/>
      <c r="AA176" s="276"/>
      <c r="AB176" s="276"/>
      <c r="AC176" s="276"/>
      <c r="AD176" s="276"/>
      <c r="AE176" s="276"/>
      <c r="AF176" s="276"/>
      <c r="AG176" s="276"/>
      <c r="AH176" s="276"/>
      <c r="AI176" s="276"/>
      <c r="AJ176" s="276"/>
      <c r="AK176" s="276"/>
      <c r="AL176" s="276"/>
      <c r="AM176" s="276"/>
      <c r="AN176" s="276"/>
      <c r="AO176" s="276"/>
      <c r="AP176" s="276"/>
      <c r="AQ176" s="276"/>
      <c r="AR176" s="276"/>
      <c r="AS176" s="276"/>
      <c r="AT176" s="276"/>
      <c r="AU176" s="276"/>
      <c r="AV176" s="276"/>
      <c r="AW176" s="276"/>
      <c r="AX176" s="276"/>
      <c r="AY176" s="276"/>
    </row>
    <row r="177" spans="1:51" ht="15.75" customHeight="1" x14ac:dyDescent="0.25">
      <c r="A177" s="276"/>
      <c r="B177" s="533"/>
      <c r="C177" s="353"/>
      <c r="D177" s="276"/>
      <c r="E177" s="276"/>
      <c r="F177" s="276"/>
      <c r="G177" s="276"/>
      <c r="H177" s="276"/>
      <c r="I177" s="276"/>
      <c r="J177" s="353"/>
      <c r="K177" s="276"/>
      <c r="L177" s="276"/>
      <c r="M177" s="276"/>
      <c r="N177" s="276"/>
      <c r="O177" s="276"/>
      <c r="P177" s="276"/>
      <c r="Q177" s="276"/>
      <c r="R177" s="276"/>
      <c r="S177" s="276"/>
      <c r="T177" s="276"/>
      <c r="U177" s="276"/>
      <c r="V177" s="276"/>
      <c r="W177" s="276"/>
      <c r="X177" s="276"/>
      <c r="Y177" s="276"/>
      <c r="Z177" s="276"/>
      <c r="AA177" s="276"/>
      <c r="AB177" s="276"/>
      <c r="AC177" s="276"/>
      <c r="AD177" s="276"/>
      <c r="AE177" s="276"/>
      <c r="AF177" s="276"/>
      <c r="AG177" s="276"/>
      <c r="AH177" s="276"/>
      <c r="AI177" s="276"/>
      <c r="AJ177" s="276"/>
      <c r="AK177" s="276"/>
      <c r="AL177" s="276"/>
      <c r="AM177" s="276"/>
      <c r="AN177" s="276"/>
      <c r="AO177" s="276"/>
      <c r="AP177" s="276"/>
      <c r="AQ177" s="276"/>
      <c r="AR177" s="276"/>
      <c r="AS177" s="276"/>
      <c r="AT177" s="276"/>
      <c r="AU177" s="276"/>
      <c r="AV177" s="276"/>
      <c r="AW177" s="276"/>
      <c r="AX177" s="276"/>
      <c r="AY177" s="276"/>
    </row>
    <row r="178" spans="1:51" ht="15.75" customHeight="1" x14ac:dyDescent="0.25">
      <c r="A178" s="276"/>
      <c r="B178" s="533"/>
      <c r="C178" s="353"/>
      <c r="D178" s="276"/>
      <c r="E178" s="276"/>
      <c r="F178" s="276"/>
      <c r="G178" s="276"/>
      <c r="H178" s="276"/>
      <c r="I178" s="276"/>
      <c r="J178" s="353"/>
      <c r="K178" s="276"/>
      <c r="L178" s="276"/>
      <c r="M178" s="276"/>
      <c r="N178" s="276"/>
      <c r="O178" s="276"/>
      <c r="P178" s="276"/>
      <c r="Q178" s="276"/>
      <c r="R178" s="276"/>
      <c r="S178" s="276"/>
      <c r="T178" s="276"/>
      <c r="U178" s="276"/>
      <c r="V178" s="276"/>
      <c r="W178" s="276"/>
      <c r="X178" s="276"/>
      <c r="Y178" s="276"/>
      <c r="Z178" s="276"/>
      <c r="AA178" s="276"/>
      <c r="AB178" s="276"/>
      <c r="AC178" s="276"/>
      <c r="AD178" s="276"/>
      <c r="AE178" s="276"/>
      <c r="AF178" s="276"/>
      <c r="AG178" s="276"/>
      <c r="AH178" s="276"/>
      <c r="AI178" s="276"/>
      <c r="AJ178" s="276"/>
      <c r="AK178" s="276"/>
      <c r="AL178" s="276"/>
      <c r="AM178" s="276"/>
      <c r="AN178" s="276"/>
      <c r="AO178" s="276"/>
      <c r="AP178" s="276"/>
      <c r="AQ178" s="276"/>
      <c r="AR178" s="276"/>
      <c r="AS178" s="276"/>
      <c r="AT178" s="276"/>
      <c r="AU178" s="276"/>
      <c r="AV178" s="276"/>
      <c r="AW178" s="276"/>
      <c r="AX178" s="276"/>
      <c r="AY178" s="276"/>
    </row>
    <row r="179" spans="1:51" ht="15.75" customHeight="1" x14ac:dyDescent="0.25">
      <c r="A179" s="276"/>
      <c r="B179" s="533"/>
      <c r="C179" s="353"/>
      <c r="D179" s="276"/>
      <c r="E179" s="276"/>
      <c r="F179" s="276"/>
      <c r="G179" s="276"/>
      <c r="H179" s="276"/>
      <c r="I179" s="276"/>
      <c r="J179" s="353"/>
      <c r="K179" s="276"/>
      <c r="L179" s="276"/>
      <c r="M179" s="276"/>
      <c r="N179" s="276"/>
      <c r="O179" s="276"/>
      <c r="P179" s="276"/>
      <c r="Q179" s="276"/>
      <c r="R179" s="276"/>
      <c r="S179" s="276"/>
      <c r="T179" s="276"/>
      <c r="U179" s="276"/>
      <c r="V179" s="276"/>
      <c r="W179" s="276"/>
      <c r="X179" s="276"/>
      <c r="Y179" s="276"/>
      <c r="Z179" s="276"/>
      <c r="AA179" s="276"/>
      <c r="AB179" s="276"/>
      <c r="AC179" s="276"/>
      <c r="AD179" s="276"/>
      <c r="AE179" s="276"/>
      <c r="AF179" s="276"/>
      <c r="AG179" s="276"/>
      <c r="AH179" s="276"/>
      <c r="AI179" s="276"/>
      <c r="AJ179" s="276"/>
      <c r="AK179" s="276"/>
      <c r="AL179" s="276"/>
      <c r="AM179" s="276"/>
      <c r="AN179" s="276"/>
      <c r="AO179" s="276"/>
      <c r="AP179" s="276"/>
      <c r="AQ179" s="276"/>
      <c r="AR179" s="276"/>
      <c r="AS179" s="276"/>
      <c r="AT179" s="276"/>
      <c r="AU179" s="276"/>
      <c r="AV179" s="276"/>
      <c r="AW179" s="276"/>
      <c r="AX179" s="276"/>
      <c r="AY179" s="276"/>
    </row>
    <row r="180" spans="1:51" ht="15.75" customHeight="1" x14ac:dyDescent="0.25">
      <c r="A180" s="276"/>
      <c r="B180" s="533"/>
      <c r="C180" s="353"/>
      <c r="D180" s="276"/>
      <c r="E180" s="276"/>
      <c r="F180" s="276"/>
      <c r="G180" s="276"/>
      <c r="H180" s="276"/>
      <c r="I180" s="276"/>
      <c r="J180" s="353"/>
      <c r="K180" s="276"/>
      <c r="L180" s="276"/>
      <c r="M180" s="276"/>
      <c r="N180" s="276"/>
      <c r="O180" s="276"/>
      <c r="P180" s="276"/>
      <c r="Q180" s="276"/>
      <c r="R180" s="276"/>
      <c r="S180" s="276"/>
      <c r="T180" s="276"/>
      <c r="U180" s="276"/>
      <c r="V180" s="276"/>
      <c r="W180" s="276"/>
      <c r="X180" s="276"/>
      <c r="Y180" s="276"/>
      <c r="Z180" s="276"/>
      <c r="AA180" s="276"/>
      <c r="AB180" s="276"/>
      <c r="AC180" s="276"/>
      <c r="AD180" s="276"/>
      <c r="AE180" s="276"/>
      <c r="AF180" s="276"/>
      <c r="AG180" s="276"/>
      <c r="AH180" s="276"/>
      <c r="AI180" s="276"/>
      <c r="AJ180" s="276"/>
      <c r="AK180" s="276"/>
      <c r="AL180" s="276"/>
      <c r="AM180" s="276"/>
      <c r="AN180" s="276"/>
      <c r="AO180" s="276"/>
      <c r="AP180" s="276"/>
      <c r="AQ180" s="276"/>
      <c r="AR180" s="276"/>
      <c r="AS180" s="276"/>
      <c r="AT180" s="276"/>
      <c r="AU180" s="276"/>
      <c r="AV180" s="276"/>
      <c r="AW180" s="276"/>
      <c r="AX180" s="276"/>
      <c r="AY180" s="276"/>
    </row>
    <row r="181" spans="1:51" ht="15.75" customHeight="1" x14ac:dyDescent="0.25">
      <c r="A181" s="276"/>
      <c r="B181" s="533"/>
      <c r="C181" s="353"/>
      <c r="D181" s="276"/>
      <c r="E181" s="276"/>
      <c r="F181" s="276"/>
      <c r="G181" s="276"/>
      <c r="H181" s="276"/>
      <c r="I181" s="276"/>
      <c r="J181" s="353"/>
      <c r="K181" s="276"/>
      <c r="L181" s="276"/>
      <c r="M181" s="276"/>
      <c r="N181" s="276"/>
      <c r="O181" s="276"/>
      <c r="P181" s="276"/>
      <c r="Q181" s="276"/>
      <c r="R181" s="276"/>
      <c r="S181" s="276"/>
      <c r="T181" s="276"/>
      <c r="U181" s="276"/>
      <c r="V181" s="276"/>
      <c r="W181" s="276"/>
      <c r="X181" s="276"/>
      <c r="Y181" s="276"/>
      <c r="Z181" s="276"/>
      <c r="AA181" s="276"/>
      <c r="AB181" s="276"/>
      <c r="AC181" s="276"/>
      <c r="AD181" s="276"/>
      <c r="AE181" s="276"/>
      <c r="AF181" s="276"/>
      <c r="AG181" s="276"/>
      <c r="AH181" s="276"/>
      <c r="AI181" s="276"/>
      <c r="AJ181" s="276"/>
      <c r="AK181" s="276"/>
      <c r="AL181" s="276"/>
      <c r="AM181" s="276"/>
      <c r="AN181" s="276"/>
      <c r="AO181" s="276"/>
      <c r="AP181" s="276"/>
      <c r="AQ181" s="276"/>
      <c r="AR181" s="276"/>
      <c r="AS181" s="276"/>
      <c r="AT181" s="276"/>
      <c r="AU181" s="276"/>
      <c r="AV181" s="276"/>
      <c r="AW181" s="276"/>
      <c r="AX181" s="276"/>
      <c r="AY181" s="276"/>
    </row>
    <row r="182" spans="1:51" ht="15.75" customHeight="1" x14ac:dyDescent="0.25">
      <c r="A182" s="276"/>
      <c r="B182" s="533"/>
      <c r="C182" s="353"/>
      <c r="D182" s="276"/>
      <c r="E182" s="276"/>
      <c r="F182" s="276"/>
      <c r="G182" s="276"/>
      <c r="H182" s="276"/>
      <c r="I182" s="276"/>
      <c r="J182" s="353"/>
      <c r="K182" s="276"/>
      <c r="L182" s="276"/>
      <c r="M182" s="276"/>
      <c r="N182" s="276"/>
      <c r="O182" s="276"/>
      <c r="P182" s="276"/>
      <c r="Q182" s="276"/>
      <c r="R182" s="276"/>
      <c r="S182" s="276"/>
      <c r="T182" s="276"/>
      <c r="U182" s="276"/>
      <c r="V182" s="276"/>
      <c r="W182" s="276"/>
      <c r="X182" s="276"/>
      <c r="Y182" s="276"/>
      <c r="Z182" s="276"/>
      <c r="AA182" s="276"/>
      <c r="AB182" s="276"/>
      <c r="AC182" s="276"/>
      <c r="AD182" s="276"/>
      <c r="AE182" s="276"/>
      <c r="AF182" s="276"/>
      <c r="AG182" s="276"/>
      <c r="AH182" s="276"/>
      <c r="AI182" s="276"/>
      <c r="AJ182" s="276"/>
      <c r="AK182" s="276"/>
      <c r="AL182" s="276"/>
      <c r="AM182" s="276"/>
      <c r="AN182" s="276"/>
      <c r="AO182" s="276"/>
      <c r="AP182" s="276"/>
      <c r="AQ182" s="276"/>
      <c r="AR182" s="276"/>
      <c r="AS182" s="276"/>
      <c r="AT182" s="276"/>
      <c r="AU182" s="276"/>
      <c r="AV182" s="276"/>
      <c r="AW182" s="276"/>
      <c r="AX182" s="276"/>
      <c r="AY182" s="276"/>
    </row>
    <row r="183" spans="1:51" ht="15.75" customHeight="1" x14ac:dyDescent="0.25">
      <c r="A183" s="276"/>
      <c r="B183" s="533"/>
      <c r="C183" s="353"/>
      <c r="D183" s="276"/>
      <c r="E183" s="276"/>
      <c r="F183" s="276"/>
      <c r="G183" s="276"/>
      <c r="H183" s="276"/>
      <c r="I183" s="276"/>
      <c r="J183" s="353"/>
      <c r="K183" s="276"/>
      <c r="L183" s="276"/>
      <c r="M183" s="276"/>
      <c r="N183" s="276"/>
      <c r="O183" s="276"/>
      <c r="P183" s="276"/>
      <c r="Q183" s="276"/>
      <c r="R183" s="276"/>
      <c r="S183" s="276"/>
      <c r="T183" s="276"/>
      <c r="U183" s="276"/>
      <c r="V183" s="276"/>
      <c r="W183" s="276"/>
      <c r="X183" s="276"/>
      <c r="Y183" s="276"/>
      <c r="Z183" s="276"/>
      <c r="AA183" s="276"/>
      <c r="AB183" s="276"/>
      <c r="AC183" s="276"/>
      <c r="AD183" s="276"/>
      <c r="AE183" s="276"/>
      <c r="AF183" s="276"/>
      <c r="AG183" s="276"/>
      <c r="AH183" s="276"/>
      <c r="AI183" s="276"/>
      <c r="AJ183" s="276"/>
      <c r="AK183" s="276"/>
      <c r="AL183" s="276"/>
      <c r="AM183" s="276"/>
      <c r="AN183" s="276"/>
      <c r="AO183" s="276"/>
      <c r="AP183" s="276"/>
      <c r="AQ183" s="276"/>
      <c r="AR183" s="276"/>
      <c r="AS183" s="276"/>
      <c r="AT183" s="276"/>
      <c r="AU183" s="276"/>
      <c r="AV183" s="276"/>
      <c r="AW183" s="276"/>
      <c r="AX183" s="276"/>
      <c r="AY183" s="276"/>
    </row>
    <row r="184" spans="1:51" ht="15.75" customHeight="1" x14ac:dyDescent="0.25">
      <c r="A184" s="276"/>
      <c r="B184" s="533"/>
      <c r="C184" s="353"/>
      <c r="D184" s="276"/>
      <c r="E184" s="276"/>
      <c r="F184" s="276"/>
      <c r="G184" s="276"/>
      <c r="H184" s="276"/>
      <c r="I184" s="276"/>
      <c r="J184" s="353"/>
      <c r="K184" s="276"/>
      <c r="L184" s="276"/>
      <c r="M184" s="276"/>
      <c r="N184" s="276"/>
      <c r="O184" s="276"/>
      <c r="P184" s="276"/>
      <c r="Q184" s="276"/>
      <c r="R184" s="276"/>
      <c r="S184" s="276"/>
      <c r="T184" s="276"/>
      <c r="U184" s="276"/>
      <c r="V184" s="276"/>
      <c r="W184" s="276"/>
      <c r="X184" s="276"/>
      <c r="Y184" s="276"/>
      <c r="Z184" s="276"/>
      <c r="AA184" s="276"/>
      <c r="AB184" s="276"/>
      <c r="AC184" s="276"/>
      <c r="AD184" s="276"/>
      <c r="AE184" s="276"/>
      <c r="AF184" s="276"/>
      <c r="AG184" s="276"/>
      <c r="AH184" s="276"/>
      <c r="AI184" s="276"/>
      <c r="AJ184" s="276"/>
      <c r="AK184" s="276"/>
      <c r="AL184" s="276"/>
      <c r="AM184" s="276"/>
      <c r="AN184" s="276"/>
      <c r="AO184" s="276"/>
      <c r="AP184" s="276"/>
      <c r="AQ184" s="276"/>
      <c r="AR184" s="276"/>
      <c r="AS184" s="276"/>
      <c r="AT184" s="276"/>
      <c r="AU184" s="276"/>
      <c r="AV184" s="276"/>
      <c r="AW184" s="276"/>
      <c r="AX184" s="276"/>
      <c r="AY184" s="276"/>
    </row>
    <row r="185" spans="1:51" ht="15.75" customHeight="1" x14ac:dyDescent="0.25">
      <c r="A185" s="276"/>
      <c r="B185" s="533"/>
      <c r="C185" s="353"/>
      <c r="D185" s="276"/>
      <c r="E185" s="276"/>
      <c r="F185" s="276"/>
      <c r="G185" s="276"/>
      <c r="H185" s="276"/>
      <c r="I185" s="276"/>
      <c r="J185" s="353"/>
      <c r="K185" s="276"/>
      <c r="L185" s="276"/>
      <c r="M185" s="276"/>
      <c r="N185" s="276"/>
      <c r="O185" s="276"/>
      <c r="P185" s="276"/>
      <c r="Q185" s="276"/>
      <c r="R185" s="276"/>
      <c r="S185" s="276"/>
      <c r="T185" s="276"/>
      <c r="U185" s="276"/>
      <c r="V185" s="276"/>
      <c r="W185" s="276"/>
      <c r="X185" s="276"/>
      <c r="Y185" s="276"/>
      <c r="Z185" s="276"/>
      <c r="AA185" s="276"/>
      <c r="AB185" s="276"/>
      <c r="AC185" s="276"/>
      <c r="AD185" s="276"/>
      <c r="AE185" s="276"/>
      <c r="AF185" s="276"/>
      <c r="AG185" s="276"/>
      <c r="AH185" s="276"/>
      <c r="AI185" s="276"/>
      <c r="AJ185" s="276"/>
      <c r="AK185" s="276"/>
      <c r="AL185" s="276"/>
      <c r="AM185" s="276"/>
      <c r="AN185" s="276"/>
      <c r="AO185" s="276"/>
      <c r="AP185" s="276"/>
      <c r="AQ185" s="276"/>
      <c r="AR185" s="276"/>
      <c r="AS185" s="276"/>
      <c r="AT185" s="276"/>
      <c r="AU185" s="276"/>
      <c r="AV185" s="276"/>
      <c r="AW185" s="276"/>
      <c r="AX185" s="276"/>
      <c r="AY185" s="276"/>
    </row>
    <row r="186" spans="1:51" ht="15.75" customHeight="1" x14ac:dyDescent="0.25">
      <c r="A186" s="276"/>
      <c r="B186" s="533"/>
      <c r="C186" s="353"/>
      <c r="D186" s="276"/>
      <c r="E186" s="276"/>
      <c r="F186" s="276"/>
      <c r="G186" s="276"/>
      <c r="H186" s="276"/>
      <c r="I186" s="276"/>
      <c r="J186" s="353"/>
      <c r="K186" s="276"/>
      <c r="L186" s="276"/>
      <c r="M186" s="276"/>
      <c r="N186" s="276"/>
      <c r="O186" s="276"/>
      <c r="P186" s="276"/>
      <c r="Q186" s="276"/>
      <c r="R186" s="276"/>
      <c r="S186" s="276"/>
      <c r="T186" s="276"/>
      <c r="U186" s="276"/>
      <c r="V186" s="276"/>
      <c r="W186" s="276"/>
      <c r="X186" s="276"/>
      <c r="Y186" s="276"/>
      <c r="Z186" s="276"/>
      <c r="AA186" s="276"/>
      <c r="AB186" s="276"/>
      <c r="AC186" s="276"/>
      <c r="AD186" s="276"/>
      <c r="AE186" s="276"/>
      <c r="AF186" s="276"/>
      <c r="AG186" s="276"/>
      <c r="AH186" s="276"/>
      <c r="AI186" s="276"/>
      <c r="AJ186" s="276"/>
      <c r="AK186" s="276"/>
      <c r="AL186" s="276"/>
      <c r="AM186" s="276"/>
      <c r="AN186" s="276"/>
      <c r="AO186" s="276"/>
      <c r="AP186" s="276"/>
      <c r="AQ186" s="276"/>
      <c r="AR186" s="276"/>
      <c r="AS186" s="276"/>
      <c r="AT186" s="276"/>
      <c r="AU186" s="276"/>
      <c r="AV186" s="276"/>
      <c r="AW186" s="276"/>
      <c r="AX186" s="276"/>
      <c r="AY186" s="276"/>
    </row>
    <row r="187" spans="1:51" ht="15.75" customHeight="1" x14ac:dyDescent="0.25">
      <c r="A187" s="276"/>
      <c r="B187" s="533"/>
      <c r="C187" s="353"/>
      <c r="D187" s="276"/>
      <c r="E187" s="276"/>
      <c r="F187" s="276"/>
      <c r="G187" s="276"/>
      <c r="H187" s="276"/>
      <c r="I187" s="276"/>
      <c r="J187" s="353"/>
      <c r="K187" s="276"/>
      <c r="L187" s="276"/>
      <c r="M187" s="276"/>
      <c r="N187" s="276"/>
      <c r="O187" s="276"/>
      <c r="P187" s="276"/>
      <c r="Q187" s="276"/>
      <c r="R187" s="276"/>
      <c r="S187" s="276"/>
      <c r="T187" s="276"/>
      <c r="U187" s="276"/>
      <c r="V187" s="276"/>
      <c r="W187" s="276"/>
      <c r="X187" s="276"/>
      <c r="Y187" s="276"/>
      <c r="Z187" s="276"/>
      <c r="AA187" s="276"/>
      <c r="AB187" s="276"/>
      <c r="AC187" s="276"/>
      <c r="AD187" s="276"/>
      <c r="AE187" s="276"/>
      <c r="AF187" s="276"/>
      <c r="AG187" s="276"/>
      <c r="AH187" s="276"/>
      <c r="AI187" s="276"/>
      <c r="AJ187" s="276"/>
      <c r="AK187" s="276"/>
      <c r="AL187" s="276"/>
      <c r="AM187" s="276"/>
      <c r="AN187" s="276"/>
      <c r="AO187" s="276"/>
      <c r="AP187" s="276"/>
      <c r="AQ187" s="276"/>
      <c r="AR187" s="276"/>
      <c r="AS187" s="276"/>
      <c r="AT187" s="276"/>
      <c r="AU187" s="276"/>
      <c r="AV187" s="276"/>
      <c r="AW187" s="276"/>
      <c r="AX187" s="276"/>
      <c r="AY187" s="276"/>
    </row>
    <row r="188" spans="1:51" ht="15.75" customHeight="1" x14ac:dyDescent="0.25">
      <c r="A188" s="276"/>
      <c r="B188" s="533"/>
      <c r="C188" s="353"/>
      <c r="D188" s="276"/>
      <c r="E188" s="276"/>
      <c r="F188" s="276"/>
      <c r="G188" s="276"/>
      <c r="H188" s="276"/>
      <c r="I188" s="276"/>
      <c r="J188" s="353"/>
      <c r="K188" s="276"/>
      <c r="L188" s="276"/>
      <c r="M188" s="276"/>
      <c r="N188" s="276"/>
      <c r="O188" s="276"/>
      <c r="P188" s="276"/>
      <c r="Q188" s="276"/>
      <c r="R188" s="276"/>
      <c r="S188" s="276"/>
      <c r="T188" s="276"/>
      <c r="U188" s="276"/>
      <c r="V188" s="276"/>
      <c r="W188" s="276"/>
      <c r="X188" s="276"/>
      <c r="Y188" s="276"/>
      <c r="Z188" s="276"/>
      <c r="AA188" s="276"/>
      <c r="AB188" s="276"/>
      <c r="AC188" s="276"/>
      <c r="AD188" s="276"/>
      <c r="AE188" s="276"/>
      <c r="AF188" s="276"/>
      <c r="AG188" s="276"/>
      <c r="AH188" s="276"/>
      <c r="AI188" s="276"/>
      <c r="AJ188" s="276"/>
      <c r="AK188" s="276"/>
      <c r="AL188" s="276"/>
      <c r="AM188" s="276"/>
      <c r="AN188" s="276"/>
      <c r="AO188" s="276"/>
      <c r="AP188" s="276"/>
      <c r="AQ188" s="276"/>
      <c r="AR188" s="276"/>
      <c r="AS188" s="276"/>
      <c r="AT188" s="276"/>
      <c r="AU188" s="276"/>
      <c r="AV188" s="276"/>
      <c r="AW188" s="276"/>
      <c r="AX188" s="276"/>
      <c r="AY188" s="276"/>
    </row>
    <row r="189" spans="1:51" ht="15.75" customHeight="1" x14ac:dyDescent="0.25">
      <c r="A189" s="276"/>
      <c r="B189" s="533"/>
      <c r="C189" s="353"/>
      <c r="D189" s="276"/>
      <c r="E189" s="276"/>
      <c r="F189" s="276"/>
      <c r="G189" s="276"/>
      <c r="H189" s="276"/>
      <c r="I189" s="276"/>
      <c r="J189" s="353"/>
      <c r="K189" s="276"/>
      <c r="L189" s="276"/>
      <c r="M189" s="276"/>
      <c r="N189" s="276"/>
      <c r="O189" s="276"/>
      <c r="P189" s="276"/>
      <c r="Q189" s="276"/>
      <c r="R189" s="276"/>
      <c r="S189" s="276"/>
      <c r="T189" s="276"/>
      <c r="U189" s="276"/>
      <c r="V189" s="276"/>
      <c r="W189" s="276"/>
      <c r="X189" s="276"/>
      <c r="Y189" s="276"/>
      <c r="Z189" s="276"/>
      <c r="AA189" s="276"/>
      <c r="AB189" s="276"/>
      <c r="AC189" s="276"/>
      <c r="AD189" s="276"/>
      <c r="AE189" s="276"/>
      <c r="AF189" s="276"/>
      <c r="AG189" s="276"/>
      <c r="AH189" s="276"/>
      <c r="AI189" s="276"/>
      <c r="AJ189" s="276"/>
      <c r="AK189" s="276"/>
      <c r="AL189" s="276"/>
      <c r="AM189" s="276"/>
      <c r="AN189" s="276"/>
      <c r="AO189" s="276"/>
      <c r="AP189" s="276"/>
      <c r="AQ189" s="276"/>
      <c r="AR189" s="276"/>
      <c r="AS189" s="276"/>
      <c r="AT189" s="276"/>
      <c r="AU189" s="276"/>
      <c r="AV189" s="276"/>
      <c r="AW189" s="276"/>
      <c r="AX189" s="276"/>
      <c r="AY189" s="276"/>
    </row>
    <row r="190" spans="1:51" ht="15.75" customHeight="1" x14ac:dyDescent="0.25">
      <c r="A190" s="276"/>
      <c r="B190" s="533"/>
      <c r="C190" s="353"/>
      <c r="D190" s="276"/>
      <c r="E190" s="276"/>
      <c r="F190" s="276"/>
      <c r="G190" s="276"/>
      <c r="H190" s="276"/>
      <c r="I190" s="276"/>
      <c r="J190" s="353"/>
      <c r="K190" s="276"/>
      <c r="L190" s="276"/>
      <c r="M190" s="276"/>
      <c r="N190" s="276"/>
      <c r="O190" s="276"/>
      <c r="P190" s="276"/>
      <c r="Q190" s="276"/>
      <c r="R190" s="276"/>
      <c r="S190" s="276"/>
      <c r="T190" s="276"/>
      <c r="U190" s="276"/>
      <c r="V190" s="276"/>
      <c r="W190" s="276"/>
      <c r="X190" s="276"/>
      <c r="Y190" s="276"/>
      <c r="Z190" s="276"/>
      <c r="AA190" s="276"/>
      <c r="AB190" s="276"/>
      <c r="AC190" s="276"/>
      <c r="AD190" s="276"/>
      <c r="AE190" s="276"/>
      <c r="AF190" s="276"/>
      <c r="AG190" s="276"/>
      <c r="AH190" s="276"/>
      <c r="AI190" s="276"/>
      <c r="AJ190" s="276"/>
      <c r="AK190" s="276"/>
      <c r="AL190" s="276"/>
      <c r="AM190" s="276"/>
      <c r="AN190" s="276"/>
      <c r="AO190" s="276"/>
      <c r="AP190" s="276"/>
      <c r="AQ190" s="276"/>
      <c r="AR190" s="276"/>
      <c r="AS190" s="276"/>
      <c r="AT190" s="276"/>
      <c r="AU190" s="276"/>
      <c r="AV190" s="276"/>
      <c r="AW190" s="276"/>
      <c r="AX190" s="276"/>
      <c r="AY190" s="276"/>
    </row>
    <row r="191" spans="1:51" ht="15.75" customHeight="1" x14ac:dyDescent="0.25">
      <c r="A191" s="276"/>
      <c r="B191" s="533"/>
      <c r="C191" s="353"/>
      <c r="D191" s="276"/>
      <c r="E191" s="276"/>
      <c r="F191" s="276"/>
      <c r="G191" s="276"/>
      <c r="H191" s="276"/>
      <c r="I191" s="276"/>
      <c r="J191" s="353"/>
      <c r="K191" s="276"/>
      <c r="L191" s="276"/>
      <c r="M191" s="276"/>
      <c r="N191" s="276"/>
      <c r="O191" s="276"/>
      <c r="P191" s="276"/>
      <c r="Q191" s="276"/>
      <c r="R191" s="276"/>
      <c r="S191" s="276"/>
      <c r="T191" s="276"/>
      <c r="U191" s="276"/>
      <c r="V191" s="276"/>
      <c r="W191" s="276"/>
      <c r="X191" s="276"/>
      <c r="Y191" s="276"/>
      <c r="Z191" s="276"/>
      <c r="AA191" s="276"/>
      <c r="AB191" s="276"/>
      <c r="AC191" s="276"/>
      <c r="AD191" s="276"/>
      <c r="AE191" s="276"/>
      <c r="AF191" s="276"/>
      <c r="AG191" s="276"/>
      <c r="AH191" s="276"/>
      <c r="AI191" s="276"/>
      <c r="AJ191" s="276"/>
      <c r="AK191" s="276"/>
      <c r="AL191" s="276"/>
      <c r="AM191" s="276"/>
      <c r="AN191" s="276"/>
      <c r="AO191" s="276"/>
      <c r="AP191" s="276"/>
      <c r="AQ191" s="276"/>
      <c r="AR191" s="276"/>
      <c r="AS191" s="276"/>
      <c r="AT191" s="276"/>
      <c r="AU191" s="276"/>
      <c r="AV191" s="276"/>
      <c r="AW191" s="276"/>
      <c r="AX191" s="276"/>
      <c r="AY191" s="276"/>
    </row>
    <row r="192" spans="1:51" ht="15.75" customHeight="1" x14ac:dyDescent="0.25">
      <c r="A192" s="276"/>
      <c r="B192" s="533"/>
      <c r="C192" s="353"/>
      <c r="D192" s="276"/>
      <c r="E192" s="276"/>
      <c r="F192" s="276"/>
      <c r="G192" s="276"/>
      <c r="H192" s="276"/>
      <c r="I192" s="276"/>
      <c r="J192" s="353"/>
      <c r="K192" s="276"/>
      <c r="L192" s="276"/>
      <c r="M192" s="276"/>
      <c r="N192" s="276"/>
      <c r="O192" s="276"/>
      <c r="P192" s="276"/>
      <c r="Q192" s="276"/>
      <c r="R192" s="276"/>
      <c r="S192" s="276"/>
      <c r="T192" s="276"/>
      <c r="U192" s="276"/>
      <c r="V192" s="276"/>
      <c r="W192" s="276"/>
      <c r="X192" s="276"/>
      <c r="Y192" s="276"/>
      <c r="Z192" s="276"/>
      <c r="AA192" s="276"/>
      <c r="AB192" s="276"/>
      <c r="AC192" s="276"/>
      <c r="AD192" s="276"/>
      <c r="AE192" s="276"/>
      <c r="AF192" s="276"/>
      <c r="AG192" s="276"/>
      <c r="AH192" s="276"/>
      <c r="AI192" s="276"/>
      <c r="AJ192" s="276"/>
      <c r="AK192" s="276"/>
      <c r="AL192" s="276"/>
      <c r="AM192" s="276"/>
      <c r="AN192" s="276"/>
      <c r="AO192" s="276"/>
      <c r="AP192" s="276"/>
      <c r="AQ192" s="276"/>
      <c r="AR192" s="276"/>
      <c r="AS192" s="276"/>
      <c r="AT192" s="276"/>
      <c r="AU192" s="276"/>
      <c r="AV192" s="276"/>
      <c r="AW192" s="276"/>
      <c r="AX192" s="276"/>
      <c r="AY192" s="276"/>
    </row>
    <row r="193" spans="1:51" ht="15.75" customHeight="1" x14ac:dyDescent="0.25">
      <c r="A193" s="276"/>
      <c r="B193" s="533"/>
      <c r="C193" s="353"/>
      <c r="D193" s="276"/>
      <c r="E193" s="276"/>
      <c r="F193" s="276"/>
      <c r="G193" s="276"/>
      <c r="H193" s="276"/>
      <c r="I193" s="276"/>
      <c r="J193" s="353"/>
      <c r="K193" s="276"/>
      <c r="L193" s="276"/>
      <c r="M193" s="276"/>
      <c r="N193" s="276"/>
      <c r="O193" s="276"/>
      <c r="P193" s="276"/>
      <c r="Q193" s="276"/>
      <c r="R193" s="276"/>
      <c r="S193" s="276"/>
      <c r="T193" s="276"/>
      <c r="U193" s="276"/>
      <c r="V193" s="276"/>
      <c r="W193" s="276"/>
      <c r="X193" s="276"/>
      <c r="Y193" s="276"/>
      <c r="Z193" s="276"/>
      <c r="AA193" s="276"/>
      <c r="AB193" s="276"/>
      <c r="AC193" s="276"/>
      <c r="AD193" s="276"/>
      <c r="AE193" s="276"/>
      <c r="AF193" s="276"/>
      <c r="AG193" s="276"/>
      <c r="AH193" s="276"/>
      <c r="AI193" s="276"/>
      <c r="AJ193" s="276"/>
      <c r="AK193" s="276"/>
      <c r="AL193" s="276"/>
      <c r="AM193" s="276"/>
      <c r="AN193" s="276"/>
      <c r="AO193" s="276"/>
      <c r="AP193" s="276"/>
      <c r="AQ193" s="276"/>
      <c r="AR193" s="276"/>
      <c r="AS193" s="276"/>
      <c r="AT193" s="276"/>
      <c r="AU193" s="276"/>
      <c r="AV193" s="276"/>
      <c r="AW193" s="276"/>
      <c r="AX193" s="276"/>
      <c r="AY193" s="276"/>
    </row>
    <row r="194" spans="1:51" ht="15.75" customHeight="1" x14ac:dyDescent="0.25">
      <c r="A194" s="276"/>
      <c r="B194" s="533"/>
      <c r="C194" s="353"/>
      <c r="D194" s="276"/>
      <c r="E194" s="276"/>
      <c r="F194" s="276"/>
      <c r="G194" s="276"/>
      <c r="H194" s="276"/>
      <c r="I194" s="276"/>
      <c r="J194" s="353"/>
      <c r="K194" s="276"/>
      <c r="L194" s="276"/>
      <c r="M194" s="276"/>
      <c r="N194" s="276"/>
      <c r="O194" s="276"/>
      <c r="P194" s="276"/>
      <c r="Q194" s="276"/>
      <c r="R194" s="276"/>
      <c r="S194" s="276"/>
      <c r="T194" s="276"/>
      <c r="U194" s="276"/>
      <c r="V194" s="276"/>
      <c r="W194" s="276"/>
      <c r="X194" s="276"/>
      <c r="Y194" s="276"/>
      <c r="Z194" s="276"/>
      <c r="AA194" s="276"/>
      <c r="AB194" s="276"/>
      <c r="AC194" s="276"/>
      <c r="AD194" s="276"/>
      <c r="AE194" s="276"/>
      <c r="AF194" s="276"/>
      <c r="AG194" s="276"/>
      <c r="AH194" s="276"/>
      <c r="AI194" s="276"/>
      <c r="AJ194" s="276"/>
      <c r="AK194" s="276"/>
      <c r="AL194" s="276"/>
      <c r="AM194" s="276"/>
      <c r="AN194" s="276"/>
      <c r="AO194" s="276"/>
      <c r="AP194" s="276"/>
      <c r="AQ194" s="276"/>
      <c r="AR194" s="276"/>
      <c r="AS194" s="276"/>
      <c r="AT194" s="276"/>
      <c r="AU194" s="276"/>
      <c r="AV194" s="276"/>
      <c r="AW194" s="276"/>
      <c r="AX194" s="276"/>
      <c r="AY194" s="276"/>
    </row>
    <row r="195" spans="1:51" ht="15.75" customHeight="1" x14ac:dyDescent="0.25">
      <c r="A195" s="276"/>
      <c r="B195" s="533"/>
      <c r="C195" s="353"/>
      <c r="D195" s="276"/>
      <c r="E195" s="276"/>
      <c r="F195" s="276"/>
      <c r="G195" s="276"/>
      <c r="H195" s="276"/>
      <c r="I195" s="276"/>
      <c r="J195" s="353"/>
      <c r="K195" s="276"/>
      <c r="L195" s="276"/>
      <c r="M195" s="276"/>
      <c r="N195" s="276"/>
      <c r="O195" s="276"/>
      <c r="P195" s="276"/>
      <c r="Q195" s="276"/>
      <c r="R195" s="276"/>
      <c r="S195" s="276"/>
      <c r="T195" s="276"/>
      <c r="U195" s="276"/>
      <c r="V195" s="276"/>
      <c r="W195" s="276"/>
      <c r="X195" s="276"/>
      <c r="Y195" s="276"/>
      <c r="Z195" s="276"/>
      <c r="AA195" s="276"/>
      <c r="AB195" s="276"/>
      <c r="AC195" s="276"/>
      <c r="AD195" s="276"/>
      <c r="AE195" s="276"/>
      <c r="AF195" s="276"/>
      <c r="AG195" s="276"/>
      <c r="AH195" s="276"/>
      <c r="AI195" s="276"/>
      <c r="AJ195" s="276"/>
      <c r="AK195" s="276"/>
      <c r="AL195" s="276"/>
      <c r="AM195" s="276"/>
      <c r="AN195" s="276"/>
      <c r="AO195" s="276"/>
      <c r="AP195" s="276"/>
      <c r="AQ195" s="276"/>
      <c r="AR195" s="276"/>
      <c r="AS195" s="276"/>
      <c r="AT195" s="276"/>
      <c r="AU195" s="276"/>
      <c r="AV195" s="276"/>
      <c r="AW195" s="276"/>
      <c r="AX195" s="276"/>
      <c r="AY195" s="276"/>
    </row>
    <row r="196" spans="1:51" ht="15.75" customHeight="1" x14ac:dyDescent="0.25">
      <c r="A196" s="276"/>
      <c r="B196" s="533"/>
      <c r="C196" s="353"/>
      <c r="D196" s="276"/>
      <c r="E196" s="276"/>
      <c r="F196" s="276"/>
      <c r="G196" s="276"/>
      <c r="H196" s="276"/>
      <c r="I196" s="276"/>
      <c r="J196" s="353"/>
      <c r="K196" s="276"/>
      <c r="L196" s="276"/>
      <c r="M196" s="276"/>
      <c r="N196" s="276"/>
      <c r="O196" s="276"/>
      <c r="P196" s="276"/>
      <c r="Q196" s="276"/>
      <c r="R196" s="276"/>
      <c r="S196" s="276"/>
      <c r="T196" s="276"/>
      <c r="U196" s="276"/>
      <c r="V196" s="276"/>
      <c r="W196" s="276"/>
      <c r="X196" s="276"/>
      <c r="Y196" s="276"/>
      <c r="Z196" s="276"/>
      <c r="AA196" s="276"/>
      <c r="AB196" s="276"/>
      <c r="AC196" s="276"/>
      <c r="AD196" s="276"/>
      <c r="AE196" s="276"/>
      <c r="AF196" s="276"/>
      <c r="AG196" s="276"/>
      <c r="AH196" s="276"/>
      <c r="AI196" s="276"/>
      <c r="AJ196" s="276"/>
      <c r="AK196" s="276"/>
      <c r="AL196" s="276"/>
      <c r="AM196" s="276"/>
      <c r="AN196" s="276"/>
      <c r="AO196" s="276"/>
      <c r="AP196" s="276"/>
      <c r="AQ196" s="276"/>
      <c r="AR196" s="276"/>
      <c r="AS196" s="276"/>
      <c r="AT196" s="276"/>
      <c r="AU196" s="276"/>
      <c r="AV196" s="276"/>
      <c r="AW196" s="276"/>
      <c r="AX196" s="276"/>
      <c r="AY196" s="276"/>
    </row>
    <row r="197" spans="1:51" ht="15.75" customHeight="1" x14ac:dyDescent="0.25">
      <c r="A197" s="276"/>
      <c r="B197" s="533"/>
      <c r="C197" s="353"/>
      <c r="D197" s="276"/>
      <c r="E197" s="276"/>
      <c r="F197" s="276"/>
      <c r="G197" s="276"/>
      <c r="H197" s="276"/>
      <c r="I197" s="276"/>
      <c r="J197" s="353"/>
      <c r="K197" s="276"/>
      <c r="L197" s="276"/>
      <c r="M197" s="276"/>
      <c r="N197" s="276"/>
      <c r="O197" s="276"/>
      <c r="P197" s="276"/>
      <c r="Q197" s="276"/>
      <c r="R197" s="276"/>
      <c r="S197" s="276"/>
      <c r="T197" s="276"/>
      <c r="U197" s="276"/>
      <c r="V197" s="276"/>
      <c r="W197" s="276"/>
      <c r="X197" s="276"/>
      <c r="Y197" s="276"/>
      <c r="Z197" s="276"/>
      <c r="AA197" s="276"/>
      <c r="AB197" s="276"/>
      <c r="AC197" s="276"/>
      <c r="AD197" s="276"/>
      <c r="AE197" s="276"/>
      <c r="AF197" s="276"/>
      <c r="AG197" s="276"/>
      <c r="AH197" s="276"/>
      <c r="AI197" s="276"/>
      <c r="AJ197" s="276"/>
      <c r="AK197" s="276"/>
      <c r="AL197" s="276"/>
      <c r="AM197" s="276"/>
      <c r="AN197" s="276"/>
      <c r="AO197" s="276"/>
      <c r="AP197" s="276"/>
      <c r="AQ197" s="276"/>
      <c r="AR197" s="276"/>
      <c r="AS197" s="276"/>
      <c r="AT197" s="276"/>
      <c r="AU197" s="276"/>
      <c r="AV197" s="276"/>
      <c r="AW197" s="276"/>
      <c r="AX197" s="276"/>
      <c r="AY197" s="276"/>
    </row>
    <row r="198" spans="1:51" ht="15.75" customHeight="1" x14ac:dyDescent="0.25">
      <c r="A198" s="276"/>
      <c r="B198" s="533"/>
      <c r="C198" s="353"/>
      <c r="D198" s="276"/>
      <c r="E198" s="276"/>
      <c r="F198" s="276"/>
      <c r="G198" s="276"/>
      <c r="H198" s="276"/>
      <c r="I198" s="276"/>
      <c r="J198" s="353"/>
      <c r="K198" s="276"/>
      <c r="L198" s="276"/>
      <c r="M198" s="276"/>
      <c r="N198" s="276"/>
      <c r="O198" s="276"/>
      <c r="P198" s="276"/>
      <c r="Q198" s="276"/>
      <c r="R198" s="276"/>
      <c r="S198" s="276"/>
      <c r="T198" s="276"/>
      <c r="U198" s="276"/>
      <c r="V198" s="276"/>
      <c r="W198" s="276"/>
      <c r="X198" s="276"/>
      <c r="Y198" s="276"/>
      <c r="Z198" s="276"/>
      <c r="AA198" s="276"/>
      <c r="AB198" s="276"/>
      <c r="AC198" s="276"/>
      <c r="AD198" s="276"/>
      <c r="AE198" s="276"/>
      <c r="AF198" s="276"/>
      <c r="AG198" s="276"/>
      <c r="AH198" s="276"/>
      <c r="AI198" s="276"/>
      <c r="AJ198" s="276"/>
      <c r="AK198" s="276"/>
      <c r="AL198" s="276"/>
      <c r="AM198" s="276"/>
      <c r="AN198" s="276"/>
      <c r="AO198" s="276"/>
      <c r="AP198" s="276"/>
      <c r="AQ198" s="276"/>
      <c r="AR198" s="276"/>
      <c r="AS198" s="276"/>
      <c r="AT198" s="276"/>
      <c r="AU198" s="276"/>
      <c r="AV198" s="276"/>
      <c r="AW198" s="276"/>
      <c r="AX198" s="276"/>
      <c r="AY198" s="276"/>
    </row>
    <row r="199" spans="1:51" ht="15.75" customHeight="1" x14ac:dyDescent="0.25">
      <c r="A199" s="276"/>
      <c r="B199" s="533"/>
      <c r="C199" s="353"/>
      <c r="D199" s="276"/>
      <c r="E199" s="276"/>
      <c r="F199" s="276"/>
      <c r="G199" s="276"/>
      <c r="H199" s="276"/>
      <c r="I199" s="276"/>
      <c r="J199" s="353"/>
      <c r="K199" s="276"/>
      <c r="L199" s="276"/>
      <c r="M199" s="276"/>
      <c r="N199" s="276"/>
      <c r="O199" s="276"/>
      <c r="P199" s="276"/>
      <c r="Q199" s="276"/>
      <c r="R199" s="276"/>
      <c r="S199" s="276"/>
      <c r="T199" s="276"/>
      <c r="U199" s="276"/>
      <c r="V199" s="276"/>
      <c r="W199" s="276"/>
      <c r="X199" s="276"/>
      <c r="Y199" s="276"/>
      <c r="Z199" s="276"/>
      <c r="AA199" s="276"/>
      <c r="AB199" s="276"/>
      <c r="AC199" s="276"/>
      <c r="AD199" s="276"/>
      <c r="AE199" s="276"/>
      <c r="AF199" s="276"/>
      <c r="AG199" s="276"/>
      <c r="AH199" s="276"/>
      <c r="AI199" s="276"/>
      <c r="AJ199" s="276"/>
      <c r="AK199" s="276"/>
      <c r="AL199" s="276"/>
      <c r="AM199" s="276"/>
      <c r="AN199" s="276"/>
      <c r="AO199" s="276"/>
      <c r="AP199" s="276"/>
      <c r="AQ199" s="276"/>
      <c r="AR199" s="276"/>
      <c r="AS199" s="276"/>
      <c r="AT199" s="276"/>
      <c r="AU199" s="276"/>
      <c r="AV199" s="276"/>
      <c r="AW199" s="276"/>
      <c r="AX199" s="276"/>
      <c r="AY199" s="276"/>
    </row>
    <row r="200" spans="1:51" ht="15.75" customHeight="1" x14ac:dyDescent="0.25">
      <c r="A200" s="276"/>
      <c r="B200" s="533"/>
      <c r="C200" s="353"/>
      <c r="D200" s="276"/>
      <c r="E200" s="276"/>
      <c r="F200" s="276"/>
      <c r="G200" s="276"/>
      <c r="H200" s="276"/>
      <c r="I200" s="276"/>
      <c r="J200" s="353"/>
      <c r="K200" s="276"/>
      <c r="L200" s="276"/>
      <c r="M200" s="276"/>
      <c r="N200" s="276"/>
      <c r="O200" s="276"/>
      <c r="P200" s="276"/>
      <c r="Q200" s="276"/>
      <c r="R200" s="276"/>
      <c r="S200" s="276"/>
      <c r="T200" s="276"/>
      <c r="U200" s="276"/>
      <c r="V200" s="276"/>
      <c r="W200" s="276"/>
      <c r="X200" s="276"/>
      <c r="Y200" s="276"/>
      <c r="Z200" s="276"/>
      <c r="AA200" s="276"/>
      <c r="AB200" s="276"/>
      <c r="AC200" s="276"/>
      <c r="AD200" s="276"/>
      <c r="AE200" s="276"/>
      <c r="AF200" s="276"/>
      <c r="AG200" s="276"/>
      <c r="AH200" s="276"/>
      <c r="AI200" s="276"/>
      <c r="AJ200" s="276"/>
      <c r="AK200" s="276"/>
      <c r="AL200" s="276"/>
      <c r="AM200" s="276"/>
      <c r="AN200" s="276"/>
      <c r="AO200" s="276"/>
      <c r="AP200" s="276"/>
      <c r="AQ200" s="276"/>
      <c r="AR200" s="276"/>
      <c r="AS200" s="276"/>
      <c r="AT200" s="276"/>
      <c r="AU200" s="276"/>
      <c r="AV200" s="276"/>
      <c r="AW200" s="276"/>
      <c r="AX200" s="276"/>
      <c r="AY200" s="276"/>
    </row>
    <row r="201" spans="1:51" ht="15.75" customHeight="1" x14ac:dyDescent="0.25">
      <c r="A201" s="276"/>
      <c r="B201" s="533"/>
      <c r="C201" s="353"/>
      <c r="D201" s="276"/>
      <c r="E201" s="276"/>
      <c r="F201" s="276"/>
      <c r="G201" s="276"/>
      <c r="H201" s="276"/>
      <c r="I201" s="276"/>
      <c r="J201" s="353"/>
      <c r="K201" s="276"/>
      <c r="L201" s="276"/>
      <c r="M201" s="276"/>
      <c r="N201" s="276"/>
      <c r="O201" s="276"/>
      <c r="P201" s="276"/>
      <c r="Q201" s="276"/>
      <c r="R201" s="276"/>
      <c r="S201" s="276"/>
      <c r="T201" s="276"/>
      <c r="U201" s="276"/>
      <c r="V201" s="276"/>
      <c r="W201" s="276"/>
      <c r="X201" s="276"/>
      <c r="Y201" s="276"/>
      <c r="Z201" s="276"/>
      <c r="AA201" s="276"/>
      <c r="AB201" s="276"/>
      <c r="AC201" s="276"/>
      <c r="AD201" s="276"/>
      <c r="AE201" s="276"/>
      <c r="AF201" s="276"/>
      <c r="AG201" s="276"/>
      <c r="AH201" s="276"/>
      <c r="AI201" s="276"/>
      <c r="AJ201" s="276"/>
      <c r="AK201" s="276"/>
      <c r="AL201" s="276"/>
      <c r="AM201" s="276"/>
      <c r="AN201" s="276"/>
      <c r="AO201" s="276"/>
      <c r="AP201" s="276"/>
      <c r="AQ201" s="276"/>
      <c r="AR201" s="276"/>
      <c r="AS201" s="276"/>
      <c r="AT201" s="276"/>
      <c r="AU201" s="276"/>
      <c r="AV201" s="276"/>
      <c r="AW201" s="276"/>
      <c r="AX201" s="276"/>
      <c r="AY201" s="276"/>
    </row>
    <row r="202" spans="1:51" ht="15.75" customHeight="1" x14ac:dyDescent="0.25">
      <c r="A202" s="276"/>
      <c r="B202" s="533"/>
      <c r="C202" s="353"/>
      <c r="D202" s="276"/>
      <c r="E202" s="276"/>
      <c r="F202" s="276"/>
      <c r="G202" s="276"/>
      <c r="H202" s="276"/>
      <c r="I202" s="276"/>
      <c r="J202" s="353"/>
      <c r="K202" s="276"/>
      <c r="L202" s="276"/>
      <c r="M202" s="276"/>
      <c r="N202" s="276"/>
      <c r="O202" s="276"/>
      <c r="P202" s="276"/>
      <c r="Q202" s="276"/>
      <c r="R202" s="276"/>
      <c r="S202" s="276"/>
      <c r="T202" s="276"/>
      <c r="U202" s="276"/>
      <c r="V202" s="276"/>
      <c r="W202" s="276"/>
      <c r="X202" s="276"/>
      <c r="Y202" s="276"/>
      <c r="Z202" s="276"/>
      <c r="AA202" s="276"/>
      <c r="AB202" s="276"/>
      <c r="AC202" s="276"/>
      <c r="AD202" s="276"/>
      <c r="AE202" s="276"/>
      <c r="AF202" s="276"/>
      <c r="AG202" s="276"/>
      <c r="AH202" s="276"/>
      <c r="AI202" s="276"/>
      <c r="AJ202" s="276"/>
      <c r="AK202" s="276"/>
      <c r="AL202" s="276"/>
      <c r="AM202" s="276"/>
      <c r="AN202" s="276"/>
      <c r="AO202" s="276"/>
      <c r="AP202" s="276"/>
      <c r="AQ202" s="276"/>
      <c r="AR202" s="276"/>
      <c r="AS202" s="276"/>
      <c r="AT202" s="276"/>
      <c r="AU202" s="276"/>
      <c r="AV202" s="276"/>
      <c r="AW202" s="276"/>
      <c r="AX202" s="276"/>
      <c r="AY202" s="276"/>
    </row>
    <row r="203" spans="1:51" ht="15.75" customHeight="1" x14ac:dyDescent="0.25">
      <c r="A203" s="276"/>
      <c r="B203" s="533"/>
      <c r="C203" s="353"/>
      <c r="D203" s="276"/>
      <c r="E203" s="276"/>
      <c r="F203" s="276"/>
      <c r="G203" s="276"/>
      <c r="H203" s="276"/>
      <c r="I203" s="276"/>
      <c r="J203" s="353"/>
      <c r="K203" s="276"/>
      <c r="L203" s="276"/>
      <c r="M203" s="276"/>
      <c r="N203" s="276"/>
      <c r="O203" s="276"/>
      <c r="P203" s="276"/>
      <c r="Q203" s="276"/>
      <c r="R203" s="276"/>
      <c r="S203" s="276"/>
      <c r="T203" s="276"/>
      <c r="U203" s="276"/>
      <c r="V203" s="276"/>
      <c r="W203" s="276"/>
      <c r="X203" s="276"/>
      <c r="Y203" s="276"/>
      <c r="Z203" s="276"/>
      <c r="AA203" s="276"/>
      <c r="AB203" s="276"/>
      <c r="AC203" s="276"/>
      <c r="AD203" s="276"/>
      <c r="AE203" s="276"/>
      <c r="AF203" s="276"/>
      <c r="AG203" s="276"/>
      <c r="AH203" s="276"/>
      <c r="AI203" s="276"/>
      <c r="AJ203" s="276"/>
      <c r="AK203" s="276"/>
      <c r="AL203" s="276"/>
      <c r="AM203" s="276"/>
      <c r="AN203" s="276"/>
      <c r="AO203" s="276"/>
      <c r="AP203" s="276"/>
      <c r="AQ203" s="276"/>
      <c r="AR203" s="276"/>
      <c r="AS203" s="276"/>
      <c r="AT203" s="276"/>
      <c r="AU203" s="276"/>
      <c r="AV203" s="276"/>
      <c r="AW203" s="276"/>
      <c r="AX203" s="276"/>
      <c r="AY203" s="276"/>
    </row>
    <row r="204" spans="1:51" ht="15.75" customHeight="1" x14ac:dyDescent="0.25">
      <c r="A204" s="276"/>
      <c r="B204" s="533"/>
      <c r="C204" s="353"/>
      <c r="D204" s="276"/>
      <c r="E204" s="276"/>
      <c r="F204" s="276"/>
      <c r="G204" s="276"/>
      <c r="H204" s="276"/>
      <c r="I204" s="276"/>
      <c r="J204" s="353"/>
      <c r="K204" s="276"/>
      <c r="L204" s="276"/>
      <c r="M204" s="276"/>
      <c r="N204" s="276"/>
      <c r="O204" s="276"/>
      <c r="P204" s="276"/>
      <c r="Q204" s="276"/>
      <c r="R204" s="276"/>
      <c r="S204" s="276"/>
      <c r="T204" s="276"/>
      <c r="U204" s="276"/>
      <c r="V204" s="276"/>
      <c r="W204" s="276"/>
      <c r="X204" s="276"/>
      <c r="Y204" s="276"/>
      <c r="Z204" s="276"/>
      <c r="AA204" s="276"/>
      <c r="AB204" s="276"/>
      <c r="AC204" s="276"/>
      <c r="AD204" s="276"/>
      <c r="AE204" s="276"/>
      <c r="AF204" s="276"/>
      <c r="AG204" s="276"/>
      <c r="AH204" s="276"/>
      <c r="AI204" s="276"/>
      <c r="AJ204" s="276"/>
      <c r="AK204" s="276"/>
      <c r="AL204" s="276"/>
      <c r="AM204" s="276"/>
      <c r="AN204" s="276"/>
      <c r="AO204" s="276"/>
      <c r="AP204" s="276"/>
      <c r="AQ204" s="276"/>
      <c r="AR204" s="276"/>
      <c r="AS204" s="276"/>
      <c r="AT204" s="276"/>
      <c r="AU204" s="276"/>
      <c r="AV204" s="276"/>
      <c r="AW204" s="276"/>
      <c r="AX204" s="276"/>
      <c r="AY204" s="276"/>
    </row>
    <row r="205" spans="1:51" ht="15.75" customHeight="1" x14ac:dyDescent="0.25">
      <c r="A205" s="276"/>
      <c r="B205" s="533"/>
      <c r="C205" s="353"/>
      <c r="D205" s="276"/>
      <c r="E205" s="276"/>
      <c r="F205" s="276"/>
      <c r="G205" s="276"/>
      <c r="H205" s="276"/>
      <c r="I205" s="276"/>
      <c r="J205" s="353"/>
      <c r="K205" s="276"/>
      <c r="L205" s="276"/>
      <c r="M205" s="276"/>
      <c r="N205" s="276"/>
      <c r="O205" s="276"/>
      <c r="P205" s="276"/>
      <c r="Q205" s="276"/>
      <c r="R205" s="276"/>
      <c r="S205" s="276"/>
      <c r="T205" s="276"/>
      <c r="U205" s="276"/>
      <c r="V205" s="276"/>
      <c r="W205" s="276"/>
      <c r="X205" s="276"/>
      <c r="Y205" s="276"/>
      <c r="Z205" s="276"/>
      <c r="AA205" s="276"/>
      <c r="AB205" s="276"/>
      <c r="AC205" s="276"/>
      <c r="AD205" s="276"/>
      <c r="AE205" s="276"/>
      <c r="AF205" s="276"/>
      <c r="AG205" s="276"/>
      <c r="AH205" s="276"/>
      <c r="AI205" s="276"/>
      <c r="AJ205" s="276"/>
      <c r="AK205" s="276"/>
      <c r="AL205" s="276"/>
      <c r="AM205" s="276"/>
      <c r="AN205" s="276"/>
      <c r="AO205" s="276"/>
      <c r="AP205" s="276"/>
      <c r="AQ205" s="276"/>
      <c r="AR205" s="276"/>
      <c r="AS205" s="276"/>
      <c r="AT205" s="276"/>
      <c r="AU205" s="276"/>
      <c r="AV205" s="276"/>
      <c r="AW205" s="276"/>
      <c r="AX205" s="276"/>
      <c r="AY205" s="276"/>
    </row>
    <row r="206" spans="1:51" ht="15.75" customHeight="1" x14ac:dyDescent="0.25">
      <c r="A206" s="276"/>
      <c r="B206" s="533"/>
      <c r="C206" s="353"/>
      <c r="D206" s="276"/>
      <c r="E206" s="276"/>
      <c r="F206" s="276"/>
      <c r="G206" s="276"/>
      <c r="H206" s="276"/>
      <c r="I206" s="276"/>
      <c r="J206" s="353"/>
      <c r="K206" s="276"/>
      <c r="L206" s="276"/>
      <c r="M206" s="276"/>
      <c r="N206" s="276"/>
      <c r="O206" s="276"/>
      <c r="P206" s="276"/>
      <c r="Q206" s="276"/>
      <c r="R206" s="276"/>
      <c r="S206" s="276"/>
      <c r="T206" s="276"/>
      <c r="U206" s="276"/>
      <c r="V206" s="276"/>
      <c r="W206" s="276"/>
      <c r="X206" s="276"/>
      <c r="Y206" s="276"/>
      <c r="Z206" s="276"/>
      <c r="AA206" s="276"/>
      <c r="AB206" s="276"/>
      <c r="AC206" s="276"/>
      <c r="AD206" s="276"/>
      <c r="AE206" s="276"/>
      <c r="AF206" s="276"/>
      <c r="AG206" s="276"/>
      <c r="AH206" s="276"/>
      <c r="AI206" s="276"/>
      <c r="AJ206" s="276"/>
      <c r="AK206" s="276"/>
      <c r="AL206" s="276"/>
      <c r="AM206" s="276"/>
      <c r="AN206" s="276"/>
      <c r="AO206" s="276"/>
      <c r="AP206" s="276"/>
      <c r="AQ206" s="276"/>
      <c r="AR206" s="276"/>
      <c r="AS206" s="276"/>
      <c r="AT206" s="276"/>
      <c r="AU206" s="276"/>
      <c r="AV206" s="276"/>
      <c r="AW206" s="276"/>
      <c r="AX206" s="276"/>
      <c r="AY206" s="276"/>
    </row>
    <row r="207" spans="1:51" ht="15.75" customHeight="1" x14ac:dyDescent="0.25">
      <c r="A207" s="276"/>
      <c r="B207" s="533"/>
      <c r="C207" s="353"/>
      <c r="D207" s="276"/>
      <c r="E207" s="276"/>
      <c r="F207" s="276"/>
      <c r="G207" s="276"/>
      <c r="H207" s="276"/>
      <c r="I207" s="276"/>
      <c r="J207" s="353"/>
      <c r="K207" s="276"/>
      <c r="L207" s="276"/>
      <c r="M207" s="276"/>
      <c r="N207" s="276"/>
      <c r="O207" s="276"/>
      <c r="P207" s="276"/>
      <c r="Q207" s="276"/>
      <c r="R207" s="276"/>
      <c r="S207" s="276"/>
      <c r="T207" s="276"/>
      <c r="U207" s="276"/>
      <c r="V207" s="276"/>
      <c r="W207" s="276"/>
      <c r="X207" s="276"/>
      <c r="Y207" s="276"/>
      <c r="Z207" s="276"/>
      <c r="AA207" s="276"/>
      <c r="AB207" s="276"/>
      <c r="AC207" s="276"/>
      <c r="AD207" s="276"/>
      <c r="AE207" s="276"/>
      <c r="AF207" s="276"/>
      <c r="AG207" s="276"/>
      <c r="AH207" s="276"/>
      <c r="AI207" s="276"/>
      <c r="AJ207" s="276"/>
      <c r="AK207" s="276"/>
      <c r="AL207" s="276"/>
      <c r="AM207" s="276"/>
      <c r="AN207" s="276"/>
      <c r="AO207" s="276"/>
      <c r="AP207" s="276"/>
      <c r="AQ207" s="276"/>
      <c r="AR207" s="276"/>
      <c r="AS207" s="276"/>
      <c r="AT207" s="276"/>
      <c r="AU207" s="276"/>
      <c r="AV207" s="276"/>
      <c r="AW207" s="276"/>
      <c r="AX207" s="276"/>
      <c r="AY207" s="276"/>
    </row>
    <row r="208" spans="1:51" ht="15.75" customHeight="1" x14ac:dyDescent="0.25">
      <c r="A208" s="276"/>
      <c r="B208" s="533"/>
      <c r="C208" s="353"/>
      <c r="D208" s="276"/>
      <c r="E208" s="276"/>
      <c r="F208" s="276"/>
      <c r="G208" s="276"/>
      <c r="H208" s="276"/>
      <c r="I208" s="276"/>
      <c r="J208" s="353"/>
      <c r="K208" s="276"/>
      <c r="L208" s="276"/>
      <c r="M208" s="276"/>
      <c r="N208" s="276"/>
      <c r="O208" s="276"/>
      <c r="P208" s="276"/>
      <c r="Q208" s="276"/>
      <c r="R208" s="276"/>
      <c r="S208" s="276"/>
      <c r="T208" s="276"/>
      <c r="U208" s="276"/>
      <c r="V208" s="276"/>
      <c r="W208" s="276"/>
      <c r="X208" s="276"/>
      <c r="Y208" s="276"/>
      <c r="Z208" s="276"/>
      <c r="AA208" s="276"/>
      <c r="AB208" s="276"/>
      <c r="AC208" s="276"/>
      <c r="AD208" s="276"/>
      <c r="AE208" s="276"/>
      <c r="AF208" s="276"/>
      <c r="AG208" s="276"/>
      <c r="AH208" s="276"/>
      <c r="AI208" s="276"/>
      <c r="AJ208" s="276"/>
      <c r="AK208" s="276"/>
      <c r="AL208" s="276"/>
      <c r="AM208" s="276"/>
      <c r="AN208" s="276"/>
      <c r="AO208" s="276"/>
      <c r="AP208" s="276"/>
      <c r="AQ208" s="276"/>
      <c r="AR208" s="276"/>
      <c r="AS208" s="276"/>
      <c r="AT208" s="276"/>
      <c r="AU208" s="276"/>
      <c r="AV208" s="276"/>
      <c r="AW208" s="276"/>
      <c r="AX208" s="276"/>
      <c r="AY208" s="276"/>
    </row>
    <row r="209" spans="1:51" ht="15.75" customHeight="1" x14ac:dyDescent="0.25">
      <c r="A209" s="276"/>
      <c r="B209" s="533"/>
      <c r="C209" s="353"/>
      <c r="D209" s="276"/>
      <c r="E209" s="276"/>
      <c r="F209" s="276"/>
      <c r="G209" s="276"/>
      <c r="H209" s="276"/>
      <c r="I209" s="276"/>
      <c r="J209" s="353"/>
      <c r="K209" s="276"/>
      <c r="L209" s="276"/>
      <c r="M209" s="276"/>
      <c r="N209" s="276"/>
      <c r="O209" s="276"/>
      <c r="P209" s="276"/>
      <c r="Q209" s="276"/>
      <c r="R209" s="276"/>
      <c r="S209" s="276"/>
      <c r="T209" s="276"/>
      <c r="U209" s="276"/>
      <c r="V209" s="276"/>
      <c r="W209" s="276"/>
      <c r="X209" s="276"/>
      <c r="Y209" s="276"/>
      <c r="Z209" s="276"/>
      <c r="AA209" s="276"/>
      <c r="AB209" s="276"/>
      <c r="AC209" s="276"/>
      <c r="AD209" s="276"/>
      <c r="AE209" s="276"/>
      <c r="AF209" s="276"/>
      <c r="AG209" s="276"/>
      <c r="AH209" s="276"/>
      <c r="AI209" s="276"/>
      <c r="AJ209" s="276"/>
      <c r="AK209" s="276"/>
      <c r="AL209" s="276"/>
      <c r="AM209" s="276"/>
      <c r="AN209" s="276"/>
      <c r="AO209" s="276"/>
      <c r="AP209" s="276"/>
      <c r="AQ209" s="276"/>
      <c r="AR209" s="276"/>
      <c r="AS209" s="276"/>
      <c r="AT209" s="276"/>
      <c r="AU209" s="276"/>
      <c r="AV209" s="276"/>
      <c r="AW209" s="276"/>
      <c r="AX209" s="276"/>
      <c r="AY209" s="276"/>
    </row>
    <row r="210" spans="1:51" ht="15.75" customHeight="1" x14ac:dyDescent="0.25">
      <c r="A210" s="276"/>
      <c r="B210" s="533"/>
      <c r="C210" s="353"/>
      <c r="D210" s="276"/>
      <c r="E210" s="276"/>
      <c r="F210" s="276"/>
      <c r="G210" s="276"/>
      <c r="H210" s="276"/>
      <c r="I210" s="276"/>
      <c r="J210" s="353"/>
      <c r="K210" s="276"/>
      <c r="L210" s="276"/>
      <c r="M210" s="276"/>
      <c r="N210" s="276"/>
      <c r="O210" s="276"/>
      <c r="P210" s="276"/>
      <c r="Q210" s="276"/>
      <c r="R210" s="276"/>
      <c r="S210" s="276"/>
      <c r="T210" s="276"/>
      <c r="U210" s="276"/>
      <c r="V210" s="276"/>
      <c r="W210" s="276"/>
      <c r="X210" s="276"/>
      <c r="Y210" s="276"/>
      <c r="Z210" s="276"/>
      <c r="AA210" s="276"/>
      <c r="AB210" s="276"/>
      <c r="AC210" s="276"/>
      <c r="AD210" s="276"/>
      <c r="AE210" s="276"/>
      <c r="AF210" s="276"/>
      <c r="AG210" s="276"/>
      <c r="AH210" s="276"/>
      <c r="AI210" s="276"/>
      <c r="AJ210" s="276"/>
      <c r="AK210" s="276"/>
      <c r="AL210" s="276"/>
      <c r="AM210" s="276"/>
      <c r="AN210" s="276"/>
      <c r="AO210" s="276"/>
      <c r="AP210" s="276"/>
      <c r="AQ210" s="276"/>
      <c r="AR210" s="276"/>
      <c r="AS210" s="276"/>
      <c r="AT210" s="276"/>
      <c r="AU210" s="276"/>
      <c r="AV210" s="276"/>
      <c r="AW210" s="276"/>
      <c r="AX210" s="276"/>
      <c r="AY210" s="276"/>
    </row>
    <row r="211" spans="1:51" ht="15.75" customHeight="1" x14ac:dyDescent="0.25">
      <c r="A211" s="276"/>
      <c r="B211" s="533"/>
      <c r="C211" s="353"/>
      <c r="D211" s="276"/>
      <c r="E211" s="276"/>
      <c r="F211" s="276"/>
      <c r="G211" s="276"/>
      <c r="H211" s="276"/>
      <c r="I211" s="276"/>
      <c r="J211" s="353"/>
      <c r="K211" s="276"/>
      <c r="L211" s="276"/>
      <c r="M211" s="276"/>
      <c r="N211" s="276"/>
      <c r="O211" s="276"/>
      <c r="P211" s="276"/>
      <c r="Q211" s="276"/>
      <c r="R211" s="276"/>
      <c r="S211" s="276"/>
      <c r="T211" s="276"/>
      <c r="U211" s="276"/>
      <c r="V211" s="276"/>
      <c r="W211" s="276"/>
      <c r="X211" s="276"/>
      <c r="Y211" s="276"/>
      <c r="Z211" s="276"/>
      <c r="AA211" s="276"/>
      <c r="AB211" s="276"/>
      <c r="AC211" s="276"/>
      <c r="AD211" s="276"/>
      <c r="AE211" s="276"/>
      <c r="AF211" s="276"/>
      <c r="AG211" s="276"/>
      <c r="AH211" s="276"/>
      <c r="AI211" s="276"/>
      <c r="AJ211" s="276"/>
      <c r="AK211" s="276"/>
      <c r="AL211" s="276"/>
      <c r="AM211" s="276"/>
      <c r="AN211" s="276"/>
      <c r="AO211" s="276"/>
      <c r="AP211" s="276"/>
      <c r="AQ211" s="276"/>
      <c r="AR211" s="276"/>
      <c r="AS211" s="276"/>
      <c r="AT211" s="276"/>
      <c r="AU211" s="276"/>
      <c r="AV211" s="276"/>
      <c r="AW211" s="276"/>
      <c r="AX211" s="276"/>
      <c r="AY211" s="276"/>
    </row>
    <row r="212" spans="1:51" ht="15.75" customHeight="1" x14ac:dyDescent="0.25">
      <c r="A212" s="276"/>
      <c r="B212" s="533"/>
      <c r="C212" s="353"/>
      <c r="D212" s="276"/>
      <c r="E212" s="276"/>
      <c r="F212" s="276"/>
      <c r="G212" s="276"/>
      <c r="H212" s="276"/>
      <c r="I212" s="276"/>
      <c r="J212" s="353"/>
      <c r="K212" s="276"/>
      <c r="L212" s="276"/>
      <c r="M212" s="276"/>
      <c r="N212" s="276"/>
      <c r="O212" s="276"/>
      <c r="P212" s="276"/>
      <c r="Q212" s="276"/>
      <c r="R212" s="276"/>
      <c r="S212" s="276"/>
      <c r="T212" s="276"/>
      <c r="U212" s="276"/>
      <c r="V212" s="276"/>
      <c r="W212" s="276"/>
      <c r="X212" s="276"/>
      <c r="Y212" s="276"/>
      <c r="Z212" s="276"/>
      <c r="AA212" s="276"/>
      <c r="AB212" s="276"/>
      <c r="AC212" s="276"/>
      <c r="AD212" s="276"/>
      <c r="AE212" s="276"/>
      <c r="AF212" s="276"/>
      <c r="AG212" s="276"/>
      <c r="AH212" s="276"/>
      <c r="AI212" s="276"/>
      <c r="AJ212" s="276"/>
      <c r="AK212" s="276"/>
      <c r="AL212" s="276"/>
      <c r="AM212" s="276"/>
      <c r="AN212" s="276"/>
      <c r="AO212" s="276"/>
      <c r="AP212" s="276"/>
      <c r="AQ212" s="276"/>
      <c r="AR212" s="276"/>
      <c r="AS212" s="276"/>
      <c r="AT212" s="276"/>
      <c r="AU212" s="276"/>
      <c r="AV212" s="276"/>
      <c r="AW212" s="276"/>
      <c r="AX212" s="276"/>
      <c r="AY212" s="276"/>
    </row>
    <row r="213" spans="1:51" ht="15.75" customHeight="1" x14ac:dyDescent="0.25">
      <c r="A213" s="276"/>
      <c r="B213" s="533"/>
      <c r="C213" s="353"/>
      <c r="D213" s="276"/>
      <c r="E213" s="276"/>
      <c r="F213" s="276"/>
      <c r="G213" s="276"/>
      <c r="H213" s="276"/>
      <c r="I213" s="276"/>
      <c r="J213" s="353"/>
      <c r="K213" s="276"/>
      <c r="L213" s="276"/>
      <c r="M213" s="276"/>
      <c r="N213" s="276"/>
      <c r="O213" s="276"/>
      <c r="P213" s="276"/>
      <c r="Q213" s="276"/>
      <c r="R213" s="276"/>
      <c r="S213" s="276"/>
      <c r="T213" s="276"/>
      <c r="U213" s="276"/>
      <c r="V213" s="276"/>
      <c r="W213" s="276"/>
      <c r="X213" s="276"/>
      <c r="Y213" s="276"/>
      <c r="Z213" s="276"/>
      <c r="AA213" s="276"/>
      <c r="AB213" s="276"/>
      <c r="AC213" s="276"/>
      <c r="AD213" s="276"/>
      <c r="AE213" s="276"/>
      <c r="AF213" s="276"/>
      <c r="AG213" s="276"/>
      <c r="AH213" s="276"/>
      <c r="AI213" s="276"/>
      <c r="AJ213" s="276"/>
      <c r="AK213" s="276"/>
      <c r="AL213" s="276"/>
      <c r="AM213" s="276"/>
      <c r="AN213" s="276"/>
      <c r="AO213" s="276"/>
      <c r="AP213" s="276"/>
      <c r="AQ213" s="276"/>
      <c r="AR213" s="276"/>
      <c r="AS213" s="276"/>
      <c r="AT213" s="276"/>
      <c r="AU213" s="276"/>
      <c r="AV213" s="276"/>
      <c r="AW213" s="276"/>
      <c r="AX213" s="276"/>
      <c r="AY213" s="276"/>
    </row>
    <row r="214" spans="1:51" ht="15.75" customHeight="1" x14ac:dyDescent="0.25">
      <c r="A214" s="276"/>
      <c r="B214" s="533"/>
      <c r="C214" s="353"/>
      <c r="D214" s="276"/>
      <c r="E214" s="276"/>
      <c r="F214" s="276"/>
      <c r="G214" s="276"/>
      <c r="H214" s="276"/>
      <c r="I214" s="276"/>
      <c r="J214" s="353"/>
      <c r="K214" s="276"/>
      <c r="L214" s="276"/>
      <c r="M214" s="276"/>
      <c r="N214" s="276"/>
      <c r="O214" s="276"/>
      <c r="P214" s="276"/>
      <c r="Q214" s="276"/>
      <c r="R214" s="276"/>
      <c r="S214" s="276"/>
      <c r="T214" s="276"/>
      <c r="U214" s="276"/>
      <c r="V214" s="276"/>
      <c r="W214" s="276"/>
      <c r="X214" s="276"/>
      <c r="Y214" s="276"/>
      <c r="Z214" s="276"/>
      <c r="AA214" s="276"/>
      <c r="AB214" s="276"/>
      <c r="AC214" s="276"/>
      <c r="AD214" s="276"/>
      <c r="AE214" s="276"/>
      <c r="AF214" s="276"/>
      <c r="AG214" s="276"/>
      <c r="AH214" s="276"/>
      <c r="AI214" s="276"/>
      <c r="AJ214" s="276"/>
      <c r="AK214" s="276"/>
      <c r="AL214" s="276"/>
      <c r="AM214" s="276"/>
      <c r="AN214" s="276"/>
      <c r="AO214" s="276"/>
      <c r="AP214" s="276"/>
      <c r="AQ214" s="276"/>
      <c r="AR214" s="276"/>
      <c r="AS214" s="276"/>
      <c r="AT214" s="276"/>
      <c r="AU214" s="276"/>
      <c r="AV214" s="276"/>
      <c r="AW214" s="276"/>
      <c r="AX214" s="276"/>
      <c r="AY214" s="276"/>
    </row>
    <row r="215" spans="1:51" ht="15.75" customHeight="1" x14ac:dyDescent="0.25">
      <c r="A215" s="276"/>
      <c r="B215" s="533"/>
      <c r="C215" s="353"/>
      <c r="D215" s="276"/>
      <c r="E215" s="276"/>
      <c r="F215" s="276"/>
      <c r="G215" s="276"/>
      <c r="H215" s="276"/>
      <c r="I215" s="276"/>
      <c r="J215" s="353"/>
      <c r="K215" s="276"/>
      <c r="L215" s="276"/>
      <c r="M215" s="276"/>
      <c r="N215" s="276"/>
      <c r="O215" s="276"/>
      <c r="P215" s="276"/>
      <c r="Q215" s="276"/>
      <c r="R215" s="276"/>
      <c r="S215" s="276"/>
      <c r="T215" s="276"/>
      <c r="U215" s="276"/>
      <c r="V215" s="276"/>
      <c r="W215" s="276"/>
      <c r="X215" s="276"/>
      <c r="Y215" s="276"/>
      <c r="Z215" s="276"/>
      <c r="AA215" s="276"/>
      <c r="AB215" s="276"/>
      <c r="AC215" s="276"/>
      <c r="AD215" s="276"/>
      <c r="AE215" s="276"/>
      <c r="AF215" s="276"/>
      <c r="AG215" s="276"/>
      <c r="AH215" s="276"/>
      <c r="AI215" s="276"/>
      <c r="AJ215" s="276"/>
      <c r="AK215" s="276"/>
      <c r="AL215" s="276"/>
      <c r="AM215" s="276"/>
      <c r="AN215" s="276"/>
      <c r="AO215" s="276"/>
      <c r="AP215" s="276"/>
      <c r="AQ215" s="276"/>
      <c r="AR215" s="276"/>
      <c r="AS215" s="276"/>
      <c r="AT215" s="276"/>
      <c r="AU215" s="276"/>
      <c r="AV215" s="276"/>
      <c r="AW215" s="276"/>
      <c r="AX215" s="276"/>
      <c r="AY215" s="276"/>
    </row>
    <row r="216" spans="1:51" ht="15.75" customHeight="1" x14ac:dyDescent="0.25">
      <c r="A216" s="276"/>
      <c r="B216" s="533"/>
      <c r="C216" s="353"/>
      <c r="D216" s="276"/>
      <c r="E216" s="276"/>
      <c r="F216" s="276"/>
      <c r="G216" s="276"/>
      <c r="H216" s="276"/>
      <c r="I216" s="276"/>
      <c r="J216" s="353"/>
      <c r="K216" s="276"/>
      <c r="L216" s="276"/>
      <c r="M216" s="276"/>
      <c r="N216" s="276"/>
      <c r="O216" s="276"/>
      <c r="P216" s="276"/>
      <c r="Q216" s="276"/>
      <c r="R216" s="276"/>
      <c r="S216" s="276"/>
      <c r="T216" s="276"/>
      <c r="U216" s="276"/>
      <c r="V216" s="276"/>
      <c r="W216" s="276"/>
      <c r="X216" s="276"/>
      <c r="Y216" s="276"/>
      <c r="Z216" s="276"/>
      <c r="AA216" s="276"/>
      <c r="AB216" s="276"/>
      <c r="AC216" s="276"/>
      <c r="AD216" s="276"/>
      <c r="AE216" s="276"/>
      <c r="AF216" s="276"/>
      <c r="AG216" s="276"/>
      <c r="AH216" s="276"/>
      <c r="AI216" s="276"/>
      <c r="AJ216" s="276"/>
      <c r="AK216" s="276"/>
      <c r="AL216" s="276"/>
      <c r="AM216" s="276"/>
      <c r="AN216" s="276"/>
      <c r="AO216" s="276"/>
      <c r="AP216" s="276"/>
      <c r="AQ216" s="276"/>
      <c r="AR216" s="276"/>
      <c r="AS216" s="276"/>
      <c r="AT216" s="276"/>
      <c r="AU216" s="276"/>
      <c r="AV216" s="276"/>
      <c r="AW216" s="276"/>
      <c r="AX216" s="276"/>
      <c r="AY216" s="276"/>
    </row>
    <row r="217" spans="1:51" ht="15.75" customHeight="1" x14ac:dyDescent="0.25">
      <c r="A217" s="276"/>
      <c r="B217" s="533"/>
      <c r="C217" s="353"/>
      <c r="D217" s="276"/>
      <c r="E217" s="276"/>
      <c r="F217" s="276"/>
      <c r="G217" s="276"/>
      <c r="H217" s="276"/>
      <c r="I217" s="276"/>
      <c r="J217" s="353"/>
      <c r="K217" s="276"/>
      <c r="L217" s="276"/>
      <c r="M217" s="276"/>
      <c r="N217" s="276"/>
      <c r="O217" s="276"/>
      <c r="P217" s="276"/>
      <c r="Q217" s="276"/>
      <c r="R217" s="276"/>
      <c r="S217" s="276"/>
      <c r="T217" s="276"/>
      <c r="U217" s="276"/>
      <c r="V217" s="276"/>
      <c r="W217" s="276"/>
      <c r="X217" s="276"/>
      <c r="Y217" s="276"/>
      <c r="Z217" s="276"/>
      <c r="AA217" s="276"/>
      <c r="AB217" s="276"/>
      <c r="AC217" s="276"/>
      <c r="AD217" s="276"/>
      <c r="AE217" s="276"/>
      <c r="AF217" s="276"/>
      <c r="AG217" s="276"/>
      <c r="AH217" s="276"/>
      <c r="AI217" s="276"/>
      <c r="AJ217" s="276"/>
      <c r="AK217" s="276"/>
      <c r="AL217" s="276"/>
      <c r="AM217" s="276"/>
      <c r="AN217" s="276"/>
      <c r="AO217" s="276"/>
      <c r="AP217" s="276"/>
      <c r="AQ217" s="276"/>
      <c r="AR217" s="276"/>
      <c r="AS217" s="276"/>
      <c r="AT217" s="276"/>
      <c r="AU217" s="276"/>
      <c r="AV217" s="276"/>
      <c r="AW217" s="276"/>
      <c r="AX217" s="276"/>
      <c r="AY217" s="276"/>
    </row>
    <row r="218" spans="1:51" ht="15.75" customHeight="1" x14ac:dyDescent="0.25">
      <c r="A218" s="276"/>
      <c r="B218" s="533"/>
      <c r="C218" s="353"/>
      <c r="D218" s="276"/>
      <c r="E218" s="276"/>
      <c r="F218" s="276"/>
      <c r="G218" s="276"/>
      <c r="H218" s="276"/>
      <c r="I218" s="276"/>
      <c r="J218" s="353"/>
      <c r="K218" s="276"/>
      <c r="L218" s="276"/>
      <c r="M218" s="276"/>
      <c r="N218" s="276"/>
      <c r="O218" s="276"/>
      <c r="P218" s="276"/>
      <c r="Q218" s="276"/>
      <c r="R218" s="276"/>
      <c r="S218" s="276"/>
      <c r="T218" s="276"/>
      <c r="U218" s="276"/>
      <c r="V218" s="276"/>
      <c r="W218" s="276"/>
      <c r="X218" s="276"/>
      <c r="Y218" s="276"/>
      <c r="Z218" s="276"/>
      <c r="AA218" s="276"/>
      <c r="AB218" s="276"/>
      <c r="AC218" s="276"/>
      <c r="AD218" s="276"/>
      <c r="AE218" s="276"/>
      <c r="AF218" s="276"/>
      <c r="AG218" s="276"/>
      <c r="AH218" s="276"/>
      <c r="AI218" s="276"/>
      <c r="AJ218" s="276"/>
      <c r="AK218" s="276"/>
      <c r="AL218" s="276"/>
      <c r="AM218" s="276"/>
      <c r="AN218" s="276"/>
      <c r="AO218" s="276"/>
      <c r="AP218" s="276"/>
      <c r="AQ218" s="276"/>
      <c r="AR218" s="276"/>
      <c r="AS218" s="276"/>
      <c r="AT218" s="276"/>
      <c r="AU218" s="276"/>
      <c r="AV218" s="276"/>
      <c r="AW218" s="276"/>
      <c r="AX218" s="276"/>
      <c r="AY218" s="276"/>
    </row>
    <row r="219" spans="1:51" ht="15.75" customHeight="1" x14ac:dyDescent="0.25">
      <c r="A219" s="276"/>
      <c r="B219" s="533"/>
      <c r="C219" s="353"/>
      <c r="D219" s="276"/>
      <c r="E219" s="276"/>
      <c r="F219" s="276"/>
      <c r="G219" s="276"/>
      <c r="H219" s="276"/>
      <c r="I219" s="276"/>
      <c r="J219" s="353"/>
      <c r="K219" s="276"/>
      <c r="L219" s="276"/>
      <c r="M219" s="276"/>
      <c r="N219" s="276"/>
      <c r="O219" s="276"/>
      <c r="P219" s="276"/>
      <c r="Q219" s="276"/>
      <c r="R219" s="276"/>
      <c r="S219" s="276"/>
      <c r="T219" s="276"/>
      <c r="U219" s="276"/>
      <c r="V219" s="276"/>
      <c r="W219" s="276"/>
      <c r="X219" s="276"/>
      <c r="Y219" s="276"/>
      <c r="Z219" s="276"/>
      <c r="AA219" s="276"/>
      <c r="AB219" s="276"/>
      <c r="AC219" s="276"/>
      <c r="AD219" s="276"/>
      <c r="AE219" s="276"/>
      <c r="AF219" s="276"/>
      <c r="AG219" s="276"/>
      <c r="AH219" s="276"/>
      <c r="AI219" s="276"/>
      <c r="AJ219" s="276"/>
      <c r="AK219" s="276"/>
      <c r="AL219" s="276"/>
      <c r="AM219" s="276"/>
      <c r="AN219" s="276"/>
      <c r="AO219" s="276"/>
      <c r="AP219" s="276"/>
      <c r="AQ219" s="276"/>
      <c r="AR219" s="276"/>
      <c r="AS219" s="276"/>
      <c r="AT219" s="276"/>
      <c r="AU219" s="276"/>
      <c r="AV219" s="276"/>
      <c r="AW219" s="276"/>
      <c r="AX219" s="276"/>
      <c r="AY219" s="276"/>
    </row>
    <row r="220" spans="1:51" ht="15.75" customHeight="1" x14ac:dyDescent="0.25">
      <c r="A220" s="276"/>
      <c r="B220" s="533"/>
      <c r="C220" s="353"/>
      <c r="D220" s="276"/>
      <c r="E220" s="276"/>
      <c r="F220" s="276"/>
      <c r="G220" s="276"/>
      <c r="H220" s="276"/>
      <c r="I220" s="276"/>
      <c r="J220" s="353"/>
      <c r="K220" s="276"/>
      <c r="L220" s="276"/>
      <c r="M220" s="276"/>
      <c r="N220" s="276"/>
      <c r="O220" s="276"/>
      <c r="P220" s="276"/>
      <c r="Q220" s="276"/>
      <c r="R220" s="276"/>
      <c r="S220" s="276"/>
      <c r="T220" s="276"/>
      <c r="U220" s="276"/>
      <c r="V220" s="276"/>
      <c r="W220" s="276"/>
      <c r="X220" s="276"/>
      <c r="Y220" s="276"/>
      <c r="Z220" s="276"/>
      <c r="AA220" s="276"/>
      <c r="AB220" s="276"/>
      <c r="AC220" s="276"/>
      <c r="AD220" s="276"/>
      <c r="AE220" s="276"/>
      <c r="AF220" s="276"/>
      <c r="AG220" s="276"/>
      <c r="AH220" s="276"/>
      <c r="AI220" s="276"/>
      <c r="AJ220" s="276"/>
      <c r="AK220" s="276"/>
      <c r="AL220" s="276"/>
      <c r="AM220" s="276"/>
      <c r="AN220" s="276"/>
      <c r="AO220" s="276"/>
      <c r="AP220" s="276"/>
      <c r="AQ220" s="276"/>
      <c r="AR220" s="276"/>
      <c r="AS220" s="276"/>
      <c r="AT220" s="276"/>
      <c r="AU220" s="276"/>
      <c r="AV220" s="276"/>
      <c r="AW220" s="276"/>
      <c r="AX220" s="276"/>
      <c r="AY220" s="276"/>
    </row>
    <row r="221" spans="1:51" ht="15.75" customHeight="1" x14ac:dyDescent="0.25">
      <c r="A221" s="276"/>
      <c r="B221" s="533"/>
      <c r="C221" s="353"/>
      <c r="D221" s="276"/>
      <c r="E221" s="276"/>
      <c r="F221" s="276"/>
      <c r="G221" s="276"/>
      <c r="H221" s="276"/>
      <c r="I221" s="276"/>
      <c r="J221" s="353"/>
      <c r="K221" s="276"/>
      <c r="L221" s="276"/>
      <c r="M221" s="276"/>
      <c r="N221" s="276"/>
      <c r="O221" s="276"/>
      <c r="P221" s="276"/>
      <c r="Q221" s="276"/>
      <c r="R221" s="276"/>
      <c r="S221" s="276"/>
      <c r="T221" s="276"/>
      <c r="U221" s="276"/>
      <c r="V221" s="276"/>
      <c r="W221" s="276"/>
      <c r="X221" s="276"/>
      <c r="Y221" s="276"/>
      <c r="Z221" s="276"/>
      <c r="AA221" s="276"/>
      <c r="AB221" s="276"/>
      <c r="AC221" s="276"/>
      <c r="AD221" s="276"/>
      <c r="AE221" s="276"/>
      <c r="AF221" s="276"/>
      <c r="AG221" s="276"/>
      <c r="AH221" s="276"/>
      <c r="AI221" s="276"/>
      <c r="AJ221" s="276"/>
      <c r="AK221" s="276"/>
      <c r="AL221" s="276"/>
      <c r="AM221" s="276"/>
      <c r="AN221" s="276"/>
      <c r="AO221" s="276"/>
      <c r="AP221" s="276"/>
      <c r="AQ221" s="276"/>
      <c r="AR221" s="276"/>
      <c r="AS221" s="276"/>
      <c r="AT221" s="276"/>
      <c r="AU221" s="276"/>
      <c r="AV221" s="276"/>
      <c r="AW221" s="276"/>
      <c r="AX221" s="276"/>
      <c r="AY221" s="276"/>
    </row>
    <row r="222" spans="1:51" ht="15.75" customHeight="1" x14ac:dyDescent="0.25">
      <c r="A222" s="276"/>
      <c r="B222" s="533"/>
      <c r="C222" s="353"/>
      <c r="D222" s="276"/>
      <c r="E222" s="276"/>
      <c r="F222" s="276"/>
      <c r="G222" s="276"/>
      <c r="H222" s="276"/>
      <c r="I222" s="276"/>
      <c r="J222" s="353"/>
      <c r="K222" s="276"/>
      <c r="L222" s="276"/>
      <c r="M222" s="276"/>
      <c r="N222" s="276"/>
      <c r="O222" s="276"/>
      <c r="P222" s="276"/>
      <c r="Q222" s="276"/>
      <c r="R222" s="276"/>
      <c r="S222" s="276"/>
      <c r="T222" s="276"/>
      <c r="U222" s="276"/>
      <c r="V222" s="276"/>
      <c r="W222" s="276"/>
      <c r="X222" s="276"/>
      <c r="Y222" s="276"/>
      <c r="Z222" s="276"/>
      <c r="AA222" s="276"/>
      <c r="AB222" s="276"/>
      <c r="AC222" s="276"/>
      <c r="AD222" s="276"/>
      <c r="AE222" s="276"/>
      <c r="AF222" s="276"/>
      <c r="AG222" s="276"/>
      <c r="AH222" s="276"/>
      <c r="AI222" s="276"/>
      <c r="AJ222" s="276"/>
      <c r="AK222" s="276"/>
      <c r="AL222" s="276"/>
      <c r="AM222" s="276"/>
      <c r="AN222" s="276"/>
      <c r="AO222" s="276"/>
      <c r="AP222" s="276"/>
      <c r="AQ222" s="276"/>
      <c r="AR222" s="276"/>
      <c r="AS222" s="276"/>
      <c r="AT222" s="276"/>
      <c r="AU222" s="276"/>
      <c r="AV222" s="276"/>
      <c r="AW222" s="276"/>
      <c r="AX222" s="276"/>
      <c r="AY222" s="276"/>
    </row>
    <row r="223" spans="1:51" ht="15.75" customHeight="1" x14ac:dyDescent="0.25">
      <c r="A223" s="276"/>
      <c r="B223" s="533"/>
      <c r="C223" s="353"/>
      <c r="D223" s="276"/>
      <c r="E223" s="276"/>
      <c r="F223" s="276"/>
      <c r="G223" s="276"/>
      <c r="H223" s="276"/>
      <c r="I223" s="276"/>
      <c r="J223" s="353"/>
      <c r="K223" s="276"/>
      <c r="L223" s="276"/>
      <c r="M223" s="276"/>
      <c r="N223" s="276"/>
      <c r="O223" s="276"/>
      <c r="P223" s="276"/>
      <c r="Q223" s="276"/>
      <c r="R223" s="276"/>
      <c r="S223" s="276"/>
      <c r="T223" s="276"/>
      <c r="U223" s="276"/>
      <c r="V223" s="276"/>
      <c r="W223" s="276"/>
      <c r="X223" s="276"/>
      <c r="Y223" s="276"/>
      <c r="Z223" s="276"/>
      <c r="AA223" s="276"/>
      <c r="AB223" s="276"/>
      <c r="AC223" s="276"/>
      <c r="AD223" s="276"/>
      <c r="AE223" s="276"/>
      <c r="AF223" s="276"/>
      <c r="AG223" s="276"/>
      <c r="AH223" s="276"/>
      <c r="AI223" s="276"/>
      <c r="AJ223" s="276"/>
      <c r="AK223" s="276"/>
      <c r="AL223" s="276"/>
      <c r="AM223" s="276"/>
      <c r="AN223" s="276"/>
      <c r="AO223" s="276"/>
      <c r="AP223" s="276"/>
      <c r="AQ223" s="276"/>
      <c r="AR223" s="276"/>
      <c r="AS223" s="276"/>
      <c r="AT223" s="276"/>
      <c r="AU223" s="276"/>
      <c r="AV223" s="276"/>
      <c r="AW223" s="276"/>
      <c r="AX223" s="276"/>
      <c r="AY223" s="276"/>
    </row>
    <row r="224" spans="1:51" ht="15.75" customHeight="1" x14ac:dyDescent="0.25">
      <c r="A224" s="276"/>
      <c r="B224" s="533"/>
      <c r="C224" s="353"/>
      <c r="D224" s="276"/>
      <c r="E224" s="276"/>
      <c r="F224" s="276"/>
      <c r="G224" s="276"/>
      <c r="H224" s="276"/>
      <c r="I224" s="276"/>
      <c r="J224" s="353"/>
      <c r="K224" s="276"/>
      <c r="L224" s="276"/>
      <c r="M224" s="276"/>
      <c r="N224" s="276"/>
      <c r="O224" s="276"/>
      <c r="P224" s="276"/>
      <c r="Q224" s="276"/>
      <c r="R224" s="276"/>
      <c r="S224" s="276"/>
      <c r="T224" s="276"/>
      <c r="U224" s="276"/>
      <c r="V224" s="276"/>
      <c r="W224" s="276"/>
      <c r="X224" s="276"/>
      <c r="Y224" s="276"/>
      <c r="Z224" s="276"/>
      <c r="AA224" s="276"/>
      <c r="AB224" s="276"/>
      <c r="AC224" s="276"/>
      <c r="AD224" s="276"/>
      <c r="AE224" s="276"/>
      <c r="AF224" s="276"/>
      <c r="AG224" s="276"/>
      <c r="AH224" s="276"/>
      <c r="AI224" s="276"/>
      <c r="AJ224" s="276"/>
      <c r="AK224" s="276"/>
      <c r="AL224" s="276"/>
      <c r="AM224" s="276"/>
      <c r="AN224" s="276"/>
      <c r="AO224" s="276"/>
      <c r="AP224" s="276"/>
      <c r="AQ224" s="276"/>
      <c r="AR224" s="276"/>
      <c r="AS224" s="276"/>
      <c r="AT224" s="276"/>
      <c r="AU224" s="276"/>
      <c r="AV224" s="276"/>
      <c r="AW224" s="276"/>
      <c r="AX224" s="276"/>
      <c r="AY224" s="276"/>
    </row>
    <row r="225" spans="1:51" ht="15.75" customHeight="1" x14ac:dyDescent="0.25">
      <c r="A225" s="276"/>
      <c r="B225" s="533"/>
      <c r="C225" s="353"/>
      <c r="D225" s="276"/>
      <c r="E225" s="276"/>
      <c r="F225" s="276"/>
      <c r="G225" s="276"/>
      <c r="H225" s="276"/>
      <c r="I225" s="276"/>
      <c r="J225" s="353"/>
      <c r="K225" s="276"/>
      <c r="L225" s="276"/>
      <c r="M225" s="276"/>
      <c r="N225" s="276"/>
      <c r="O225" s="276"/>
      <c r="P225" s="276"/>
      <c r="Q225" s="276"/>
      <c r="R225" s="276"/>
      <c r="S225" s="276"/>
      <c r="T225" s="276"/>
      <c r="U225" s="276"/>
      <c r="V225" s="276"/>
      <c r="W225" s="276"/>
      <c r="X225" s="276"/>
      <c r="Y225" s="276"/>
      <c r="Z225" s="276"/>
      <c r="AA225" s="276"/>
      <c r="AB225" s="276"/>
      <c r="AC225" s="276"/>
      <c r="AD225" s="276"/>
      <c r="AE225" s="276"/>
      <c r="AF225" s="276"/>
      <c r="AG225" s="276"/>
      <c r="AH225" s="276"/>
      <c r="AI225" s="276"/>
      <c r="AJ225" s="276"/>
      <c r="AK225" s="276"/>
      <c r="AL225" s="276"/>
      <c r="AM225" s="276"/>
      <c r="AN225" s="276"/>
      <c r="AO225" s="276"/>
      <c r="AP225" s="276"/>
      <c r="AQ225" s="276"/>
      <c r="AR225" s="276"/>
      <c r="AS225" s="276"/>
      <c r="AT225" s="276"/>
      <c r="AU225" s="276"/>
      <c r="AV225" s="276"/>
      <c r="AW225" s="276"/>
      <c r="AX225" s="276"/>
      <c r="AY225" s="276"/>
    </row>
    <row r="226" spans="1:51" ht="15.75" customHeight="1" x14ac:dyDescent="0.25">
      <c r="A226" s="276"/>
      <c r="B226" s="533"/>
      <c r="C226" s="353"/>
      <c r="D226" s="276"/>
      <c r="E226" s="276"/>
      <c r="F226" s="276"/>
      <c r="G226" s="276"/>
      <c r="H226" s="276"/>
      <c r="I226" s="276"/>
      <c r="J226" s="353"/>
      <c r="K226" s="276"/>
      <c r="L226" s="276"/>
      <c r="M226" s="276"/>
      <c r="N226" s="276"/>
      <c r="O226" s="276"/>
      <c r="P226" s="276"/>
      <c r="Q226" s="276"/>
      <c r="R226" s="276"/>
      <c r="S226" s="276"/>
      <c r="T226" s="276"/>
      <c r="U226" s="276"/>
      <c r="V226" s="276"/>
      <c r="W226" s="276"/>
      <c r="X226" s="276"/>
      <c r="Y226" s="276"/>
      <c r="Z226" s="276"/>
      <c r="AA226" s="276"/>
      <c r="AB226" s="276"/>
      <c r="AC226" s="276"/>
      <c r="AD226" s="276"/>
      <c r="AE226" s="276"/>
      <c r="AF226" s="276"/>
      <c r="AG226" s="276"/>
      <c r="AH226" s="276"/>
      <c r="AI226" s="276"/>
      <c r="AJ226" s="276"/>
      <c r="AK226" s="276"/>
      <c r="AL226" s="276"/>
      <c r="AM226" s="276"/>
      <c r="AN226" s="276"/>
      <c r="AO226" s="276"/>
      <c r="AP226" s="276"/>
      <c r="AQ226" s="276"/>
      <c r="AR226" s="276"/>
      <c r="AS226" s="276"/>
      <c r="AT226" s="276"/>
      <c r="AU226" s="276"/>
      <c r="AV226" s="276"/>
      <c r="AW226" s="276"/>
      <c r="AX226" s="276"/>
      <c r="AY226" s="276"/>
    </row>
    <row r="227" spans="1:51" ht="15.75" customHeight="1" x14ac:dyDescent="0.25">
      <c r="A227" s="276"/>
      <c r="B227" s="533"/>
      <c r="C227" s="353"/>
      <c r="D227" s="276"/>
      <c r="E227" s="276"/>
      <c r="F227" s="276"/>
      <c r="G227" s="276"/>
      <c r="H227" s="276"/>
      <c r="I227" s="276"/>
      <c r="J227" s="353"/>
      <c r="K227" s="276"/>
      <c r="L227" s="276"/>
      <c r="M227" s="276"/>
      <c r="N227" s="276"/>
      <c r="O227" s="276"/>
      <c r="P227" s="276"/>
      <c r="Q227" s="276"/>
      <c r="R227" s="276"/>
      <c r="S227" s="276"/>
      <c r="T227" s="276"/>
      <c r="U227" s="276"/>
      <c r="V227" s="276"/>
      <c r="W227" s="276"/>
      <c r="X227" s="276"/>
      <c r="Y227" s="276"/>
      <c r="Z227" s="276"/>
      <c r="AA227" s="276"/>
      <c r="AB227" s="276"/>
      <c r="AC227" s="276"/>
      <c r="AD227" s="276"/>
      <c r="AE227" s="276"/>
      <c r="AF227" s="276"/>
      <c r="AG227" s="276"/>
      <c r="AH227" s="276"/>
      <c r="AI227" s="276"/>
      <c r="AJ227" s="276"/>
      <c r="AK227" s="276"/>
      <c r="AL227" s="276"/>
      <c r="AM227" s="276"/>
      <c r="AN227" s="276"/>
      <c r="AO227" s="276"/>
      <c r="AP227" s="276"/>
      <c r="AQ227" s="276"/>
      <c r="AR227" s="276"/>
      <c r="AS227" s="276"/>
      <c r="AT227" s="276"/>
      <c r="AU227" s="276"/>
      <c r="AV227" s="276"/>
      <c r="AW227" s="276"/>
      <c r="AX227" s="276"/>
      <c r="AY227" s="276"/>
    </row>
    <row r="228" spans="1:51" ht="15.75" customHeight="1" x14ac:dyDescent="0.25">
      <c r="A228" s="276"/>
      <c r="B228" s="533"/>
      <c r="C228" s="353"/>
      <c r="D228" s="276"/>
      <c r="E228" s="276"/>
      <c r="F228" s="276"/>
      <c r="G228" s="276"/>
      <c r="H228" s="276"/>
      <c r="I228" s="276"/>
      <c r="J228" s="353"/>
      <c r="K228" s="276"/>
      <c r="L228" s="276"/>
      <c r="M228" s="276"/>
      <c r="N228" s="276"/>
      <c r="O228" s="276"/>
      <c r="P228" s="276"/>
      <c r="Q228" s="276"/>
      <c r="R228" s="276"/>
      <c r="S228" s="276"/>
      <c r="T228" s="276"/>
      <c r="U228" s="276"/>
      <c r="V228" s="276"/>
      <c r="W228" s="276"/>
      <c r="X228" s="276"/>
      <c r="Y228" s="276"/>
      <c r="Z228" s="276"/>
      <c r="AA228" s="276"/>
      <c r="AB228" s="276"/>
      <c r="AC228" s="276"/>
      <c r="AD228" s="276"/>
      <c r="AE228" s="276"/>
      <c r="AF228" s="276"/>
      <c r="AG228" s="276"/>
      <c r="AH228" s="276"/>
      <c r="AI228" s="276"/>
      <c r="AJ228" s="276"/>
      <c r="AK228" s="276"/>
      <c r="AL228" s="276"/>
      <c r="AM228" s="276"/>
      <c r="AN228" s="276"/>
      <c r="AO228" s="276"/>
      <c r="AP228" s="276"/>
      <c r="AQ228" s="276"/>
      <c r="AR228" s="276"/>
      <c r="AS228" s="276"/>
      <c r="AT228" s="276"/>
      <c r="AU228" s="276"/>
      <c r="AV228" s="276"/>
      <c r="AW228" s="276"/>
      <c r="AX228" s="276"/>
      <c r="AY228" s="276"/>
    </row>
    <row r="229" spans="1:51" ht="15.75" customHeight="1" x14ac:dyDescent="0.25">
      <c r="A229" s="276"/>
      <c r="B229" s="533"/>
      <c r="C229" s="353"/>
      <c r="D229" s="276"/>
      <c r="E229" s="276"/>
      <c r="F229" s="276"/>
      <c r="G229" s="276"/>
      <c r="H229" s="276"/>
      <c r="I229" s="276"/>
      <c r="J229" s="353"/>
      <c r="K229" s="276"/>
      <c r="L229" s="276"/>
      <c r="M229" s="276"/>
      <c r="N229" s="276"/>
      <c r="O229" s="276"/>
      <c r="P229" s="276"/>
      <c r="Q229" s="276"/>
      <c r="R229" s="276"/>
      <c r="S229" s="276"/>
      <c r="T229" s="276"/>
      <c r="U229" s="276"/>
      <c r="V229" s="276"/>
      <c r="W229" s="276"/>
      <c r="X229" s="276"/>
      <c r="Y229" s="276"/>
      <c r="Z229" s="276"/>
      <c r="AA229" s="276"/>
      <c r="AB229" s="276"/>
      <c r="AC229" s="276"/>
      <c r="AD229" s="276"/>
      <c r="AE229" s="276"/>
      <c r="AF229" s="276"/>
      <c r="AG229" s="276"/>
      <c r="AH229" s="276"/>
      <c r="AI229" s="276"/>
      <c r="AJ229" s="276"/>
      <c r="AK229" s="276"/>
      <c r="AL229" s="276"/>
      <c r="AM229" s="276"/>
      <c r="AN229" s="276"/>
      <c r="AO229" s="276"/>
      <c r="AP229" s="276"/>
      <c r="AQ229" s="276"/>
      <c r="AR229" s="276"/>
      <c r="AS229" s="276"/>
      <c r="AT229" s="276"/>
      <c r="AU229" s="276"/>
      <c r="AV229" s="276"/>
      <c r="AW229" s="276"/>
      <c r="AX229" s="276"/>
      <c r="AY229" s="276"/>
    </row>
    <row r="230" spans="1:51" ht="15.75" customHeight="1" x14ac:dyDescent="0.25">
      <c r="A230" s="276"/>
      <c r="B230" s="533"/>
      <c r="C230" s="353"/>
      <c r="D230" s="276"/>
      <c r="E230" s="276"/>
      <c r="F230" s="276"/>
      <c r="G230" s="276"/>
      <c r="H230" s="276"/>
      <c r="I230" s="276"/>
      <c r="J230" s="353"/>
      <c r="K230" s="276"/>
      <c r="L230" s="276"/>
      <c r="M230" s="276"/>
      <c r="N230" s="276"/>
      <c r="O230" s="276"/>
      <c r="P230" s="276"/>
      <c r="Q230" s="276"/>
      <c r="R230" s="276"/>
      <c r="S230" s="276"/>
      <c r="T230" s="276"/>
      <c r="U230" s="276"/>
      <c r="V230" s="276"/>
      <c r="W230" s="276"/>
      <c r="X230" s="276"/>
      <c r="Y230" s="276"/>
      <c r="Z230" s="276"/>
      <c r="AA230" s="276"/>
      <c r="AB230" s="276"/>
      <c r="AC230" s="276"/>
      <c r="AD230" s="276"/>
      <c r="AE230" s="276"/>
      <c r="AF230" s="276"/>
      <c r="AG230" s="276"/>
      <c r="AH230" s="276"/>
      <c r="AI230" s="276"/>
      <c r="AJ230" s="276"/>
      <c r="AK230" s="276"/>
      <c r="AL230" s="276"/>
      <c r="AM230" s="276"/>
      <c r="AN230" s="276"/>
      <c r="AO230" s="276"/>
      <c r="AP230" s="276"/>
      <c r="AQ230" s="276"/>
      <c r="AR230" s="276"/>
      <c r="AS230" s="276"/>
      <c r="AT230" s="276"/>
      <c r="AU230" s="276"/>
      <c r="AV230" s="276"/>
      <c r="AW230" s="276"/>
      <c r="AX230" s="276"/>
      <c r="AY230" s="276"/>
    </row>
    <row r="231" spans="1:51" ht="15.75" customHeight="1" x14ac:dyDescent="0.25">
      <c r="A231" s="276"/>
      <c r="B231" s="533"/>
      <c r="C231" s="353"/>
      <c r="D231" s="276"/>
      <c r="E231" s="276"/>
      <c r="F231" s="276"/>
      <c r="G231" s="276"/>
      <c r="H231" s="276"/>
      <c r="I231" s="276"/>
      <c r="J231" s="353"/>
      <c r="K231" s="276"/>
      <c r="L231" s="276"/>
      <c r="M231" s="276"/>
      <c r="N231" s="276"/>
      <c r="O231" s="276"/>
      <c r="P231" s="276"/>
      <c r="Q231" s="276"/>
      <c r="R231" s="276"/>
      <c r="S231" s="276"/>
      <c r="T231" s="276"/>
      <c r="U231" s="276"/>
      <c r="V231" s="276"/>
      <c r="W231" s="276"/>
      <c r="X231" s="276"/>
      <c r="Y231" s="276"/>
      <c r="Z231" s="276"/>
      <c r="AA231" s="276"/>
      <c r="AB231" s="276"/>
      <c r="AC231" s="276"/>
      <c r="AD231" s="276"/>
      <c r="AE231" s="276"/>
      <c r="AF231" s="276"/>
      <c r="AG231" s="276"/>
      <c r="AH231" s="276"/>
      <c r="AI231" s="276"/>
      <c r="AJ231" s="276"/>
      <c r="AK231" s="276"/>
      <c r="AL231" s="276"/>
      <c r="AM231" s="276"/>
      <c r="AN231" s="276"/>
      <c r="AO231" s="276"/>
      <c r="AP231" s="276"/>
      <c r="AQ231" s="276"/>
      <c r="AR231" s="276"/>
      <c r="AS231" s="276"/>
      <c r="AT231" s="276"/>
      <c r="AU231" s="276"/>
      <c r="AV231" s="276"/>
      <c r="AW231" s="276"/>
      <c r="AX231" s="276"/>
      <c r="AY231" s="276"/>
    </row>
    <row r="232" spans="1:51" ht="15.75" customHeight="1" x14ac:dyDescent="0.25">
      <c r="A232" s="276"/>
      <c r="B232" s="533"/>
      <c r="C232" s="353"/>
      <c r="D232" s="276"/>
      <c r="E232" s="276"/>
      <c r="F232" s="276"/>
      <c r="G232" s="276"/>
      <c r="H232" s="276"/>
      <c r="I232" s="276"/>
      <c r="J232" s="353"/>
      <c r="K232" s="276"/>
      <c r="L232" s="276"/>
      <c r="M232" s="276"/>
      <c r="N232" s="276"/>
      <c r="O232" s="276"/>
      <c r="P232" s="276"/>
      <c r="Q232" s="276"/>
      <c r="R232" s="276"/>
      <c r="S232" s="276"/>
      <c r="T232" s="276"/>
      <c r="U232" s="276"/>
      <c r="V232" s="276"/>
      <c r="W232" s="276"/>
      <c r="X232" s="276"/>
      <c r="Y232" s="276"/>
      <c r="Z232" s="276"/>
      <c r="AA232" s="276"/>
      <c r="AB232" s="276"/>
      <c r="AC232" s="276"/>
      <c r="AD232" s="276"/>
      <c r="AE232" s="276"/>
      <c r="AF232" s="276"/>
      <c r="AG232" s="276"/>
      <c r="AH232" s="276"/>
      <c r="AI232" s="276"/>
      <c r="AJ232" s="276"/>
      <c r="AK232" s="276"/>
      <c r="AL232" s="276"/>
      <c r="AM232" s="276"/>
      <c r="AN232" s="276"/>
      <c r="AO232" s="276"/>
      <c r="AP232" s="276"/>
      <c r="AQ232" s="276"/>
      <c r="AR232" s="276"/>
      <c r="AS232" s="276"/>
      <c r="AT232" s="276"/>
      <c r="AU232" s="276"/>
      <c r="AV232" s="276"/>
      <c r="AW232" s="276"/>
      <c r="AX232" s="276"/>
      <c r="AY232" s="276"/>
    </row>
    <row r="233" spans="1:51" ht="15.75" customHeight="1" x14ac:dyDescent="0.25">
      <c r="A233" s="276"/>
      <c r="B233" s="533"/>
      <c r="C233" s="353"/>
      <c r="D233" s="276"/>
      <c r="E233" s="276"/>
      <c r="F233" s="276"/>
      <c r="G233" s="276"/>
      <c r="H233" s="276"/>
      <c r="I233" s="276"/>
      <c r="J233" s="353"/>
      <c r="K233" s="276"/>
      <c r="L233" s="276"/>
      <c r="M233" s="276"/>
      <c r="N233" s="276"/>
      <c r="O233" s="276"/>
      <c r="P233" s="276"/>
      <c r="Q233" s="276"/>
      <c r="R233" s="276"/>
      <c r="S233" s="276"/>
      <c r="T233" s="276"/>
      <c r="U233" s="276"/>
      <c r="V233" s="276"/>
      <c r="W233" s="276"/>
      <c r="X233" s="276"/>
      <c r="Y233" s="276"/>
      <c r="Z233" s="276"/>
      <c r="AA233" s="276"/>
      <c r="AB233" s="276"/>
      <c r="AC233" s="276"/>
      <c r="AD233" s="276"/>
      <c r="AE233" s="276"/>
      <c r="AF233" s="276"/>
      <c r="AG233" s="276"/>
      <c r="AH233" s="276"/>
      <c r="AI233" s="276"/>
      <c r="AJ233" s="276"/>
      <c r="AK233" s="276"/>
      <c r="AL233" s="276"/>
      <c r="AM233" s="276"/>
      <c r="AN233" s="276"/>
      <c r="AO233" s="276"/>
      <c r="AP233" s="276"/>
      <c r="AQ233" s="276"/>
      <c r="AR233" s="276"/>
      <c r="AS233" s="276"/>
      <c r="AT233" s="276"/>
      <c r="AU233" s="276"/>
      <c r="AV233" s="276"/>
      <c r="AW233" s="276"/>
      <c r="AX233" s="276"/>
      <c r="AY233" s="276"/>
    </row>
    <row r="234" spans="1:51" ht="15.75" customHeight="1" x14ac:dyDescent="0.25">
      <c r="A234" s="276"/>
      <c r="B234" s="533"/>
      <c r="C234" s="353"/>
      <c r="D234" s="276"/>
      <c r="E234" s="276"/>
      <c r="F234" s="276"/>
      <c r="G234" s="276"/>
      <c r="H234" s="276"/>
      <c r="I234" s="276"/>
      <c r="J234" s="353"/>
      <c r="K234" s="276"/>
      <c r="L234" s="276"/>
      <c r="M234" s="276"/>
      <c r="N234" s="276"/>
      <c r="O234" s="276"/>
      <c r="P234" s="276"/>
      <c r="Q234" s="276"/>
      <c r="R234" s="276"/>
      <c r="S234" s="276"/>
      <c r="T234" s="276"/>
      <c r="U234" s="276"/>
      <c r="V234" s="276"/>
      <c r="W234" s="276"/>
      <c r="X234" s="276"/>
      <c r="Y234" s="276"/>
      <c r="Z234" s="276"/>
      <c r="AA234" s="276"/>
      <c r="AB234" s="276"/>
      <c r="AC234" s="276"/>
      <c r="AD234" s="276"/>
      <c r="AE234" s="276"/>
      <c r="AF234" s="276"/>
      <c r="AG234" s="276"/>
      <c r="AH234" s="276"/>
      <c r="AI234" s="276"/>
      <c r="AJ234" s="276"/>
      <c r="AK234" s="276"/>
      <c r="AL234" s="276"/>
      <c r="AM234" s="276"/>
      <c r="AN234" s="276"/>
      <c r="AO234" s="276"/>
      <c r="AP234" s="276"/>
      <c r="AQ234" s="276"/>
      <c r="AR234" s="276"/>
      <c r="AS234" s="276"/>
      <c r="AT234" s="276"/>
      <c r="AU234" s="276"/>
      <c r="AV234" s="276"/>
      <c r="AW234" s="276"/>
      <c r="AX234" s="276"/>
      <c r="AY234" s="276"/>
    </row>
    <row r="235" spans="1:51" ht="15.75" customHeight="1" x14ac:dyDescent="0.25">
      <c r="A235" s="276"/>
      <c r="B235" s="533"/>
      <c r="C235" s="353"/>
      <c r="D235" s="276"/>
      <c r="E235" s="276"/>
      <c r="F235" s="276"/>
      <c r="G235" s="276"/>
      <c r="H235" s="276"/>
      <c r="I235" s="276"/>
      <c r="J235" s="353"/>
      <c r="K235" s="276"/>
      <c r="L235" s="276"/>
      <c r="M235" s="276"/>
      <c r="N235" s="276"/>
      <c r="O235" s="276"/>
      <c r="P235" s="276"/>
      <c r="Q235" s="276"/>
      <c r="R235" s="276"/>
      <c r="S235" s="276"/>
      <c r="T235" s="276"/>
      <c r="U235" s="276"/>
      <c r="V235" s="276"/>
      <c r="W235" s="276"/>
      <c r="X235" s="276"/>
      <c r="Y235" s="276"/>
      <c r="Z235" s="276"/>
      <c r="AA235" s="276"/>
      <c r="AB235" s="276"/>
      <c r="AC235" s="276"/>
      <c r="AD235" s="276"/>
      <c r="AE235" s="276"/>
      <c r="AF235" s="276"/>
      <c r="AG235" s="276"/>
      <c r="AH235" s="276"/>
      <c r="AI235" s="276"/>
      <c r="AJ235" s="276"/>
      <c r="AK235" s="276"/>
      <c r="AL235" s="276"/>
      <c r="AM235" s="276"/>
      <c r="AN235" s="276"/>
      <c r="AO235" s="276"/>
      <c r="AP235" s="276"/>
      <c r="AQ235" s="276"/>
      <c r="AR235" s="276"/>
      <c r="AS235" s="276"/>
      <c r="AT235" s="276"/>
      <c r="AU235" s="276"/>
      <c r="AV235" s="276"/>
      <c r="AW235" s="276"/>
      <c r="AX235" s="276"/>
      <c r="AY235" s="276"/>
    </row>
    <row r="236" spans="1:51" ht="15.75" customHeight="1" x14ac:dyDescent="0.25">
      <c r="A236" s="276"/>
      <c r="B236" s="533"/>
      <c r="C236" s="353"/>
      <c r="D236" s="276"/>
      <c r="E236" s="276"/>
      <c r="F236" s="276"/>
      <c r="G236" s="276"/>
      <c r="H236" s="276"/>
      <c r="I236" s="276"/>
      <c r="J236" s="353"/>
      <c r="K236" s="276"/>
      <c r="L236" s="276"/>
      <c r="M236" s="276"/>
      <c r="N236" s="276"/>
      <c r="O236" s="276"/>
      <c r="P236" s="276"/>
      <c r="Q236" s="276"/>
      <c r="R236" s="276"/>
      <c r="S236" s="276"/>
      <c r="T236" s="276"/>
      <c r="U236" s="276"/>
      <c r="V236" s="276"/>
      <c r="W236" s="276"/>
      <c r="X236" s="276"/>
      <c r="Y236" s="276"/>
      <c r="Z236" s="276"/>
      <c r="AA236" s="276"/>
      <c r="AB236" s="276"/>
      <c r="AC236" s="276"/>
      <c r="AD236" s="276"/>
      <c r="AE236" s="276"/>
      <c r="AF236" s="276"/>
      <c r="AG236" s="276"/>
      <c r="AH236" s="276"/>
      <c r="AI236" s="276"/>
      <c r="AJ236" s="276"/>
      <c r="AK236" s="276"/>
      <c r="AL236" s="276"/>
      <c r="AM236" s="276"/>
      <c r="AN236" s="276"/>
      <c r="AO236" s="276"/>
      <c r="AP236" s="276"/>
      <c r="AQ236" s="276"/>
      <c r="AR236" s="276"/>
      <c r="AS236" s="276"/>
      <c r="AT236" s="276"/>
      <c r="AU236" s="276"/>
      <c r="AV236" s="276"/>
      <c r="AW236" s="276"/>
      <c r="AX236" s="276"/>
      <c r="AY236" s="276"/>
    </row>
    <row r="237" spans="1:51" ht="15.75" customHeight="1" x14ac:dyDescent="0.25">
      <c r="A237" s="276"/>
      <c r="B237" s="533"/>
      <c r="C237" s="353"/>
      <c r="D237" s="276"/>
      <c r="E237" s="276"/>
      <c r="F237" s="276"/>
      <c r="G237" s="276"/>
      <c r="H237" s="276"/>
      <c r="I237" s="276"/>
      <c r="J237" s="353"/>
      <c r="K237" s="276"/>
      <c r="L237" s="276"/>
      <c r="M237" s="276"/>
      <c r="N237" s="276"/>
      <c r="O237" s="276"/>
      <c r="P237" s="276"/>
      <c r="Q237" s="276"/>
      <c r="R237" s="276"/>
      <c r="S237" s="276"/>
      <c r="T237" s="276"/>
      <c r="U237" s="276"/>
      <c r="V237" s="276"/>
      <c r="W237" s="276"/>
      <c r="X237" s="276"/>
      <c r="Y237" s="276"/>
      <c r="Z237" s="276"/>
      <c r="AA237" s="276"/>
      <c r="AB237" s="276"/>
      <c r="AC237" s="276"/>
      <c r="AD237" s="276"/>
      <c r="AE237" s="276"/>
      <c r="AF237" s="276"/>
      <c r="AG237" s="276"/>
      <c r="AH237" s="276"/>
      <c r="AI237" s="276"/>
      <c r="AJ237" s="276"/>
      <c r="AK237" s="276"/>
      <c r="AL237" s="276"/>
      <c r="AM237" s="276"/>
      <c r="AN237" s="276"/>
      <c r="AO237" s="276"/>
      <c r="AP237" s="276"/>
      <c r="AQ237" s="276"/>
      <c r="AR237" s="276"/>
      <c r="AS237" s="276"/>
      <c r="AT237" s="276"/>
      <c r="AU237" s="276"/>
      <c r="AV237" s="276"/>
      <c r="AW237" s="276"/>
      <c r="AX237" s="276"/>
      <c r="AY237" s="276"/>
    </row>
    <row r="238" spans="1:51" ht="15.75" customHeight="1" x14ac:dyDescent="0.25">
      <c r="A238" s="276"/>
      <c r="B238" s="533"/>
      <c r="C238" s="353"/>
      <c r="D238" s="276"/>
      <c r="E238" s="276"/>
      <c r="F238" s="276"/>
      <c r="G238" s="276"/>
      <c r="H238" s="276"/>
      <c r="I238" s="276"/>
      <c r="J238" s="353"/>
      <c r="K238" s="276"/>
      <c r="L238" s="276"/>
      <c r="M238" s="276"/>
      <c r="N238" s="276"/>
      <c r="O238" s="276"/>
      <c r="P238" s="276"/>
      <c r="Q238" s="276"/>
      <c r="R238" s="276"/>
      <c r="S238" s="276"/>
      <c r="T238" s="276"/>
      <c r="U238" s="276"/>
      <c r="V238" s="276"/>
      <c r="W238" s="276"/>
      <c r="X238" s="276"/>
      <c r="Y238" s="276"/>
      <c r="Z238" s="276"/>
      <c r="AA238" s="276"/>
      <c r="AB238" s="276"/>
      <c r="AC238" s="276"/>
      <c r="AD238" s="276"/>
      <c r="AE238" s="276"/>
      <c r="AF238" s="276"/>
      <c r="AG238" s="276"/>
      <c r="AH238" s="276"/>
      <c r="AI238" s="276"/>
      <c r="AJ238" s="276"/>
      <c r="AK238" s="276"/>
      <c r="AL238" s="276"/>
      <c r="AM238" s="276"/>
      <c r="AN238" s="276"/>
      <c r="AO238" s="276"/>
      <c r="AP238" s="276"/>
      <c r="AQ238" s="276"/>
      <c r="AR238" s="276"/>
      <c r="AS238" s="276"/>
      <c r="AT238" s="276"/>
      <c r="AU238" s="276"/>
      <c r="AV238" s="276"/>
      <c r="AW238" s="276"/>
      <c r="AX238" s="276"/>
      <c r="AY238" s="276"/>
    </row>
    <row r="239" spans="1:51" ht="15.75" customHeight="1" x14ac:dyDescent="0.25">
      <c r="A239" s="276"/>
      <c r="B239" s="533"/>
      <c r="C239" s="353"/>
      <c r="D239" s="276"/>
      <c r="E239" s="276"/>
      <c r="F239" s="276"/>
      <c r="G239" s="276"/>
      <c r="H239" s="276"/>
      <c r="I239" s="276"/>
      <c r="J239" s="353"/>
      <c r="K239" s="276"/>
      <c r="L239" s="276"/>
      <c r="M239" s="276"/>
      <c r="N239" s="276"/>
      <c r="O239" s="276"/>
      <c r="P239" s="276"/>
      <c r="Q239" s="276"/>
      <c r="R239" s="276"/>
      <c r="S239" s="276"/>
      <c r="T239" s="276"/>
      <c r="U239" s="276"/>
      <c r="V239" s="276"/>
      <c r="W239" s="276"/>
      <c r="X239" s="276"/>
      <c r="Y239" s="276"/>
      <c r="Z239" s="276"/>
      <c r="AA239" s="276"/>
      <c r="AB239" s="276"/>
      <c r="AC239" s="276"/>
      <c r="AD239" s="276"/>
      <c r="AE239" s="276"/>
      <c r="AF239" s="276"/>
      <c r="AG239" s="276"/>
      <c r="AH239" s="276"/>
      <c r="AI239" s="276"/>
      <c r="AJ239" s="276"/>
      <c r="AK239" s="276"/>
      <c r="AL239" s="276"/>
      <c r="AM239" s="276"/>
      <c r="AN239" s="276"/>
      <c r="AO239" s="276"/>
      <c r="AP239" s="276"/>
      <c r="AQ239" s="276"/>
      <c r="AR239" s="276"/>
      <c r="AS239" s="276"/>
      <c r="AT239" s="276"/>
      <c r="AU239" s="276"/>
      <c r="AV239" s="276"/>
      <c r="AW239" s="276"/>
      <c r="AX239" s="276"/>
      <c r="AY239" s="276"/>
    </row>
    <row r="240" spans="1:51" ht="15.75" customHeight="1" x14ac:dyDescent="0.25">
      <c r="A240" s="276"/>
      <c r="B240" s="533"/>
      <c r="C240" s="353"/>
      <c r="D240" s="276"/>
      <c r="E240" s="276"/>
      <c r="F240" s="276"/>
      <c r="G240" s="276"/>
      <c r="H240" s="276"/>
      <c r="I240" s="276"/>
      <c r="J240" s="353"/>
      <c r="K240" s="276"/>
      <c r="L240" s="276"/>
      <c r="M240" s="276"/>
      <c r="N240" s="276"/>
      <c r="O240" s="276"/>
      <c r="P240" s="276"/>
      <c r="Q240" s="276"/>
      <c r="R240" s="276"/>
      <c r="S240" s="276"/>
      <c r="T240" s="276"/>
      <c r="U240" s="276"/>
      <c r="V240" s="276"/>
      <c r="W240" s="276"/>
      <c r="X240" s="276"/>
      <c r="Y240" s="276"/>
      <c r="Z240" s="276"/>
      <c r="AA240" s="276"/>
      <c r="AB240" s="276"/>
      <c r="AC240" s="276"/>
      <c r="AD240" s="276"/>
      <c r="AE240" s="276"/>
      <c r="AF240" s="276"/>
      <c r="AG240" s="276"/>
      <c r="AH240" s="276"/>
      <c r="AI240" s="276"/>
      <c r="AJ240" s="276"/>
      <c r="AK240" s="276"/>
      <c r="AL240" s="276"/>
      <c r="AM240" s="276"/>
      <c r="AN240" s="276"/>
      <c r="AO240" s="276"/>
      <c r="AP240" s="276"/>
      <c r="AQ240" s="276"/>
      <c r="AR240" s="276"/>
      <c r="AS240" s="276"/>
      <c r="AT240" s="276"/>
      <c r="AU240" s="276"/>
      <c r="AV240" s="276"/>
      <c r="AW240" s="276"/>
      <c r="AX240" s="276"/>
      <c r="AY240" s="276"/>
    </row>
    <row r="241" spans="1:51" ht="15.75" customHeight="1" x14ac:dyDescent="0.25">
      <c r="A241" s="276"/>
      <c r="B241" s="533"/>
      <c r="C241" s="353"/>
      <c r="D241" s="276"/>
      <c r="E241" s="276"/>
      <c r="F241" s="276"/>
      <c r="G241" s="276"/>
      <c r="H241" s="276"/>
      <c r="I241" s="276"/>
      <c r="J241" s="353"/>
      <c r="K241" s="276"/>
      <c r="L241" s="276"/>
      <c r="M241" s="276"/>
      <c r="N241" s="276"/>
      <c r="O241" s="276"/>
      <c r="P241" s="276"/>
      <c r="Q241" s="276"/>
      <c r="R241" s="276"/>
      <c r="S241" s="276"/>
      <c r="T241" s="276"/>
      <c r="U241" s="276"/>
      <c r="V241" s="276"/>
      <c r="W241" s="276"/>
      <c r="X241" s="276"/>
      <c r="Y241" s="276"/>
      <c r="Z241" s="276"/>
      <c r="AA241" s="276"/>
      <c r="AB241" s="276"/>
      <c r="AC241" s="276"/>
      <c r="AD241" s="276"/>
      <c r="AE241" s="276"/>
      <c r="AF241" s="276"/>
      <c r="AG241" s="276"/>
      <c r="AH241" s="276"/>
      <c r="AI241" s="276"/>
      <c r="AJ241" s="276"/>
      <c r="AK241" s="276"/>
      <c r="AL241" s="276"/>
      <c r="AM241" s="276"/>
      <c r="AN241" s="276"/>
      <c r="AO241" s="276"/>
      <c r="AP241" s="276"/>
      <c r="AQ241" s="276"/>
      <c r="AR241" s="276"/>
      <c r="AS241" s="276"/>
      <c r="AT241" s="276"/>
      <c r="AU241" s="276"/>
      <c r="AV241" s="276"/>
      <c r="AW241" s="276"/>
      <c r="AX241" s="276"/>
      <c r="AY241" s="276"/>
    </row>
    <row r="242" spans="1:51" ht="15.75" customHeight="1" x14ac:dyDescent="0.25">
      <c r="A242" s="276"/>
      <c r="B242" s="533"/>
      <c r="C242" s="353"/>
      <c r="D242" s="276"/>
      <c r="E242" s="276"/>
      <c r="F242" s="276"/>
      <c r="G242" s="276"/>
      <c r="H242" s="276"/>
      <c r="I242" s="276"/>
      <c r="J242" s="353"/>
      <c r="K242" s="276"/>
      <c r="L242" s="276"/>
      <c r="M242" s="276"/>
      <c r="N242" s="276"/>
      <c r="O242" s="276"/>
      <c r="P242" s="276"/>
      <c r="Q242" s="276"/>
      <c r="R242" s="276"/>
      <c r="S242" s="276"/>
      <c r="T242" s="276"/>
      <c r="U242" s="276"/>
      <c r="V242" s="276"/>
      <c r="W242" s="276"/>
      <c r="X242" s="276"/>
      <c r="Y242" s="276"/>
      <c r="Z242" s="276"/>
      <c r="AA242" s="276"/>
      <c r="AB242" s="276"/>
      <c r="AC242" s="276"/>
      <c r="AD242" s="276"/>
      <c r="AE242" s="276"/>
      <c r="AF242" s="276"/>
      <c r="AG242" s="276"/>
      <c r="AH242" s="276"/>
      <c r="AI242" s="276"/>
      <c r="AJ242" s="276"/>
      <c r="AK242" s="276"/>
      <c r="AL242" s="276"/>
      <c r="AM242" s="276"/>
      <c r="AN242" s="276"/>
      <c r="AO242" s="276"/>
      <c r="AP242" s="276"/>
      <c r="AQ242" s="276"/>
      <c r="AR242" s="276"/>
      <c r="AS242" s="276"/>
      <c r="AT242" s="276"/>
      <c r="AU242" s="276"/>
      <c r="AV242" s="276"/>
      <c r="AW242" s="276"/>
      <c r="AX242" s="276"/>
      <c r="AY242" s="276"/>
    </row>
    <row r="243" spans="1:51" ht="15.75" customHeight="1" x14ac:dyDescent="0.25">
      <c r="A243" s="276"/>
      <c r="B243" s="533"/>
      <c r="C243" s="353"/>
      <c r="D243" s="276"/>
      <c r="E243" s="276"/>
      <c r="F243" s="276"/>
      <c r="G243" s="276"/>
      <c r="H243" s="276"/>
      <c r="I243" s="276"/>
      <c r="J243" s="353"/>
      <c r="K243" s="276"/>
      <c r="L243" s="276"/>
      <c r="M243" s="276"/>
      <c r="N243" s="276"/>
      <c r="O243" s="276"/>
      <c r="P243" s="276"/>
      <c r="Q243" s="276"/>
      <c r="R243" s="276"/>
      <c r="S243" s="276"/>
      <c r="T243" s="276"/>
      <c r="U243" s="276"/>
      <c r="V243" s="276"/>
      <c r="W243" s="276"/>
      <c r="X243" s="276"/>
      <c r="Y243" s="276"/>
      <c r="Z243" s="276"/>
      <c r="AA243" s="276"/>
      <c r="AB243" s="276"/>
      <c r="AC243" s="276"/>
      <c r="AD243" s="276"/>
      <c r="AE243" s="276"/>
      <c r="AF243" s="276"/>
      <c r="AG243" s="276"/>
      <c r="AH243" s="276"/>
      <c r="AI243" s="276"/>
      <c r="AJ243" s="276"/>
      <c r="AK243" s="276"/>
      <c r="AL243" s="276"/>
      <c r="AM243" s="276"/>
      <c r="AN243" s="276"/>
      <c r="AO243" s="276"/>
      <c r="AP243" s="276"/>
      <c r="AQ243" s="276"/>
      <c r="AR243" s="276"/>
      <c r="AS243" s="276"/>
      <c r="AT243" s="276"/>
      <c r="AU243" s="276"/>
      <c r="AV243" s="276"/>
      <c r="AW243" s="276"/>
      <c r="AX243" s="276"/>
      <c r="AY243" s="276"/>
    </row>
    <row r="244" spans="1:51" ht="15.75" customHeight="1" x14ac:dyDescent="0.25">
      <c r="A244" s="276"/>
      <c r="B244" s="533"/>
      <c r="C244" s="353"/>
      <c r="D244" s="276"/>
      <c r="E244" s="276"/>
      <c r="F244" s="276"/>
      <c r="G244" s="276"/>
      <c r="H244" s="276"/>
      <c r="I244" s="276"/>
      <c r="J244" s="353"/>
      <c r="K244" s="276"/>
      <c r="L244" s="276"/>
      <c r="M244" s="276"/>
      <c r="N244" s="276"/>
      <c r="O244" s="276"/>
      <c r="P244" s="276"/>
      <c r="Q244" s="276"/>
      <c r="R244" s="276"/>
      <c r="S244" s="276"/>
      <c r="T244" s="276"/>
      <c r="U244" s="276"/>
      <c r="V244" s="276"/>
      <c r="W244" s="276"/>
      <c r="X244" s="276"/>
      <c r="Y244" s="276"/>
      <c r="Z244" s="276"/>
      <c r="AA244" s="276"/>
      <c r="AB244" s="276"/>
      <c r="AC244" s="276"/>
      <c r="AD244" s="276"/>
      <c r="AE244" s="276"/>
      <c r="AF244" s="276"/>
      <c r="AG244" s="276"/>
      <c r="AH244" s="276"/>
      <c r="AI244" s="276"/>
      <c r="AJ244" s="276"/>
      <c r="AK244" s="276"/>
      <c r="AL244" s="276"/>
      <c r="AM244" s="276"/>
      <c r="AN244" s="276"/>
      <c r="AO244" s="276"/>
      <c r="AP244" s="276"/>
      <c r="AQ244" s="276"/>
      <c r="AR244" s="276"/>
      <c r="AS244" s="276"/>
      <c r="AT244" s="276"/>
      <c r="AU244" s="276"/>
      <c r="AV244" s="276"/>
      <c r="AW244" s="276"/>
      <c r="AX244" s="276"/>
      <c r="AY244" s="276"/>
    </row>
    <row r="245" spans="1:51" ht="15.75" customHeight="1" x14ac:dyDescent="0.25">
      <c r="A245" s="276"/>
      <c r="B245" s="533"/>
      <c r="C245" s="353"/>
      <c r="D245" s="276"/>
      <c r="E245" s="276"/>
      <c r="F245" s="276"/>
      <c r="G245" s="276"/>
      <c r="H245" s="276"/>
      <c r="I245" s="276"/>
      <c r="J245" s="353"/>
      <c r="K245" s="276"/>
      <c r="L245" s="276"/>
      <c r="M245" s="276"/>
      <c r="N245" s="276"/>
      <c r="O245" s="276"/>
      <c r="P245" s="276"/>
      <c r="Q245" s="276"/>
      <c r="R245" s="276"/>
      <c r="S245" s="276"/>
      <c r="T245" s="276"/>
      <c r="U245" s="276"/>
      <c r="V245" s="276"/>
      <c r="W245" s="276"/>
      <c r="X245" s="276"/>
      <c r="Y245" s="276"/>
      <c r="Z245" s="276"/>
      <c r="AA245" s="276"/>
      <c r="AB245" s="276"/>
      <c r="AC245" s="276"/>
      <c r="AD245" s="276"/>
      <c r="AE245" s="276"/>
      <c r="AF245" s="276"/>
      <c r="AG245" s="276"/>
      <c r="AH245" s="276"/>
      <c r="AI245" s="276"/>
      <c r="AJ245" s="276"/>
      <c r="AK245" s="276"/>
      <c r="AL245" s="276"/>
      <c r="AM245" s="276"/>
      <c r="AN245" s="276"/>
      <c r="AO245" s="276"/>
      <c r="AP245" s="276"/>
      <c r="AQ245" s="276"/>
      <c r="AR245" s="276"/>
      <c r="AS245" s="276"/>
      <c r="AT245" s="276"/>
      <c r="AU245" s="276"/>
      <c r="AV245" s="276"/>
      <c r="AW245" s="276"/>
      <c r="AX245" s="276"/>
      <c r="AY245" s="276"/>
    </row>
    <row r="246" spans="1:51" ht="15.75" customHeight="1" x14ac:dyDescent="0.25">
      <c r="A246" s="276"/>
      <c r="B246" s="533"/>
      <c r="C246" s="353"/>
      <c r="D246" s="276"/>
      <c r="E246" s="276"/>
      <c r="F246" s="276"/>
      <c r="G246" s="276"/>
      <c r="H246" s="276"/>
      <c r="I246" s="276"/>
      <c r="J246" s="353"/>
      <c r="K246" s="276"/>
      <c r="L246" s="276"/>
      <c r="M246" s="276"/>
      <c r="N246" s="276"/>
      <c r="O246" s="276"/>
      <c r="P246" s="276"/>
      <c r="Q246" s="276"/>
      <c r="R246" s="276"/>
      <c r="S246" s="276"/>
      <c r="T246" s="276"/>
      <c r="U246" s="276"/>
      <c r="V246" s="276"/>
      <c r="W246" s="276"/>
      <c r="X246" s="276"/>
      <c r="Y246" s="276"/>
      <c r="Z246" s="276"/>
      <c r="AA246" s="276"/>
      <c r="AB246" s="276"/>
      <c r="AC246" s="276"/>
      <c r="AD246" s="276"/>
      <c r="AE246" s="276"/>
      <c r="AF246" s="276"/>
      <c r="AG246" s="276"/>
      <c r="AH246" s="276"/>
      <c r="AI246" s="276"/>
      <c r="AJ246" s="276"/>
      <c r="AK246" s="276"/>
      <c r="AL246" s="276"/>
      <c r="AM246" s="276"/>
      <c r="AN246" s="276"/>
      <c r="AO246" s="276"/>
      <c r="AP246" s="276"/>
      <c r="AQ246" s="276"/>
      <c r="AR246" s="276"/>
      <c r="AS246" s="276"/>
      <c r="AT246" s="276"/>
      <c r="AU246" s="276"/>
      <c r="AV246" s="276"/>
      <c r="AW246" s="276"/>
      <c r="AX246" s="276"/>
      <c r="AY246" s="276"/>
    </row>
    <row r="247" spans="1:51" ht="15.75" customHeight="1" x14ac:dyDescent="0.25">
      <c r="A247" s="276"/>
      <c r="B247" s="533"/>
      <c r="C247" s="353"/>
      <c r="D247" s="276"/>
      <c r="E247" s="276"/>
      <c r="F247" s="276"/>
      <c r="G247" s="276"/>
      <c r="H247" s="276"/>
      <c r="I247" s="276"/>
      <c r="J247" s="353"/>
      <c r="K247" s="276"/>
      <c r="L247" s="276"/>
      <c r="M247" s="276"/>
      <c r="N247" s="276"/>
      <c r="O247" s="276"/>
      <c r="P247" s="276"/>
      <c r="Q247" s="276"/>
      <c r="R247" s="276"/>
      <c r="S247" s="276"/>
      <c r="T247" s="276"/>
      <c r="U247" s="276"/>
      <c r="V247" s="276"/>
      <c r="W247" s="276"/>
      <c r="X247" s="276"/>
      <c r="Y247" s="276"/>
      <c r="Z247" s="276"/>
      <c r="AA247" s="276"/>
      <c r="AB247" s="276"/>
      <c r="AC247" s="276"/>
      <c r="AD247" s="276"/>
      <c r="AE247" s="276"/>
      <c r="AF247" s="276"/>
      <c r="AG247" s="276"/>
      <c r="AH247" s="276"/>
      <c r="AI247" s="276"/>
      <c r="AJ247" s="276"/>
      <c r="AK247" s="276"/>
      <c r="AL247" s="276"/>
      <c r="AM247" s="276"/>
      <c r="AN247" s="276"/>
      <c r="AO247" s="276"/>
      <c r="AP247" s="276"/>
      <c r="AQ247" s="276"/>
      <c r="AR247" s="276"/>
      <c r="AS247" s="276"/>
      <c r="AT247" s="276"/>
      <c r="AU247" s="276"/>
      <c r="AV247" s="276"/>
      <c r="AW247" s="276"/>
      <c r="AX247" s="276"/>
      <c r="AY247" s="276"/>
    </row>
    <row r="248" spans="1:51" ht="15.75" customHeight="1" x14ac:dyDescent="0.25">
      <c r="A248" s="276"/>
      <c r="B248" s="533"/>
      <c r="C248" s="353"/>
      <c r="D248" s="276"/>
      <c r="E248" s="276"/>
      <c r="F248" s="276"/>
      <c r="G248" s="276"/>
      <c r="H248" s="276"/>
      <c r="I248" s="276"/>
      <c r="J248" s="353"/>
      <c r="K248" s="276"/>
      <c r="L248" s="276"/>
      <c r="M248" s="276"/>
      <c r="N248" s="276"/>
      <c r="O248" s="276"/>
      <c r="P248" s="276"/>
      <c r="Q248" s="276"/>
      <c r="R248" s="276"/>
      <c r="S248" s="276"/>
      <c r="T248" s="276"/>
      <c r="U248" s="276"/>
      <c r="V248" s="276"/>
      <c r="W248" s="276"/>
      <c r="X248" s="276"/>
      <c r="Y248" s="276"/>
      <c r="Z248" s="276"/>
      <c r="AA248" s="276"/>
      <c r="AB248" s="276"/>
      <c r="AC248" s="276"/>
      <c r="AD248" s="276"/>
      <c r="AE248" s="276"/>
      <c r="AF248" s="276"/>
      <c r="AG248" s="276"/>
      <c r="AH248" s="276"/>
      <c r="AI248" s="276"/>
      <c r="AJ248" s="276"/>
      <c r="AK248" s="276"/>
      <c r="AL248" s="276"/>
      <c r="AM248" s="276"/>
      <c r="AN248" s="276"/>
      <c r="AO248" s="276"/>
      <c r="AP248" s="276"/>
      <c r="AQ248" s="276"/>
      <c r="AR248" s="276"/>
      <c r="AS248" s="276"/>
      <c r="AT248" s="276"/>
      <c r="AU248" s="276"/>
      <c r="AV248" s="276"/>
      <c r="AW248" s="276"/>
      <c r="AX248" s="276"/>
      <c r="AY248" s="276"/>
    </row>
    <row r="249" spans="1:51" ht="15.75" customHeight="1" x14ac:dyDescent="0.25">
      <c r="A249" s="276"/>
      <c r="B249" s="533"/>
      <c r="C249" s="353"/>
      <c r="D249" s="276"/>
      <c r="E249" s="276"/>
      <c r="F249" s="276"/>
      <c r="G249" s="276"/>
      <c r="H249" s="276"/>
      <c r="I249" s="276"/>
      <c r="J249" s="353"/>
      <c r="K249" s="276"/>
      <c r="L249" s="276"/>
      <c r="M249" s="276"/>
      <c r="N249" s="276"/>
      <c r="O249" s="276"/>
      <c r="P249" s="276"/>
      <c r="Q249" s="276"/>
      <c r="R249" s="276"/>
      <c r="S249" s="276"/>
      <c r="T249" s="276"/>
      <c r="U249" s="276"/>
      <c r="V249" s="276"/>
      <c r="W249" s="276"/>
      <c r="X249" s="276"/>
      <c r="Y249" s="276"/>
      <c r="Z249" s="276"/>
      <c r="AA249" s="276"/>
      <c r="AB249" s="276"/>
      <c r="AC249" s="276"/>
      <c r="AD249" s="276"/>
      <c r="AE249" s="276"/>
      <c r="AF249" s="276"/>
      <c r="AG249" s="276"/>
      <c r="AH249" s="276"/>
      <c r="AI249" s="276"/>
      <c r="AJ249" s="276"/>
      <c r="AK249" s="276"/>
      <c r="AL249" s="276"/>
      <c r="AM249" s="276"/>
      <c r="AN249" s="276"/>
      <c r="AO249" s="276"/>
      <c r="AP249" s="276"/>
      <c r="AQ249" s="276"/>
      <c r="AR249" s="276"/>
      <c r="AS249" s="276"/>
      <c r="AT249" s="276"/>
      <c r="AU249" s="276"/>
      <c r="AV249" s="276"/>
      <c r="AW249" s="276"/>
      <c r="AX249" s="276"/>
      <c r="AY249" s="276"/>
    </row>
    <row r="250" spans="1:51" ht="15.75" customHeight="1" x14ac:dyDescent="0.25">
      <c r="A250" s="276"/>
      <c r="B250" s="533"/>
      <c r="C250" s="353"/>
      <c r="D250" s="276"/>
      <c r="E250" s="276"/>
      <c r="F250" s="276"/>
      <c r="G250" s="276"/>
      <c r="H250" s="276"/>
      <c r="I250" s="276"/>
      <c r="J250" s="353"/>
      <c r="K250" s="276"/>
      <c r="L250" s="276"/>
      <c r="M250" s="276"/>
      <c r="N250" s="276"/>
      <c r="O250" s="276"/>
      <c r="P250" s="276"/>
      <c r="Q250" s="276"/>
      <c r="R250" s="276"/>
      <c r="S250" s="276"/>
      <c r="T250" s="276"/>
      <c r="U250" s="276"/>
      <c r="V250" s="276"/>
      <c r="W250" s="276"/>
      <c r="X250" s="276"/>
      <c r="Y250" s="276"/>
      <c r="Z250" s="276"/>
      <c r="AA250" s="276"/>
      <c r="AB250" s="276"/>
      <c r="AC250" s="276"/>
      <c r="AD250" s="276"/>
      <c r="AE250" s="276"/>
      <c r="AF250" s="276"/>
      <c r="AG250" s="276"/>
      <c r="AH250" s="276"/>
      <c r="AI250" s="276"/>
      <c r="AJ250" s="276"/>
      <c r="AK250" s="276"/>
      <c r="AL250" s="276"/>
      <c r="AM250" s="276"/>
      <c r="AN250" s="276"/>
      <c r="AO250" s="276"/>
      <c r="AP250" s="276"/>
      <c r="AQ250" s="276"/>
      <c r="AR250" s="276"/>
      <c r="AS250" s="276"/>
      <c r="AT250" s="276"/>
      <c r="AU250" s="276"/>
      <c r="AV250" s="276"/>
      <c r="AW250" s="276"/>
      <c r="AX250" s="276"/>
      <c r="AY250" s="276"/>
    </row>
    <row r="251" spans="1:51" ht="15.75" customHeight="1" x14ac:dyDescent="0.25">
      <c r="A251" s="271"/>
      <c r="B251" s="534"/>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c r="AM251" s="271"/>
      <c r="AN251" s="271"/>
      <c r="AO251" s="271"/>
      <c r="AP251" s="271"/>
      <c r="AQ251" s="271"/>
      <c r="AR251" s="271"/>
      <c r="AS251" s="271"/>
      <c r="AT251" s="271"/>
      <c r="AU251" s="271"/>
      <c r="AV251" s="271"/>
      <c r="AW251" s="271"/>
      <c r="AX251" s="271"/>
      <c r="AY251" s="271"/>
    </row>
    <row r="252" spans="1:51" ht="15.75" customHeight="1" x14ac:dyDescent="0.25">
      <c r="A252" s="271"/>
      <c r="B252" s="534"/>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c r="AM252" s="271"/>
      <c r="AN252" s="271"/>
      <c r="AO252" s="271"/>
      <c r="AP252" s="271"/>
      <c r="AQ252" s="271"/>
      <c r="AR252" s="271"/>
      <c r="AS252" s="271"/>
      <c r="AT252" s="271"/>
      <c r="AU252" s="271"/>
      <c r="AV252" s="271"/>
      <c r="AW252" s="271"/>
      <c r="AX252" s="271"/>
      <c r="AY252" s="271"/>
    </row>
    <row r="253" spans="1:51" ht="15.75" customHeight="1" x14ac:dyDescent="0.25">
      <c r="A253" s="271"/>
      <c r="B253" s="534"/>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c r="AM253" s="271"/>
      <c r="AN253" s="271"/>
      <c r="AO253" s="271"/>
      <c r="AP253" s="271"/>
      <c r="AQ253" s="271"/>
      <c r="AR253" s="271"/>
      <c r="AS253" s="271"/>
      <c r="AT253" s="271"/>
      <c r="AU253" s="271"/>
      <c r="AV253" s="271"/>
      <c r="AW253" s="271"/>
      <c r="AX253" s="271"/>
      <c r="AY253" s="271"/>
    </row>
    <row r="254" spans="1:51" ht="15.75" customHeight="1" x14ac:dyDescent="0.25">
      <c r="A254" s="271"/>
      <c r="B254" s="534"/>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c r="AM254" s="271"/>
      <c r="AN254" s="271"/>
      <c r="AO254" s="271"/>
      <c r="AP254" s="271"/>
      <c r="AQ254" s="271"/>
      <c r="AR254" s="271"/>
      <c r="AS254" s="271"/>
      <c r="AT254" s="271"/>
      <c r="AU254" s="271"/>
      <c r="AV254" s="271"/>
      <c r="AW254" s="271"/>
      <c r="AX254" s="271"/>
      <c r="AY254" s="271"/>
    </row>
    <row r="255" spans="1:51" ht="15.75" customHeight="1" x14ac:dyDescent="0.25">
      <c r="A255" s="271"/>
      <c r="B255" s="534"/>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c r="AM255" s="271"/>
      <c r="AN255" s="271"/>
      <c r="AO255" s="271"/>
      <c r="AP255" s="271"/>
      <c r="AQ255" s="271"/>
      <c r="AR255" s="271"/>
      <c r="AS255" s="271"/>
      <c r="AT255" s="271"/>
      <c r="AU255" s="271"/>
      <c r="AV255" s="271"/>
      <c r="AW255" s="271"/>
      <c r="AX255" s="271"/>
      <c r="AY255" s="271"/>
    </row>
    <row r="256" spans="1:51" ht="15.75" customHeight="1" x14ac:dyDescent="0.25">
      <c r="A256" s="271"/>
      <c r="B256" s="534"/>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c r="AM256" s="271"/>
      <c r="AN256" s="271"/>
      <c r="AO256" s="271"/>
      <c r="AP256" s="271"/>
      <c r="AQ256" s="271"/>
      <c r="AR256" s="271"/>
      <c r="AS256" s="271"/>
      <c r="AT256" s="271"/>
      <c r="AU256" s="271"/>
      <c r="AV256" s="271"/>
      <c r="AW256" s="271"/>
      <c r="AX256" s="271"/>
      <c r="AY256" s="271"/>
    </row>
    <row r="257" spans="1:51" ht="15.75" customHeight="1" x14ac:dyDescent="0.25">
      <c r="A257" s="271"/>
      <c r="B257" s="534"/>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c r="AM257" s="271"/>
      <c r="AN257" s="271"/>
      <c r="AO257" s="271"/>
      <c r="AP257" s="271"/>
      <c r="AQ257" s="271"/>
      <c r="AR257" s="271"/>
      <c r="AS257" s="271"/>
      <c r="AT257" s="271"/>
      <c r="AU257" s="271"/>
      <c r="AV257" s="271"/>
      <c r="AW257" s="271"/>
      <c r="AX257" s="271"/>
      <c r="AY257" s="271"/>
    </row>
    <row r="258" spans="1:51" ht="15.75" customHeight="1" x14ac:dyDescent="0.25">
      <c r="A258" s="271"/>
      <c r="B258" s="534"/>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c r="AM258" s="271"/>
      <c r="AN258" s="271"/>
      <c r="AO258" s="271"/>
      <c r="AP258" s="271"/>
      <c r="AQ258" s="271"/>
      <c r="AR258" s="271"/>
      <c r="AS258" s="271"/>
      <c r="AT258" s="271"/>
      <c r="AU258" s="271"/>
      <c r="AV258" s="271"/>
      <c r="AW258" s="271"/>
      <c r="AX258" s="271"/>
      <c r="AY258" s="271"/>
    </row>
    <row r="259" spans="1:51" ht="15.75" customHeight="1" x14ac:dyDescent="0.25">
      <c r="A259" s="271"/>
      <c r="B259" s="534"/>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c r="AM259" s="271"/>
      <c r="AN259" s="271"/>
      <c r="AO259" s="271"/>
      <c r="AP259" s="271"/>
      <c r="AQ259" s="271"/>
      <c r="AR259" s="271"/>
      <c r="AS259" s="271"/>
      <c r="AT259" s="271"/>
      <c r="AU259" s="271"/>
      <c r="AV259" s="271"/>
      <c r="AW259" s="271"/>
      <c r="AX259" s="271"/>
      <c r="AY259" s="271"/>
    </row>
    <row r="260" spans="1:51" ht="15.75" customHeight="1" x14ac:dyDescent="0.25">
      <c r="A260" s="271"/>
      <c r="B260" s="534"/>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c r="AM260" s="271"/>
      <c r="AN260" s="271"/>
      <c r="AO260" s="271"/>
      <c r="AP260" s="271"/>
      <c r="AQ260" s="271"/>
      <c r="AR260" s="271"/>
      <c r="AS260" s="271"/>
      <c r="AT260" s="271"/>
      <c r="AU260" s="271"/>
      <c r="AV260" s="271"/>
      <c r="AW260" s="271"/>
      <c r="AX260" s="271"/>
      <c r="AY260" s="271"/>
    </row>
    <row r="261" spans="1:51" ht="15.75" customHeight="1" x14ac:dyDescent="0.25">
      <c r="A261" s="271"/>
      <c r="B261" s="534"/>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c r="AM261" s="271"/>
      <c r="AN261" s="271"/>
      <c r="AO261" s="271"/>
      <c r="AP261" s="271"/>
      <c r="AQ261" s="271"/>
      <c r="AR261" s="271"/>
      <c r="AS261" s="271"/>
      <c r="AT261" s="271"/>
      <c r="AU261" s="271"/>
      <c r="AV261" s="271"/>
      <c r="AW261" s="271"/>
      <c r="AX261" s="271"/>
      <c r="AY261" s="271"/>
    </row>
    <row r="262" spans="1:51" ht="15.75" customHeight="1" x14ac:dyDescent="0.25">
      <c r="A262" s="271"/>
      <c r="B262" s="534"/>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c r="AM262" s="271"/>
      <c r="AN262" s="271"/>
      <c r="AO262" s="271"/>
      <c r="AP262" s="271"/>
      <c r="AQ262" s="271"/>
      <c r="AR262" s="271"/>
      <c r="AS262" s="271"/>
      <c r="AT262" s="271"/>
      <c r="AU262" s="271"/>
      <c r="AV262" s="271"/>
      <c r="AW262" s="271"/>
      <c r="AX262" s="271"/>
      <c r="AY262" s="271"/>
    </row>
    <row r="263" spans="1:51" ht="15.75" customHeight="1" x14ac:dyDescent="0.25">
      <c r="A263" s="271"/>
      <c r="B263" s="534"/>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c r="AM263" s="271"/>
      <c r="AN263" s="271"/>
      <c r="AO263" s="271"/>
      <c r="AP263" s="271"/>
      <c r="AQ263" s="271"/>
      <c r="AR263" s="271"/>
      <c r="AS263" s="271"/>
      <c r="AT263" s="271"/>
      <c r="AU263" s="271"/>
      <c r="AV263" s="271"/>
      <c r="AW263" s="271"/>
      <c r="AX263" s="271"/>
      <c r="AY263" s="271"/>
    </row>
    <row r="264" spans="1:51" ht="15.75" customHeight="1" x14ac:dyDescent="0.25">
      <c r="A264" s="271"/>
      <c r="B264" s="534"/>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c r="AM264" s="271"/>
      <c r="AN264" s="271"/>
      <c r="AO264" s="271"/>
      <c r="AP264" s="271"/>
      <c r="AQ264" s="271"/>
      <c r="AR264" s="271"/>
      <c r="AS264" s="271"/>
      <c r="AT264" s="271"/>
      <c r="AU264" s="271"/>
      <c r="AV264" s="271"/>
      <c r="AW264" s="271"/>
      <c r="AX264" s="271"/>
      <c r="AY264" s="271"/>
    </row>
    <row r="265" spans="1:51" ht="15.75" customHeight="1" x14ac:dyDescent="0.25">
      <c r="A265" s="271"/>
      <c r="B265" s="534"/>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c r="AL265" s="271"/>
      <c r="AM265" s="271"/>
      <c r="AN265" s="271"/>
      <c r="AO265" s="271"/>
      <c r="AP265" s="271"/>
      <c r="AQ265" s="271"/>
      <c r="AR265" s="271"/>
      <c r="AS265" s="271"/>
      <c r="AT265" s="271"/>
      <c r="AU265" s="271"/>
      <c r="AV265" s="271"/>
      <c r="AW265" s="271"/>
      <c r="AX265" s="271"/>
      <c r="AY265" s="271"/>
    </row>
    <row r="266" spans="1:51" ht="15.75" customHeight="1" x14ac:dyDescent="0.25">
      <c r="A266" s="271"/>
      <c r="B266" s="534"/>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c r="AL266" s="271"/>
      <c r="AM266" s="271"/>
      <c r="AN266" s="271"/>
      <c r="AO266" s="271"/>
      <c r="AP266" s="271"/>
      <c r="AQ266" s="271"/>
      <c r="AR266" s="271"/>
      <c r="AS266" s="271"/>
      <c r="AT266" s="271"/>
      <c r="AU266" s="271"/>
      <c r="AV266" s="271"/>
      <c r="AW266" s="271"/>
      <c r="AX266" s="271"/>
      <c r="AY266" s="271"/>
    </row>
    <row r="267" spans="1:51" ht="15.75" customHeight="1" x14ac:dyDescent="0.25">
      <c r="A267" s="271"/>
      <c r="B267" s="534"/>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c r="AL267" s="271"/>
      <c r="AM267" s="271"/>
      <c r="AN267" s="271"/>
      <c r="AO267" s="271"/>
      <c r="AP267" s="271"/>
      <c r="AQ267" s="271"/>
      <c r="AR267" s="271"/>
      <c r="AS267" s="271"/>
      <c r="AT267" s="271"/>
      <c r="AU267" s="271"/>
      <c r="AV267" s="271"/>
      <c r="AW267" s="271"/>
      <c r="AX267" s="271"/>
      <c r="AY267" s="271"/>
    </row>
    <row r="268" spans="1:51" ht="15.75" customHeight="1" x14ac:dyDescent="0.25">
      <c r="A268" s="271"/>
      <c r="B268" s="534"/>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c r="AL268" s="271"/>
      <c r="AM268" s="271"/>
      <c r="AN268" s="271"/>
      <c r="AO268" s="271"/>
      <c r="AP268" s="271"/>
      <c r="AQ268" s="271"/>
      <c r="AR268" s="271"/>
      <c r="AS268" s="271"/>
      <c r="AT268" s="271"/>
      <c r="AU268" s="271"/>
      <c r="AV268" s="271"/>
      <c r="AW268" s="271"/>
      <c r="AX268" s="271"/>
      <c r="AY268" s="271"/>
    </row>
    <row r="269" spans="1:51" ht="15.75" customHeight="1" x14ac:dyDescent="0.25">
      <c r="A269" s="271"/>
      <c r="B269" s="534"/>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c r="AM269" s="271"/>
      <c r="AN269" s="271"/>
      <c r="AO269" s="271"/>
      <c r="AP269" s="271"/>
      <c r="AQ269" s="271"/>
      <c r="AR269" s="271"/>
      <c r="AS269" s="271"/>
      <c r="AT269" s="271"/>
      <c r="AU269" s="271"/>
      <c r="AV269" s="271"/>
      <c r="AW269" s="271"/>
      <c r="AX269" s="271"/>
      <c r="AY269" s="271"/>
    </row>
    <row r="270" spans="1:51" ht="15.75" customHeight="1" x14ac:dyDescent="0.25">
      <c r="A270" s="271"/>
      <c r="B270" s="534"/>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c r="AM270" s="271"/>
      <c r="AN270" s="271"/>
      <c r="AO270" s="271"/>
      <c r="AP270" s="271"/>
      <c r="AQ270" s="271"/>
      <c r="AR270" s="271"/>
      <c r="AS270" s="271"/>
      <c r="AT270" s="271"/>
      <c r="AU270" s="271"/>
      <c r="AV270" s="271"/>
      <c r="AW270" s="271"/>
      <c r="AX270" s="271"/>
      <c r="AY270" s="271"/>
    </row>
    <row r="271" spans="1:51" ht="15.75" customHeight="1" x14ac:dyDescent="0.25">
      <c r="A271" s="271"/>
      <c r="B271" s="534"/>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c r="AL271" s="271"/>
      <c r="AM271" s="271"/>
      <c r="AN271" s="271"/>
      <c r="AO271" s="271"/>
      <c r="AP271" s="271"/>
      <c r="AQ271" s="271"/>
      <c r="AR271" s="271"/>
      <c r="AS271" s="271"/>
      <c r="AT271" s="271"/>
      <c r="AU271" s="271"/>
      <c r="AV271" s="271"/>
      <c r="AW271" s="271"/>
      <c r="AX271" s="271"/>
      <c r="AY271" s="271"/>
    </row>
    <row r="272" spans="1:51" ht="15.75" customHeight="1" x14ac:dyDescent="0.25">
      <c r="A272" s="271"/>
      <c r="B272" s="534"/>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c r="AL272" s="271"/>
      <c r="AM272" s="271"/>
      <c r="AN272" s="271"/>
      <c r="AO272" s="271"/>
      <c r="AP272" s="271"/>
      <c r="AQ272" s="271"/>
      <c r="AR272" s="271"/>
      <c r="AS272" s="271"/>
      <c r="AT272" s="271"/>
      <c r="AU272" s="271"/>
      <c r="AV272" s="271"/>
      <c r="AW272" s="271"/>
      <c r="AX272" s="271"/>
      <c r="AY272" s="271"/>
    </row>
    <row r="273" spans="1:51" ht="15.75" customHeight="1" x14ac:dyDescent="0.25">
      <c r="A273" s="271"/>
      <c r="B273" s="534"/>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c r="AM273" s="271"/>
      <c r="AN273" s="271"/>
      <c r="AO273" s="271"/>
      <c r="AP273" s="271"/>
      <c r="AQ273" s="271"/>
      <c r="AR273" s="271"/>
      <c r="AS273" s="271"/>
      <c r="AT273" s="271"/>
      <c r="AU273" s="271"/>
      <c r="AV273" s="271"/>
      <c r="AW273" s="271"/>
      <c r="AX273" s="271"/>
      <c r="AY273" s="271"/>
    </row>
    <row r="274" spans="1:51" ht="15.75" customHeight="1" x14ac:dyDescent="0.25">
      <c r="A274" s="271"/>
      <c r="B274" s="534"/>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c r="AL274" s="271"/>
      <c r="AM274" s="271"/>
      <c r="AN274" s="271"/>
      <c r="AO274" s="271"/>
      <c r="AP274" s="271"/>
      <c r="AQ274" s="271"/>
      <c r="AR274" s="271"/>
      <c r="AS274" s="271"/>
      <c r="AT274" s="271"/>
      <c r="AU274" s="271"/>
      <c r="AV274" s="271"/>
      <c r="AW274" s="271"/>
      <c r="AX274" s="271"/>
      <c r="AY274" s="271"/>
    </row>
    <row r="275" spans="1:51" ht="15.75" customHeight="1" x14ac:dyDescent="0.25">
      <c r="A275" s="271"/>
      <c r="B275" s="534"/>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c r="AL275" s="271"/>
      <c r="AM275" s="271"/>
      <c r="AN275" s="271"/>
      <c r="AO275" s="271"/>
      <c r="AP275" s="271"/>
      <c r="AQ275" s="271"/>
      <c r="AR275" s="271"/>
      <c r="AS275" s="271"/>
      <c r="AT275" s="271"/>
      <c r="AU275" s="271"/>
      <c r="AV275" s="271"/>
      <c r="AW275" s="271"/>
      <c r="AX275" s="271"/>
      <c r="AY275" s="271"/>
    </row>
    <row r="276" spans="1:51" ht="15.75" customHeight="1" x14ac:dyDescent="0.25">
      <c r="A276" s="271"/>
      <c r="B276" s="534"/>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c r="AM276" s="271"/>
      <c r="AN276" s="271"/>
      <c r="AO276" s="271"/>
      <c r="AP276" s="271"/>
      <c r="AQ276" s="271"/>
      <c r="AR276" s="271"/>
      <c r="AS276" s="271"/>
      <c r="AT276" s="271"/>
      <c r="AU276" s="271"/>
      <c r="AV276" s="271"/>
      <c r="AW276" s="271"/>
      <c r="AX276" s="271"/>
      <c r="AY276" s="271"/>
    </row>
    <row r="277" spans="1:51" ht="15.75" customHeight="1" x14ac:dyDescent="0.25">
      <c r="A277" s="271"/>
      <c r="B277" s="534"/>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c r="AM277" s="271"/>
      <c r="AN277" s="271"/>
      <c r="AO277" s="271"/>
      <c r="AP277" s="271"/>
      <c r="AQ277" s="271"/>
      <c r="AR277" s="271"/>
      <c r="AS277" s="271"/>
      <c r="AT277" s="271"/>
      <c r="AU277" s="271"/>
      <c r="AV277" s="271"/>
      <c r="AW277" s="271"/>
      <c r="AX277" s="271"/>
      <c r="AY277" s="271"/>
    </row>
    <row r="278" spans="1:51" ht="15.75" customHeight="1" x14ac:dyDescent="0.25">
      <c r="A278" s="271"/>
      <c r="B278" s="534"/>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c r="AL278" s="271"/>
      <c r="AM278" s="271"/>
      <c r="AN278" s="271"/>
      <c r="AO278" s="271"/>
      <c r="AP278" s="271"/>
      <c r="AQ278" s="271"/>
      <c r="AR278" s="271"/>
      <c r="AS278" s="271"/>
      <c r="AT278" s="271"/>
      <c r="AU278" s="271"/>
      <c r="AV278" s="271"/>
      <c r="AW278" s="271"/>
      <c r="AX278" s="271"/>
      <c r="AY278" s="271"/>
    </row>
    <row r="279" spans="1:51" ht="15.75" customHeight="1" x14ac:dyDescent="0.25">
      <c r="A279" s="271"/>
      <c r="B279" s="534"/>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c r="AM279" s="271"/>
      <c r="AN279" s="271"/>
      <c r="AO279" s="271"/>
      <c r="AP279" s="271"/>
      <c r="AQ279" s="271"/>
      <c r="AR279" s="271"/>
      <c r="AS279" s="271"/>
      <c r="AT279" s="271"/>
      <c r="AU279" s="271"/>
      <c r="AV279" s="271"/>
      <c r="AW279" s="271"/>
      <c r="AX279" s="271"/>
      <c r="AY279" s="271"/>
    </row>
    <row r="280" spans="1:51" ht="15.75" customHeight="1" x14ac:dyDescent="0.25">
      <c r="A280" s="271"/>
      <c r="B280" s="534"/>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c r="AL280" s="271"/>
      <c r="AM280" s="271"/>
      <c r="AN280" s="271"/>
      <c r="AO280" s="271"/>
      <c r="AP280" s="271"/>
      <c r="AQ280" s="271"/>
      <c r="AR280" s="271"/>
      <c r="AS280" s="271"/>
      <c r="AT280" s="271"/>
      <c r="AU280" s="271"/>
      <c r="AV280" s="271"/>
      <c r="AW280" s="271"/>
      <c r="AX280" s="271"/>
      <c r="AY280" s="271"/>
    </row>
    <row r="281" spans="1:51" ht="15.75" customHeight="1" x14ac:dyDescent="0.25">
      <c r="A281" s="271"/>
      <c r="B281" s="534"/>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c r="AL281" s="271"/>
      <c r="AM281" s="271"/>
      <c r="AN281" s="271"/>
      <c r="AO281" s="271"/>
      <c r="AP281" s="271"/>
      <c r="AQ281" s="271"/>
      <c r="AR281" s="271"/>
      <c r="AS281" s="271"/>
      <c r="AT281" s="271"/>
      <c r="AU281" s="271"/>
      <c r="AV281" s="271"/>
      <c r="AW281" s="271"/>
      <c r="AX281" s="271"/>
      <c r="AY281" s="271"/>
    </row>
    <row r="282" spans="1:51" ht="15.75" customHeight="1" x14ac:dyDescent="0.25">
      <c r="A282" s="271"/>
      <c r="B282" s="534"/>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c r="AL282" s="271"/>
      <c r="AM282" s="271"/>
      <c r="AN282" s="271"/>
      <c r="AO282" s="271"/>
      <c r="AP282" s="271"/>
      <c r="AQ282" s="271"/>
      <c r="AR282" s="271"/>
      <c r="AS282" s="271"/>
      <c r="AT282" s="271"/>
      <c r="AU282" s="271"/>
      <c r="AV282" s="271"/>
      <c r="AW282" s="271"/>
      <c r="AX282" s="271"/>
      <c r="AY282" s="271"/>
    </row>
    <row r="283" spans="1:51" ht="15.75" customHeight="1" x14ac:dyDescent="0.25">
      <c r="A283" s="271"/>
      <c r="B283" s="534"/>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c r="AL283" s="271"/>
      <c r="AM283" s="271"/>
      <c r="AN283" s="271"/>
      <c r="AO283" s="271"/>
      <c r="AP283" s="271"/>
      <c r="AQ283" s="271"/>
      <c r="AR283" s="271"/>
      <c r="AS283" s="271"/>
      <c r="AT283" s="271"/>
      <c r="AU283" s="271"/>
      <c r="AV283" s="271"/>
      <c r="AW283" s="271"/>
      <c r="AX283" s="271"/>
      <c r="AY283" s="271"/>
    </row>
    <row r="284" spans="1:51" ht="15.75" customHeight="1" x14ac:dyDescent="0.25">
      <c r="A284" s="271"/>
      <c r="B284" s="534"/>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c r="AL284" s="271"/>
      <c r="AM284" s="271"/>
      <c r="AN284" s="271"/>
      <c r="AO284" s="271"/>
      <c r="AP284" s="271"/>
      <c r="AQ284" s="271"/>
      <c r="AR284" s="271"/>
      <c r="AS284" s="271"/>
      <c r="AT284" s="271"/>
      <c r="AU284" s="271"/>
      <c r="AV284" s="271"/>
      <c r="AW284" s="271"/>
      <c r="AX284" s="271"/>
      <c r="AY284" s="271"/>
    </row>
    <row r="285" spans="1:51" ht="15.75" customHeight="1" x14ac:dyDescent="0.25">
      <c r="A285" s="271"/>
      <c r="B285" s="534"/>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c r="AL285" s="271"/>
      <c r="AM285" s="271"/>
      <c r="AN285" s="271"/>
      <c r="AO285" s="271"/>
      <c r="AP285" s="271"/>
      <c r="AQ285" s="271"/>
      <c r="AR285" s="271"/>
      <c r="AS285" s="271"/>
      <c r="AT285" s="271"/>
      <c r="AU285" s="271"/>
      <c r="AV285" s="271"/>
      <c r="AW285" s="271"/>
      <c r="AX285" s="271"/>
      <c r="AY285" s="271"/>
    </row>
    <row r="286" spans="1:51" ht="15.75" customHeight="1" x14ac:dyDescent="0.25">
      <c r="A286" s="271"/>
      <c r="B286" s="534"/>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c r="AL286" s="271"/>
      <c r="AM286" s="271"/>
      <c r="AN286" s="271"/>
      <c r="AO286" s="271"/>
      <c r="AP286" s="271"/>
      <c r="AQ286" s="271"/>
      <c r="AR286" s="271"/>
      <c r="AS286" s="271"/>
      <c r="AT286" s="271"/>
      <c r="AU286" s="271"/>
      <c r="AV286" s="271"/>
      <c r="AW286" s="271"/>
      <c r="AX286" s="271"/>
      <c r="AY286" s="271"/>
    </row>
    <row r="287" spans="1:51" ht="15.75" customHeight="1" x14ac:dyDescent="0.25">
      <c r="A287" s="271"/>
      <c r="B287" s="534"/>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c r="AL287" s="271"/>
      <c r="AM287" s="271"/>
      <c r="AN287" s="271"/>
      <c r="AO287" s="271"/>
      <c r="AP287" s="271"/>
      <c r="AQ287" s="271"/>
      <c r="AR287" s="271"/>
      <c r="AS287" s="271"/>
      <c r="AT287" s="271"/>
      <c r="AU287" s="271"/>
      <c r="AV287" s="271"/>
      <c r="AW287" s="271"/>
      <c r="AX287" s="271"/>
      <c r="AY287" s="271"/>
    </row>
    <row r="288" spans="1:51" ht="15.75" customHeight="1" x14ac:dyDescent="0.25">
      <c r="A288" s="271"/>
      <c r="B288" s="534"/>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c r="AL288" s="271"/>
      <c r="AM288" s="271"/>
      <c r="AN288" s="271"/>
      <c r="AO288" s="271"/>
      <c r="AP288" s="271"/>
      <c r="AQ288" s="271"/>
      <c r="AR288" s="271"/>
      <c r="AS288" s="271"/>
      <c r="AT288" s="271"/>
      <c r="AU288" s="271"/>
      <c r="AV288" s="271"/>
      <c r="AW288" s="271"/>
      <c r="AX288" s="271"/>
      <c r="AY288" s="271"/>
    </row>
    <row r="289" spans="1:51" ht="15.75" customHeight="1" x14ac:dyDescent="0.25">
      <c r="A289" s="271"/>
      <c r="B289" s="534"/>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c r="AL289" s="271"/>
      <c r="AM289" s="271"/>
      <c r="AN289" s="271"/>
      <c r="AO289" s="271"/>
      <c r="AP289" s="271"/>
      <c r="AQ289" s="271"/>
      <c r="AR289" s="271"/>
      <c r="AS289" s="271"/>
      <c r="AT289" s="271"/>
      <c r="AU289" s="271"/>
      <c r="AV289" s="271"/>
      <c r="AW289" s="271"/>
      <c r="AX289" s="271"/>
      <c r="AY289" s="271"/>
    </row>
    <row r="290" spans="1:51" ht="15.75" customHeight="1" x14ac:dyDescent="0.25">
      <c r="A290" s="271"/>
      <c r="B290" s="534"/>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c r="AM290" s="271"/>
      <c r="AN290" s="271"/>
      <c r="AO290" s="271"/>
      <c r="AP290" s="271"/>
      <c r="AQ290" s="271"/>
      <c r="AR290" s="271"/>
      <c r="AS290" s="271"/>
      <c r="AT290" s="271"/>
      <c r="AU290" s="271"/>
      <c r="AV290" s="271"/>
      <c r="AW290" s="271"/>
      <c r="AX290" s="271"/>
      <c r="AY290" s="271"/>
    </row>
    <row r="291" spans="1:51" ht="15.75" customHeight="1" x14ac:dyDescent="0.25">
      <c r="A291" s="271"/>
      <c r="B291" s="534"/>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c r="AM291" s="271"/>
      <c r="AN291" s="271"/>
      <c r="AO291" s="271"/>
      <c r="AP291" s="271"/>
      <c r="AQ291" s="271"/>
      <c r="AR291" s="271"/>
      <c r="AS291" s="271"/>
      <c r="AT291" s="271"/>
      <c r="AU291" s="271"/>
      <c r="AV291" s="271"/>
      <c r="AW291" s="271"/>
      <c r="AX291" s="271"/>
      <c r="AY291" s="271"/>
    </row>
    <row r="292" spans="1:51" ht="15.75" customHeight="1" x14ac:dyDescent="0.25">
      <c r="A292" s="271"/>
      <c r="B292" s="534"/>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c r="AL292" s="271"/>
      <c r="AM292" s="271"/>
      <c r="AN292" s="271"/>
      <c r="AO292" s="271"/>
      <c r="AP292" s="271"/>
      <c r="AQ292" s="271"/>
      <c r="AR292" s="271"/>
      <c r="AS292" s="271"/>
      <c r="AT292" s="271"/>
      <c r="AU292" s="271"/>
      <c r="AV292" s="271"/>
      <c r="AW292" s="271"/>
      <c r="AX292" s="271"/>
      <c r="AY292" s="271"/>
    </row>
    <row r="293" spans="1:51" ht="15.75" customHeight="1" x14ac:dyDescent="0.25">
      <c r="A293" s="271"/>
      <c r="B293" s="534"/>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c r="AL293" s="271"/>
      <c r="AM293" s="271"/>
      <c r="AN293" s="271"/>
      <c r="AO293" s="271"/>
      <c r="AP293" s="271"/>
      <c r="AQ293" s="271"/>
      <c r="AR293" s="271"/>
      <c r="AS293" s="271"/>
      <c r="AT293" s="271"/>
      <c r="AU293" s="271"/>
      <c r="AV293" s="271"/>
      <c r="AW293" s="271"/>
      <c r="AX293" s="271"/>
      <c r="AY293" s="271"/>
    </row>
    <row r="294" spans="1:51" ht="15.75" customHeight="1" x14ac:dyDescent="0.25">
      <c r="A294" s="271"/>
      <c r="B294" s="534"/>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c r="AL294" s="271"/>
      <c r="AM294" s="271"/>
      <c r="AN294" s="271"/>
      <c r="AO294" s="271"/>
      <c r="AP294" s="271"/>
      <c r="AQ294" s="271"/>
      <c r="AR294" s="271"/>
      <c r="AS294" s="271"/>
      <c r="AT294" s="271"/>
      <c r="AU294" s="271"/>
      <c r="AV294" s="271"/>
      <c r="AW294" s="271"/>
      <c r="AX294" s="271"/>
      <c r="AY294" s="271"/>
    </row>
    <row r="295" spans="1:51" ht="15.75" customHeight="1" x14ac:dyDescent="0.25">
      <c r="A295" s="271"/>
      <c r="B295" s="534"/>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c r="AL295" s="271"/>
      <c r="AM295" s="271"/>
      <c r="AN295" s="271"/>
      <c r="AO295" s="271"/>
      <c r="AP295" s="271"/>
      <c r="AQ295" s="271"/>
      <c r="AR295" s="271"/>
      <c r="AS295" s="271"/>
      <c r="AT295" s="271"/>
      <c r="AU295" s="271"/>
      <c r="AV295" s="271"/>
      <c r="AW295" s="271"/>
      <c r="AX295" s="271"/>
      <c r="AY295" s="271"/>
    </row>
    <row r="296" spans="1:51" ht="15.75" customHeight="1" x14ac:dyDescent="0.25">
      <c r="A296" s="271"/>
      <c r="B296" s="534"/>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c r="AL296" s="271"/>
      <c r="AM296" s="271"/>
      <c r="AN296" s="271"/>
      <c r="AO296" s="271"/>
      <c r="AP296" s="271"/>
      <c r="AQ296" s="271"/>
      <c r="AR296" s="271"/>
      <c r="AS296" s="271"/>
      <c r="AT296" s="271"/>
      <c r="AU296" s="271"/>
      <c r="AV296" s="271"/>
      <c r="AW296" s="271"/>
      <c r="AX296" s="271"/>
      <c r="AY296" s="271"/>
    </row>
    <row r="297" spans="1:51" ht="15.75" customHeight="1" x14ac:dyDescent="0.25">
      <c r="A297" s="271"/>
      <c r="B297" s="534"/>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c r="AL297" s="271"/>
      <c r="AM297" s="271"/>
      <c r="AN297" s="271"/>
      <c r="AO297" s="271"/>
      <c r="AP297" s="271"/>
      <c r="AQ297" s="271"/>
      <c r="AR297" s="271"/>
      <c r="AS297" s="271"/>
      <c r="AT297" s="271"/>
      <c r="AU297" s="271"/>
      <c r="AV297" s="271"/>
      <c r="AW297" s="271"/>
      <c r="AX297" s="271"/>
      <c r="AY297" s="271"/>
    </row>
    <row r="298" spans="1:51" ht="15.75" customHeight="1" x14ac:dyDescent="0.25">
      <c r="A298" s="271"/>
      <c r="B298" s="534"/>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c r="AL298" s="271"/>
      <c r="AM298" s="271"/>
      <c r="AN298" s="271"/>
      <c r="AO298" s="271"/>
      <c r="AP298" s="271"/>
      <c r="AQ298" s="271"/>
      <c r="AR298" s="271"/>
      <c r="AS298" s="271"/>
      <c r="AT298" s="271"/>
      <c r="AU298" s="271"/>
      <c r="AV298" s="271"/>
      <c r="AW298" s="271"/>
      <c r="AX298" s="271"/>
      <c r="AY298" s="271"/>
    </row>
    <row r="299" spans="1:51" ht="15.75" customHeight="1" x14ac:dyDescent="0.25">
      <c r="A299" s="271"/>
      <c r="B299" s="534"/>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c r="AL299" s="271"/>
      <c r="AM299" s="271"/>
      <c r="AN299" s="271"/>
      <c r="AO299" s="271"/>
      <c r="AP299" s="271"/>
      <c r="AQ299" s="271"/>
      <c r="AR299" s="271"/>
      <c r="AS299" s="271"/>
      <c r="AT299" s="271"/>
      <c r="AU299" s="271"/>
      <c r="AV299" s="271"/>
      <c r="AW299" s="271"/>
      <c r="AX299" s="271"/>
      <c r="AY299" s="271"/>
    </row>
    <row r="300" spans="1:51" ht="15.75" customHeight="1" x14ac:dyDescent="0.25">
      <c r="A300" s="271"/>
      <c r="B300" s="534"/>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c r="AL300" s="271"/>
      <c r="AM300" s="271"/>
      <c r="AN300" s="271"/>
      <c r="AO300" s="271"/>
      <c r="AP300" s="271"/>
      <c r="AQ300" s="271"/>
      <c r="AR300" s="271"/>
      <c r="AS300" s="271"/>
      <c r="AT300" s="271"/>
      <c r="AU300" s="271"/>
      <c r="AV300" s="271"/>
      <c r="AW300" s="271"/>
      <c r="AX300" s="271"/>
      <c r="AY300" s="271"/>
    </row>
    <row r="301" spans="1:51" ht="15.75" customHeight="1" x14ac:dyDescent="0.25">
      <c r="A301" s="271"/>
      <c r="B301" s="534"/>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c r="AL301" s="271"/>
      <c r="AM301" s="271"/>
      <c r="AN301" s="271"/>
      <c r="AO301" s="271"/>
      <c r="AP301" s="271"/>
      <c r="AQ301" s="271"/>
      <c r="AR301" s="271"/>
      <c r="AS301" s="271"/>
      <c r="AT301" s="271"/>
      <c r="AU301" s="271"/>
      <c r="AV301" s="271"/>
      <c r="AW301" s="271"/>
      <c r="AX301" s="271"/>
      <c r="AY301" s="271"/>
    </row>
    <row r="302" spans="1:51" ht="15.75" customHeight="1" x14ac:dyDescent="0.25">
      <c r="A302" s="271"/>
      <c r="B302" s="534"/>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c r="AL302" s="271"/>
      <c r="AM302" s="271"/>
      <c r="AN302" s="271"/>
      <c r="AO302" s="271"/>
      <c r="AP302" s="271"/>
      <c r="AQ302" s="271"/>
      <c r="AR302" s="271"/>
      <c r="AS302" s="271"/>
      <c r="AT302" s="271"/>
      <c r="AU302" s="271"/>
      <c r="AV302" s="271"/>
      <c r="AW302" s="271"/>
      <c r="AX302" s="271"/>
      <c r="AY302" s="271"/>
    </row>
    <row r="303" spans="1:51" ht="15.75" customHeight="1" x14ac:dyDescent="0.25">
      <c r="A303" s="271"/>
      <c r="B303" s="534"/>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c r="AL303" s="271"/>
      <c r="AM303" s="271"/>
      <c r="AN303" s="271"/>
      <c r="AO303" s="271"/>
      <c r="AP303" s="271"/>
      <c r="AQ303" s="271"/>
      <c r="AR303" s="271"/>
      <c r="AS303" s="271"/>
      <c r="AT303" s="271"/>
      <c r="AU303" s="271"/>
      <c r="AV303" s="271"/>
      <c r="AW303" s="271"/>
      <c r="AX303" s="271"/>
      <c r="AY303" s="271"/>
    </row>
    <row r="304" spans="1:51" ht="15.75" customHeight="1" x14ac:dyDescent="0.25">
      <c r="A304" s="271"/>
      <c r="B304" s="534"/>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c r="AL304" s="271"/>
      <c r="AM304" s="271"/>
      <c r="AN304" s="271"/>
      <c r="AO304" s="271"/>
      <c r="AP304" s="271"/>
      <c r="AQ304" s="271"/>
      <c r="AR304" s="271"/>
      <c r="AS304" s="271"/>
      <c r="AT304" s="271"/>
      <c r="AU304" s="271"/>
      <c r="AV304" s="271"/>
      <c r="AW304" s="271"/>
      <c r="AX304" s="271"/>
      <c r="AY304" s="271"/>
    </row>
    <row r="305" spans="1:51" ht="15.75" customHeight="1" x14ac:dyDescent="0.25">
      <c r="A305" s="271"/>
      <c r="B305" s="534"/>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c r="AL305" s="271"/>
      <c r="AM305" s="271"/>
      <c r="AN305" s="271"/>
      <c r="AO305" s="271"/>
      <c r="AP305" s="271"/>
      <c r="AQ305" s="271"/>
      <c r="AR305" s="271"/>
      <c r="AS305" s="271"/>
      <c r="AT305" s="271"/>
      <c r="AU305" s="271"/>
      <c r="AV305" s="271"/>
      <c r="AW305" s="271"/>
      <c r="AX305" s="271"/>
      <c r="AY305" s="271"/>
    </row>
    <row r="306" spans="1:51" ht="15.75" customHeight="1" x14ac:dyDescent="0.25">
      <c r="A306" s="271"/>
      <c r="B306" s="534"/>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c r="AM306" s="271"/>
      <c r="AN306" s="271"/>
      <c r="AO306" s="271"/>
      <c r="AP306" s="271"/>
      <c r="AQ306" s="271"/>
      <c r="AR306" s="271"/>
      <c r="AS306" s="271"/>
      <c r="AT306" s="271"/>
      <c r="AU306" s="271"/>
      <c r="AV306" s="271"/>
      <c r="AW306" s="271"/>
      <c r="AX306" s="271"/>
      <c r="AY306" s="271"/>
    </row>
    <row r="307" spans="1:51" ht="15.75" customHeight="1" x14ac:dyDescent="0.25">
      <c r="A307" s="271"/>
      <c r="B307" s="534"/>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c r="AL307" s="271"/>
      <c r="AM307" s="271"/>
      <c r="AN307" s="271"/>
      <c r="AO307" s="271"/>
      <c r="AP307" s="271"/>
      <c r="AQ307" s="271"/>
      <c r="AR307" s="271"/>
      <c r="AS307" s="271"/>
      <c r="AT307" s="271"/>
      <c r="AU307" s="271"/>
      <c r="AV307" s="271"/>
      <c r="AW307" s="271"/>
      <c r="AX307" s="271"/>
      <c r="AY307" s="271"/>
    </row>
    <row r="308" spans="1:51" ht="15.75" customHeight="1" x14ac:dyDescent="0.25">
      <c r="A308" s="271"/>
      <c r="B308" s="534"/>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c r="AL308" s="271"/>
      <c r="AM308" s="271"/>
      <c r="AN308" s="271"/>
      <c r="AO308" s="271"/>
      <c r="AP308" s="271"/>
      <c r="AQ308" s="271"/>
      <c r="AR308" s="271"/>
      <c r="AS308" s="271"/>
      <c r="AT308" s="271"/>
      <c r="AU308" s="271"/>
      <c r="AV308" s="271"/>
      <c r="AW308" s="271"/>
      <c r="AX308" s="271"/>
      <c r="AY308" s="271"/>
    </row>
    <row r="309" spans="1:51" ht="15.75" customHeight="1" x14ac:dyDescent="0.25">
      <c r="A309" s="271"/>
      <c r="B309" s="534"/>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c r="AM309" s="271"/>
      <c r="AN309" s="271"/>
      <c r="AO309" s="271"/>
      <c r="AP309" s="271"/>
      <c r="AQ309" s="271"/>
      <c r="AR309" s="271"/>
      <c r="AS309" s="271"/>
      <c r="AT309" s="271"/>
      <c r="AU309" s="271"/>
      <c r="AV309" s="271"/>
      <c r="AW309" s="271"/>
      <c r="AX309" s="271"/>
      <c r="AY309" s="271"/>
    </row>
    <row r="310" spans="1:51" ht="15.75" customHeight="1" x14ac:dyDescent="0.25">
      <c r="A310" s="271"/>
      <c r="B310" s="534"/>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c r="AL310" s="271"/>
      <c r="AM310" s="271"/>
      <c r="AN310" s="271"/>
      <c r="AO310" s="271"/>
      <c r="AP310" s="271"/>
      <c r="AQ310" s="271"/>
      <c r="AR310" s="271"/>
      <c r="AS310" s="271"/>
      <c r="AT310" s="271"/>
      <c r="AU310" s="271"/>
      <c r="AV310" s="271"/>
      <c r="AW310" s="271"/>
      <c r="AX310" s="271"/>
      <c r="AY310" s="271"/>
    </row>
    <row r="311" spans="1:51" ht="15.75" customHeight="1" x14ac:dyDescent="0.25">
      <c r="A311" s="271"/>
      <c r="B311" s="534"/>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c r="AL311" s="271"/>
      <c r="AM311" s="271"/>
      <c r="AN311" s="271"/>
      <c r="AO311" s="271"/>
      <c r="AP311" s="271"/>
      <c r="AQ311" s="271"/>
      <c r="AR311" s="271"/>
      <c r="AS311" s="271"/>
      <c r="AT311" s="271"/>
      <c r="AU311" s="271"/>
      <c r="AV311" s="271"/>
      <c r="AW311" s="271"/>
      <c r="AX311" s="271"/>
      <c r="AY311" s="271"/>
    </row>
    <row r="312" spans="1:51" ht="15.75" customHeight="1" x14ac:dyDescent="0.25">
      <c r="A312" s="271"/>
      <c r="B312" s="534"/>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c r="AL312" s="271"/>
      <c r="AM312" s="271"/>
      <c r="AN312" s="271"/>
      <c r="AO312" s="271"/>
      <c r="AP312" s="271"/>
      <c r="AQ312" s="271"/>
      <c r="AR312" s="271"/>
      <c r="AS312" s="271"/>
      <c r="AT312" s="271"/>
      <c r="AU312" s="271"/>
      <c r="AV312" s="271"/>
      <c r="AW312" s="271"/>
      <c r="AX312" s="271"/>
      <c r="AY312" s="271"/>
    </row>
    <row r="313" spans="1:51" ht="15.75" customHeight="1" x14ac:dyDescent="0.25">
      <c r="A313" s="271"/>
      <c r="B313" s="534"/>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c r="AM313" s="271"/>
      <c r="AN313" s="271"/>
      <c r="AO313" s="271"/>
      <c r="AP313" s="271"/>
      <c r="AQ313" s="271"/>
      <c r="AR313" s="271"/>
      <c r="AS313" s="271"/>
      <c r="AT313" s="271"/>
      <c r="AU313" s="271"/>
      <c r="AV313" s="271"/>
      <c r="AW313" s="271"/>
      <c r="AX313" s="271"/>
      <c r="AY313" s="271"/>
    </row>
    <row r="314" spans="1:51" ht="15.75" customHeight="1" x14ac:dyDescent="0.25">
      <c r="A314" s="271"/>
      <c r="B314" s="534"/>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c r="AL314" s="271"/>
      <c r="AM314" s="271"/>
      <c r="AN314" s="271"/>
      <c r="AO314" s="271"/>
      <c r="AP314" s="271"/>
      <c r="AQ314" s="271"/>
      <c r="AR314" s="271"/>
      <c r="AS314" s="271"/>
      <c r="AT314" s="271"/>
      <c r="AU314" s="271"/>
      <c r="AV314" s="271"/>
      <c r="AW314" s="271"/>
      <c r="AX314" s="271"/>
      <c r="AY314" s="271"/>
    </row>
    <row r="315" spans="1:51" ht="15.75" customHeight="1" x14ac:dyDescent="0.25">
      <c r="A315" s="271"/>
      <c r="B315" s="534"/>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c r="AM315" s="271"/>
      <c r="AN315" s="271"/>
      <c r="AO315" s="271"/>
      <c r="AP315" s="271"/>
      <c r="AQ315" s="271"/>
      <c r="AR315" s="271"/>
      <c r="AS315" s="271"/>
      <c r="AT315" s="271"/>
      <c r="AU315" s="271"/>
      <c r="AV315" s="271"/>
      <c r="AW315" s="271"/>
      <c r="AX315" s="271"/>
      <c r="AY315" s="271"/>
    </row>
    <row r="316" spans="1:51" ht="15.75" customHeight="1" x14ac:dyDescent="0.25">
      <c r="A316" s="271"/>
      <c r="B316" s="534"/>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c r="AL316" s="271"/>
      <c r="AM316" s="271"/>
      <c r="AN316" s="271"/>
      <c r="AO316" s="271"/>
      <c r="AP316" s="271"/>
      <c r="AQ316" s="271"/>
      <c r="AR316" s="271"/>
      <c r="AS316" s="271"/>
      <c r="AT316" s="271"/>
      <c r="AU316" s="271"/>
      <c r="AV316" s="271"/>
      <c r="AW316" s="271"/>
      <c r="AX316" s="271"/>
      <c r="AY316" s="271"/>
    </row>
    <row r="317" spans="1:51" ht="15.75" customHeight="1" x14ac:dyDescent="0.25">
      <c r="A317" s="271"/>
      <c r="B317" s="534"/>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c r="AM317" s="271"/>
      <c r="AN317" s="271"/>
      <c r="AO317" s="271"/>
      <c r="AP317" s="271"/>
      <c r="AQ317" s="271"/>
      <c r="AR317" s="271"/>
      <c r="AS317" s="271"/>
      <c r="AT317" s="271"/>
      <c r="AU317" s="271"/>
      <c r="AV317" s="271"/>
      <c r="AW317" s="271"/>
      <c r="AX317" s="271"/>
      <c r="AY317" s="271"/>
    </row>
    <row r="318" spans="1:51" ht="15.75" customHeight="1" x14ac:dyDescent="0.25">
      <c r="A318" s="271"/>
      <c r="B318" s="534"/>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c r="AL318" s="271"/>
      <c r="AM318" s="271"/>
      <c r="AN318" s="271"/>
      <c r="AO318" s="271"/>
      <c r="AP318" s="271"/>
      <c r="AQ318" s="271"/>
      <c r="AR318" s="271"/>
      <c r="AS318" s="271"/>
      <c r="AT318" s="271"/>
      <c r="AU318" s="271"/>
      <c r="AV318" s="271"/>
      <c r="AW318" s="271"/>
      <c r="AX318" s="271"/>
      <c r="AY318" s="271"/>
    </row>
    <row r="319" spans="1:51" ht="15.75" customHeight="1" x14ac:dyDescent="0.25">
      <c r="A319" s="271"/>
      <c r="B319" s="534"/>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c r="AM319" s="271"/>
      <c r="AN319" s="271"/>
      <c r="AO319" s="271"/>
      <c r="AP319" s="271"/>
      <c r="AQ319" s="271"/>
      <c r="AR319" s="271"/>
      <c r="AS319" s="271"/>
      <c r="AT319" s="271"/>
      <c r="AU319" s="271"/>
      <c r="AV319" s="271"/>
      <c r="AW319" s="271"/>
      <c r="AX319" s="271"/>
      <c r="AY319" s="271"/>
    </row>
    <row r="320" spans="1:51" ht="15.75" customHeight="1" x14ac:dyDescent="0.25">
      <c r="A320" s="271"/>
      <c r="B320" s="534"/>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c r="AL320" s="271"/>
      <c r="AM320" s="271"/>
      <c r="AN320" s="271"/>
      <c r="AO320" s="271"/>
      <c r="AP320" s="271"/>
      <c r="AQ320" s="271"/>
      <c r="AR320" s="271"/>
      <c r="AS320" s="271"/>
      <c r="AT320" s="271"/>
      <c r="AU320" s="271"/>
      <c r="AV320" s="271"/>
      <c r="AW320" s="271"/>
      <c r="AX320" s="271"/>
      <c r="AY320" s="271"/>
    </row>
    <row r="321" spans="1:51" ht="15.75" customHeight="1" x14ac:dyDescent="0.25">
      <c r="A321" s="271"/>
      <c r="B321" s="534"/>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c r="AM321" s="271"/>
      <c r="AN321" s="271"/>
      <c r="AO321" s="271"/>
      <c r="AP321" s="271"/>
      <c r="AQ321" s="271"/>
      <c r="AR321" s="271"/>
      <c r="AS321" s="271"/>
      <c r="AT321" s="271"/>
      <c r="AU321" s="271"/>
      <c r="AV321" s="271"/>
      <c r="AW321" s="271"/>
      <c r="AX321" s="271"/>
      <c r="AY321" s="271"/>
    </row>
    <row r="322" spans="1:51" ht="15.75" customHeight="1" x14ac:dyDescent="0.25">
      <c r="A322" s="271"/>
      <c r="B322" s="534"/>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c r="AL322" s="271"/>
      <c r="AM322" s="271"/>
      <c r="AN322" s="271"/>
      <c r="AO322" s="271"/>
      <c r="AP322" s="271"/>
      <c r="AQ322" s="271"/>
      <c r="AR322" s="271"/>
      <c r="AS322" s="271"/>
      <c r="AT322" s="271"/>
      <c r="AU322" s="271"/>
      <c r="AV322" s="271"/>
      <c r="AW322" s="271"/>
      <c r="AX322" s="271"/>
      <c r="AY322" s="271"/>
    </row>
    <row r="323" spans="1:51" ht="15.75" customHeight="1" x14ac:dyDescent="0.25">
      <c r="A323" s="271"/>
      <c r="B323" s="534"/>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c r="AM323" s="271"/>
      <c r="AN323" s="271"/>
      <c r="AO323" s="271"/>
      <c r="AP323" s="271"/>
      <c r="AQ323" s="271"/>
      <c r="AR323" s="271"/>
      <c r="AS323" s="271"/>
      <c r="AT323" s="271"/>
      <c r="AU323" s="271"/>
      <c r="AV323" s="271"/>
      <c r="AW323" s="271"/>
      <c r="AX323" s="271"/>
      <c r="AY323" s="271"/>
    </row>
    <row r="324" spans="1:51" ht="15.75" customHeight="1" x14ac:dyDescent="0.25">
      <c r="A324" s="271"/>
      <c r="B324" s="534"/>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c r="AL324" s="271"/>
      <c r="AM324" s="271"/>
      <c r="AN324" s="271"/>
      <c r="AO324" s="271"/>
      <c r="AP324" s="271"/>
      <c r="AQ324" s="271"/>
      <c r="AR324" s="271"/>
      <c r="AS324" s="271"/>
      <c r="AT324" s="271"/>
      <c r="AU324" s="271"/>
      <c r="AV324" s="271"/>
      <c r="AW324" s="271"/>
      <c r="AX324" s="271"/>
      <c r="AY324" s="271"/>
    </row>
    <row r="325" spans="1:51" ht="15.75" customHeight="1" x14ac:dyDescent="0.25">
      <c r="A325" s="271"/>
      <c r="B325" s="534"/>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c r="AL325" s="271"/>
      <c r="AM325" s="271"/>
      <c r="AN325" s="271"/>
      <c r="AO325" s="271"/>
      <c r="AP325" s="271"/>
      <c r="AQ325" s="271"/>
      <c r="AR325" s="271"/>
      <c r="AS325" s="271"/>
      <c r="AT325" s="271"/>
      <c r="AU325" s="271"/>
      <c r="AV325" s="271"/>
      <c r="AW325" s="271"/>
      <c r="AX325" s="271"/>
      <c r="AY325" s="271"/>
    </row>
    <row r="326" spans="1:51" ht="15.75" customHeight="1" x14ac:dyDescent="0.25">
      <c r="A326" s="271"/>
      <c r="B326" s="534"/>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c r="AM326" s="271"/>
      <c r="AN326" s="271"/>
      <c r="AO326" s="271"/>
      <c r="AP326" s="271"/>
      <c r="AQ326" s="271"/>
      <c r="AR326" s="271"/>
      <c r="AS326" s="271"/>
      <c r="AT326" s="271"/>
      <c r="AU326" s="271"/>
      <c r="AV326" s="271"/>
      <c r="AW326" s="271"/>
      <c r="AX326" s="271"/>
      <c r="AY326" s="271"/>
    </row>
    <row r="327" spans="1:51" ht="15.75" customHeight="1" x14ac:dyDescent="0.25">
      <c r="A327" s="271"/>
      <c r="B327" s="534"/>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c r="AL327" s="271"/>
      <c r="AM327" s="271"/>
      <c r="AN327" s="271"/>
      <c r="AO327" s="271"/>
      <c r="AP327" s="271"/>
      <c r="AQ327" s="271"/>
      <c r="AR327" s="271"/>
      <c r="AS327" s="271"/>
      <c r="AT327" s="271"/>
      <c r="AU327" s="271"/>
      <c r="AV327" s="271"/>
      <c r="AW327" s="271"/>
      <c r="AX327" s="271"/>
      <c r="AY327" s="271"/>
    </row>
    <row r="328" spans="1:51" ht="15.75" customHeight="1" x14ac:dyDescent="0.25">
      <c r="A328" s="271"/>
      <c r="B328" s="534"/>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c r="AM328" s="271"/>
      <c r="AN328" s="271"/>
      <c r="AO328" s="271"/>
      <c r="AP328" s="271"/>
      <c r="AQ328" s="271"/>
      <c r="AR328" s="271"/>
      <c r="AS328" s="271"/>
      <c r="AT328" s="271"/>
      <c r="AU328" s="271"/>
      <c r="AV328" s="271"/>
      <c r="AW328" s="271"/>
      <c r="AX328" s="271"/>
      <c r="AY328" s="271"/>
    </row>
    <row r="329" spans="1:51" ht="15.75" customHeight="1" x14ac:dyDescent="0.25">
      <c r="A329" s="271"/>
      <c r="B329" s="534"/>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c r="AL329" s="271"/>
      <c r="AM329" s="271"/>
      <c r="AN329" s="271"/>
      <c r="AO329" s="271"/>
      <c r="AP329" s="271"/>
      <c r="AQ329" s="271"/>
      <c r="AR329" s="271"/>
      <c r="AS329" s="271"/>
      <c r="AT329" s="271"/>
      <c r="AU329" s="271"/>
      <c r="AV329" s="271"/>
      <c r="AW329" s="271"/>
      <c r="AX329" s="271"/>
      <c r="AY329" s="271"/>
    </row>
    <row r="330" spans="1:51" ht="15.75" customHeight="1" x14ac:dyDescent="0.25">
      <c r="A330" s="271"/>
      <c r="B330" s="534"/>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c r="AL330" s="271"/>
      <c r="AM330" s="271"/>
      <c r="AN330" s="271"/>
      <c r="AO330" s="271"/>
      <c r="AP330" s="271"/>
      <c r="AQ330" s="271"/>
      <c r="AR330" s="271"/>
      <c r="AS330" s="271"/>
      <c r="AT330" s="271"/>
      <c r="AU330" s="271"/>
      <c r="AV330" s="271"/>
      <c r="AW330" s="271"/>
      <c r="AX330" s="271"/>
      <c r="AY330" s="271"/>
    </row>
    <row r="331" spans="1:51" ht="15.75" customHeight="1" x14ac:dyDescent="0.25">
      <c r="A331" s="271"/>
      <c r="B331" s="534"/>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c r="AM331" s="271"/>
      <c r="AN331" s="271"/>
      <c r="AO331" s="271"/>
      <c r="AP331" s="271"/>
      <c r="AQ331" s="271"/>
      <c r="AR331" s="271"/>
      <c r="AS331" s="271"/>
      <c r="AT331" s="271"/>
      <c r="AU331" s="271"/>
      <c r="AV331" s="271"/>
      <c r="AW331" s="271"/>
      <c r="AX331" s="271"/>
      <c r="AY331" s="271"/>
    </row>
    <row r="332" spans="1:51" ht="15.75" customHeight="1" x14ac:dyDescent="0.25">
      <c r="A332" s="271"/>
      <c r="B332" s="534"/>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c r="AL332" s="271"/>
      <c r="AM332" s="271"/>
      <c r="AN332" s="271"/>
      <c r="AO332" s="271"/>
      <c r="AP332" s="271"/>
      <c r="AQ332" s="271"/>
      <c r="AR332" s="271"/>
      <c r="AS332" s="271"/>
      <c r="AT332" s="271"/>
      <c r="AU332" s="271"/>
      <c r="AV332" s="271"/>
      <c r="AW332" s="271"/>
      <c r="AX332" s="271"/>
      <c r="AY332" s="271"/>
    </row>
    <row r="333" spans="1:51" ht="15.75" customHeight="1" x14ac:dyDescent="0.25">
      <c r="A333" s="271"/>
      <c r="B333" s="534"/>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c r="AM333" s="271"/>
      <c r="AN333" s="271"/>
      <c r="AO333" s="271"/>
      <c r="AP333" s="271"/>
      <c r="AQ333" s="271"/>
      <c r="AR333" s="271"/>
      <c r="AS333" s="271"/>
      <c r="AT333" s="271"/>
      <c r="AU333" s="271"/>
      <c r="AV333" s="271"/>
      <c r="AW333" s="271"/>
      <c r="AX333" s="271"/>
      <c r="AY333" s="271"/>
    </row>
    <row r="334" spans="1:51" ht="15.75" customHeight="1" x14ac:dyDescent="0.25">
      <c r="A334" s="271"/>
      <c r="B334" s="534"/>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c r="AL334" s="271"/>
      <c r="AM334" s="271"/>
      <c r="AN334" s="271"/>
      <c r="AO334" s="271"/>
      <c r="AP334" s="271"/>
      <c r="AQ334" s="271"/>
      <c r="AR334" s="271"/>
      <c r="AS334" s="271"/>
      <c r="AT334" s="271"/>
      <c r="AU334" s="271"/>
      <c r="AV334" s="271"/>
      <c r="AW334" s="271"/>
      <c r="AX334" s="271"/>
      <c r="AY334" s="271"/>
    </row>
    <row r="335" spans="1:51" ht="15.75" customHeight="1" x14ac:dyDescent="0.25">
      <c r="A335" s="271"/>
      <c r="B335" s="534"/>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c r="AL335" s="271"/>
      <c r="AM335" s="271"/>
      <c r="AN335" s="271"/>
      <c r="AO335" s="271"/>
      <c r="AP335" s="271"/>
      <c r="AQ335" s="271"/>
      <c r="AR335" s="271"/>
      <c r="AS335" s="271"/>
      <c r="AT335" s="271"/>
      <c r="AU335" s="271"/>
      <c r="AV335" s="271"/>
      <c r="AW335" s="271"/>
      <c r="AX335" s="271"/>
      <c r="AY335" s="271"/>
    </row>
    <row r="336" spans="1:51" ht="15.75" customHeight="1" x14ac:dyDescent="0.25">
      <c r="A336" s="271"/>
      <c r="B336" s="534"/>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c r="AL336" s="271"/>
      <c r="AM336" s="271"/>
      <c r="AN336" s="271"/>
      <c r="AO336" s="271"/>
      <c r="AP336" s="271"/>
      <c r="AQ336" s="271"/>
      <c r="AR336" s="271"/>
      <c r="AS336" s="271"/>
      <c r="AT336" s="271"/>
      <c r="AU336" s="271"/>
      <c r="AV336" s="271"/>
      <c r="AW336" s="271"/>
      <c r="AX336" s="271"/>
      <c r="AY336" s="271"/>
    </row>
    <row r="337" spans="1:51" ht="15.75" customHeight="1" x14ac:dyDescent="0.25">
      <c r="A337" s="271"/>
      <c r="B337" s="534"/>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c r="AL337" s="271"/>
      <c r="AM337" s="271"/>
      <c r="AN337" s="271"/>
      <c r="AO337" s="271"/>
      <c r="AP337" s="271"/>
      <c r="AQ337" s="271"/>
      <c r="AR337" s="271"/>
      <c r="AS337" s="271"/>
      <c r="AT337" s="271"/>
      <c r="AU337" s="271"/>
      <c r="AV337" s="271"/>
      <c r="AW337" s="271"/>
      <c r="AX337" s="271"/>
      <c r="AY337" s="271"/>
    </row>
    <row r="338" spans="1:51" ht="15.75" customHeight="1" x14ac:dyDescent="0.25">
      <c r="A338" s="271"/>
      <c r="B338" s="534"/>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c r="AL338" s="271"/>
      <c r="AM338" s="271"/>
      <c r="AN338" s="271"/>
      <c r="AO338" s="271"/>
      <c r="AP338" s="271"/>
      <c r="AQ338" s="271"/>
      <c r="AR338" s="271"/>
      <c r="AS338" s="271"/>
      <c r="AT338" s="271"/>
      <c r="AU338" s="271"/>
      <c r="AV338" s="271"/>
      <c r="AW338" s="271"/>
      <c r="AX338" s="271"/>
      <c r="AY338" s="271"/>
    </row>
    <row r="339" spans="1:51" ht="15.75" customHeight="1" x14ac:dyDescent="0.25">
      <c r="A339" s="271"/>
      <c r="B339" s="534"/>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c r="AL339" s="271"/>
      <c r="AM339" s="271"/>
      <c r="AN339" s="271"/>
      <c r="AO339" s="271"/>
      <c r="AP339" s="271"/>
      <c r="AQ339" s="271"/>
      <c r="AR339" s="271"/>
      <c r="AS339" s="271"/>
      <c r="AT339" s="271"/>
      <c r="AU339" s="271"/>
      <c r="AV339" s="271"/>
      <c r="AW339" s="271"/>
      <c r="AX339" s="271"/>
      <c r="AY339" s="271"/>
    </row>
    <row r="340" spans="1:51" ht="15.75" customHeight="1" x14ac:dyDescent="0.25">
      <c r="A340" s="271"/>
      <c r="B340" s="534"/>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c r="AL340" s="271"/>
      <c r="AM340" s="271"/>
      <c r="AN340" s="271"/>
      <c r="AO340" s="271"/>
      <c r="AP340" s="271"/>
      <c r="AQ340" s="271"/>
      <c r="AR340" s="271"/>
      <c r="AS340" s="271"/>
      <c r="AT340" s="271"/>
      <c r="AU340" s="271"/>
      <c r="AV340" s="271"/>
      <c r="AW340" s="271"/>
      <c r="AX340" s="271"/>
      <c r="AY340" s="271"/>
    </row>
    <row r="341" spans="1:51" ht="15.75" customHeight="1" x14ac:dyDescent="0.25">
      <c r="A341" s="271"/>
      <c r="B341" s="534"/>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c r="AL341" s="271"/>
      <c r="AM341" s="271"/>
      <c r="AN341" s="271"/>
      <c r="AO341" s="271"/>
      <c r="AP341" s="271"/>
      <c r="AQ341" s="271"/>
      <c r="AR341" s="271"/>
      <c r="AS341" s="271"/>
      <c r="AT341" s="271"/>
      <c r="AU341" s="271"/>
      <c r="AV341" s="271"/>
      <c r="AW341" s="271"/>
      <c r="AX341" s="271"/>
      <c r="AY341" s="271"/>
    </row>
    <row r="342" spans="1:51" ht="15.75" customHeight="1" x14ac:dyDescent="0.25">
      <c r="A342" s="271"/>
      <c r="B342" s="534"/>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c r="AL342" s="271"/>
      <c r="AM342" s="271"/>
      <c r="AN342" s="271"/>
      <c r="AO342" s="271"/>
      <c r="AP342" s="271"/>
      <c r="AQ342" s="271"/>
      <c r="AR342" s="271"/>
      <c r="AS342" s="271"/>
      <c r="AT342" s="271"/>
      <c r="AU342" s="271"/>
      <c r="AV342" s="271"/>
      <c r="AW342" s="271"/>
      <c r="AX342" s="271"/>
      <c r="AY342" s="271"/>
    </row>
    <row r="343" spans="1:51" ht="15.75" customHeight="1" x14ac:dyDescent="0.25">
      <c r="A343" s="271"/>
      <c r="B343" s="534"/>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c r="AL343" s="271"/>
      <c r="AM343" s="271"/>
      <c r="AN343" s="271"/>
      <c r="AO343" s="271"/>
      <c r="AP343" s="271"/>
      <c r="AQ343" s="271"/>
      <c r="AR343" s="271"/>
      <c r="AS343" s="271"/>
      <c r="AT343" s="271"/>
      <c r="AU343" s="271"/>
      <c r="AV343" s="271"/>
      <c r="AW343" s="271"/>
      <c r="AX343" s="271"/>
      <c r="AY343" s="271"/>
    </row>
    <row r="344" spans="1:51" ht="15.75" customHeight="1" x14ac:dyDescent="0.25">
      <c r="A344" s="271"/>
      <c r="B344" s="534"/>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c r="AL344" s="271"/>
      <c r="AM344" s="271"/>
      <c r="AN344" s="271"/>
      <c r="AO344" s="271"/>
      <c r="AP344" s="271"/>
      <c r="AQ344" s="271"/>
      <c r="AR344" s="271"/>
      <c r="AS344" s="271"/>
      <c r="AT344" s="271"/>
      <c r="AU344" s="271"/>
      <c r="AV344" s="271"/>
      <c r="AW344" s="271"/>
      <c r="AX344" s="271"/>
      <c r="AY344" s="271"/>
    </row>
    <row r="345" spans="1:51" ht="15.75" customHeight="1" x14ac:dyDescent="0.25">
      <c r="A345" s="271"/>
      <c r="B345" s="534"/>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c r="AL345" s="271"/>
      <c r="AM345" s="271"/>
      <c r="AN345" s="271"/>
      <c r="AO345" s="271"/>
      <c r="AP345" s="271"/>
      <c r="AQ345" s="271"/>
      <c r="AR345" s="271"/>
      <c r="AS345" s="271"/>
      <c r="AT345" s="271"/>
      <c r="AU345" s="271"/>
      <c r="AV345" s="271"/>
      <c r="AW345" s="271"/>
      <c r="AX345" s="271"/>
      <c r="AY345" s="271"/>
    </row>
    <row r="346" spans="1:51" ht="15.75" customHeight="1" x14ac:dyDescent="0.25">
      <c r="A346" s="271"/>
      <c r="B346" s="534"/>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c r="AL346" s="271"/>
      <c r="AM346" s="271"/>
      <c r="AN346" s="271"/>
      <c r="AO346" s="271"/>
      <c r="AP346" s="271"/>
      <c r="AQ346" s="271"/>
      <c r="AR346" s="271"/>
      <c r="AS346" s="271"/>
      <c r="AT346" s="271"/>
      <c r="AU346" s="271"/>
      <c r="AV346" s="271"/>
      <c r="AW346" s="271"/>
      <c r="AX346" s="271"/>
      <c r="AY346" s="271"/>
    </row>
    <row r="347" spans="1:51" ht="15.75" customHeight="1" x14ac:dyDescent="0.25">
      <c r="A347" s="271"/>
      <c r="B347" s="534"/>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c r="AL347" s="271"/>
      <c r="AM347" s="271"/>
      <c r="AN347" s="271"/>
      <c r="AO347" s="271"/>
      <c r="AP347" s="271"/>
      <c r="AQ347" s="271"/>
      <c r="AR347" s="271"/>
      <c r="AS347" s="271"/>
      <c r="AT347" s="271"/>
      <c r="AU347" s="271"/>
      <c r="AV347" s="271"/>
      <c r="AW347" s="271"/>
      <c r="AX347" s="271"/>
      <c r="AY347" s="271"/>
    </row>
    <row r="348" spans="1:51" ht="15.75" customHeight="1" x14ac:dyDescent="0.25">
      <c r="A348" s="271"/>
      <c r="B348" s="534"/>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c r="AL348" s="271"/>
      <c r="AM348" s="271"/>
      <c r="AN348" s="271"/>
      <c r="AO348" s="271"/>
      <c r="AP348" s="271"/>
      <c r="AQ348" s="271"/>
      <c r="AR348" s="271"/>
      <c r="AS348" s="271"/>
      <c r="AT348" s="271"/>
      <c r="AU348" s="271"/>
      <c r="AV348" s="271"/>
      <c r="AW348" s="271"/>
      <c r="AX348" s="271"/>
      <c r="AY348" s="271"/>
    </row>
    <row r="349" spans="1:51" ht="15.75" customHeight="1" x14ac:dyDescent="0.25">
      <c r="A349" s="271"/>
      <c r="B349" s="534"/>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c r="AL349" s="271"/>
      <c r="AM349" s="271"/>
      <c r="AN349" s="271"/>
      <c r="AO349" s="271"/>
      <c r="AP349" s="271"/>
      <c r="AQ349" s="271"/>
      <c r="AR349" s="271"/>
      <c r="AS349" s="271"/>
      <c r="AT349" s="271"/>
      <c r="AU349" s="271"/>
      <c r="AV349" s="271"/>
      <c r="AW349" s="271"/>
      <c r="AX349" s="271"/>
      <c r="AY349" s="271"/>
    </row>
    <row r="350" spans="1:51" ht="15.75" customHeight="1" x14ac:dyDescent="0.25">
      <c r="A350" s="271"/>
      <c r="B350" s="534"/>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c r="AL350" s="271"/>
      <c r="AM350" s="271"/>
      <c r="AN350" s="271"/>
      <c r="AO350" s="271"/>
      <c r="AP350" s="271"/>
      <c r="AQ350" s="271"/>
      <c r="AR350" s="271"/>
      <c r="AS350" s="271"/>
      <c r="AT350" s="271"/>
      <c r="AU350" s="271"/>
      <c r="AV350" s="271"/>
      <c r="AW350" s="271"/>
      <c r="AX350" s="271"/>
      <c r="AY350" s="271"/>
    </row>
    <row r="351" spans="1:51" ht="15.75" customHeight="1" x14ac:dyDescent="0.25">
      <c r="A351" s="271"/>
      <c r="B351" s="534"/>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c r="AL351" s="271"/>
      <c r="AM351" s="271"/>
      <c r="AN351" s="271"/>
      <c r="AO351" s="271"/>
      <c r="AP351" s="271"/>
      <c r="AQ351" s="271"/>
      <c r="AR351" s="271"/>
      <c r="AS351" s="271"/>
      <c r="AT351" s="271"/>
      <c r="AU351" s="271"/>
      <c r="AV351" s="271"/>
      <c r="AW351" s="271"/>
      <c r="AX351" s="271"/>
      <c r="AY351" s="271"/>
    </row>
    <row r="352" spans="1:51" ht="15.75" customHeight="1" x14ac:dyDescent="0.25">
      <c r="A352" s="271"/>
      <c r="B352" s="534"/>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c r="AL352" s="271"/>
      <c r="AM352" s="271"/>
      <c r="AN352" s="271"/>
      <c r="AO352" s="271"/>
      <c r="AP352" s="271"/>
      <c r="AQ352" s="271"/>
      <c r="AR352" s="271"/>
      <c r="AS352" s="271"/>
      <c r="AT352" s="271"/>
      <c r="AU352" s="271"/>
      <c r="AV352" s="271"/>
      <c r="AW352" s="271"/>
      <c r="AX352" s="271"/>
      <c r="AY352" s="271"/>
    </row>
    <row r="353" spans="1:51" ht="15.75" customHeight="1" x14ac:dyDescent="0.25">
      <c r="A353" s="271"/>
      <c r="B353" s="534"/>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c r="AL353" s="271"/>
      <c r="AM353" s="271"/>
      <c r="AN353" s="271"/>
      <c r="AO353" s="271"/>
      <c r="AP353" s="271"/>
      <c r="AQ353" s="271"/>
      <c r="AR353" s="271"/>
      <c r="AS353" s="271"/>
      <c r="AT353" s="271"/>
      <c r="AU353" s="271"/>
      <c r="AV353" s="271"/>
      <c r="AW353" s="271"/>
      <c r="AX353" s="271"/>
      <c r="AY353" s="271"/>
    </row>
    <row r="354" spans="1:51" ht="15.75" customHeight="1" x14ac:dyDescent="0.25">
      <c r="A354" s="271"/>
      <c r="B354" s="534"/>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c r="AL354" s="271"/>
      <c r="AM354" s="271"/>
      <c r="AN354" s="271"/>
      <c r="AO354" s="271"/>
      <c r="AP354" s="271"/>
      <c r="AQ354" s="271"/>
      <c r="AR354" s="271"/>
      <c r="AS354" s="271"/>
      <c r="AT354" s="271"/>
      <c r="AU354" s="271"/>
      <c r="AV354" s="271"/>
      <c r="AW354" s="271"/>
      <c r="AX354" s="271"/>
      <c r="AY354" s="271"/>
    </row>
    <row r="355" spans="1:51" ht="15.75" customHeight="1" x14ac:dyDescent="0.25">
      <c r="A355" s="271"/>
      <c r="B355" s="534"/>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c r="AL355" s="271"/>
      <c r="AM355" s="271"/>
      <c r="AN355" s="271"/>
      <c r="AO355" s="271"/>
      <c r="AP355" s="271"/>
      <c r="AQ355" s="271"/>
      <c r="AR355" s="271"/>
      <c r="AS355" s="271"/>
      <c r="AT355" s="271"/>
      <c r="AU355" s="271"/>
      <c r="AV355" s="271"/>
      <c r="AW355" s="271"/>
      <c r="AX355" s="271"/>
      <c r="AY355" s="271"/>
    </row>
    <row r="356" spans="1:51" ht="15.75" customHeight="1" x14ac:dyDescent="0.25">
      <c r="A356" s="271"/>
      <c r="B356" s="534"/>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c r="AL356" s="271"/>
      <c r="AM356" s="271"/>
      <c r="AN356" s="271"/>
      <c r="AO356" s="271"/>
      <c r="AP356" s="271"/>
      <c r="AQ356" s="271"/>
      <c r="AR356" s="271"/>
      <c r="AS356" s="271"/>
      <c r="AT356" s="271"/>
      <c r="AU356" s="271"/>
      <c r="AV356" s="271"/>
      <c r="AW356" s="271"/>
      <c r="AX356" s="271"/>
      <c r="AY356" s="271"/>
    </row>
    <row r="357" spans="1:51" ht="15.75" customHeight="1" x14ac:dyDescent="0.25">
      <c r="A357" s="271"/>
      <c r="B357" s="534"/>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c r="AL357" s="271"/>
      <c r="AM357" s="271"/>
      <c r="AN357" s="271"/>
      <c r="AO357" s="271"/>
      <c r="AP357" s="271"/>
      <c r="AQ357" s="271"/>
      <c r="AR357" s="271"/>
      <c r="AS357" s="271"/>
      <c r="AT357" s="271"/>
      <c r="AU357" s="271"/>
      <c r="AV357" s="271"/>
      <c r="AW357" s="271"/>
      <c r="AX357" s="271"/>
      <c r="AY357" s="271"/>
    </row>
    <row r="358" spans="1:51" ht="15.75" customHeight="1" x14ac:dyDescent="0.25">
      <c r="A358" s="271"/>
      <c r="B358" s="534"/>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c r="AL358" s="271"/>
      <c r="AM358" s="271"/>
      <c r="AN358" s="271"/>
      <c r="AO358" s="271"/>
      <c r="AP358" s="271"/>
      <c r="AQ358" s="271"/>
      <c r="AR358" s="271"/>
      <c r="AS358" s="271"/>
      <c r="AT358" s="271"/>
      <c r="AU358" s="271"/>
      <c r="AV358" s="271"/>
      <c r="AW358" s="271"/>
      <c r="AX358" s="271"/>
      <c r="AY358" s="271"/>
    </row>
    <row r="359" spans="1:51" ht="15.75" customHeight="1" x14ac:dyDescent="0.25">
      <c r="A359" s="271"/>
      <c r="B359" s="534"/>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c r="AL359" s="271"/>
      <c r="AM359" s="271"/>
      <c r="AN359" s="271"/>
      <c r="AO359" s="271"/>
      <c r="AP359" s="271"/>
      <c r="AQ359" s="271"/>
      <c r="AR359" s="271"/>
      <c r="AS359" s="271"/>
      <c r="AT359" s="271"/>
      <c r="AU359" s="271"/>
      <c r="AV359" s="271"/>
      <c r="AW359" s="271"/>
      <c r="AX359" s="271"/>
      <c r="AY359" s="271"/>
    </row>
    <row r="360" spans="1:51" ht="15.75" customHeight="1" x14ac:dyDescent="0.25">
      <c r="A360" s="271"/>
      <c r="B360" s="534"/>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c r="AL360" s="271"/>
      <c r="AM360" s="271"/>
      <c r="AN360" s="271"/>
      <c r="AO360" s="271"/>
      <c r="AP360" s="271"/>
      <c r="AQ360" s="271"/>
      <c r="AR360" s="271"/>
      <c r="AS360" s="271"/>
      <c r="AT360" s="271"/>
      <c r="AU360" s="271"/>
      <c r="AV360" s="271"/>
      <c r="AW360" s="271"/>
      <c r="AX360" s="271"/>
      <c r="AY360" s="271"/>
    </row>
    <row r="361" spans="1:51" ht="15.75" customHeight="1" x14ac:dyDescent="0.25">
      <c r="A361" s="271"/>
      <c r="B361" s="534"/>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c r="AL361" s="271"/>
      <c r="AM361" s="271"/>
      <c r="AN361" s="271"/>
      <c r="AO361" s="271"/>
      <c r="AP361" s="271"/>
      <c r="AQ361" s="271"/>
      <c r="AR361" s="271"/>
      <c r="AS361" s="271"/>
      <c r="AT361" s="271"/>
      <c r="AU361" s="271"/>
      <c r="AV361" s="271"/>
      <c r="AW361" s="271"/>
      <c r="AX361" s="271"/>
      <c r="AY361" s="271"/>
    </row>
    <row r="362" spans="1:51" ht="15.75" customHeight="1" x14ac:dyDescent="0.25">
      <c r="A362" s="271"/>
      <c r="B362" s="534"/>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c r="AL362" s="271"/>
      <c r="AM362" s="271"/>
      <c r="AN362" s="271"/>
      <c r="AO362" s="271"/>
      <c r="AP362" s="271"/>
      <c r="AQ362" s="271"/>
      <c r="AR362" s="271"/>
      <c r="AS362" s="271"/>
      <c r="AT362" s="271"/>
      <c r="AU362" s="271"/>
      <c r="AV362" s="271"/>
      <c r="AW362" s="271"/>
      <c r="AX362" s="271"/>
      <c r="AY362" s="271"/>
    </row>
    <row r="363" spans="1:51" ht="15.75" customHeight="1" x14ac:dyDescent="0.25">
      <c r="A363" s="271"/>
      <c r="B363" s="534"/>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c r="AL363" s="271"/>
      <c r="AM363" s="271"/>
      <c r="AN363" s="271"/>
      <c r="AO363" s="271"/>
      <c r="AP363" s="271"/>
      <c r="AQ363" s="271"/>
      <c r="AR363" s="271"/>
      <c r="AS363" s="271"/>
      <c r="AT363" s="271"/>
      <c r="AU363" s="271"/>
      <c r="AV363" s="271"/>
      <c r="AW363" s="271"/>
      <c r="AX363" s="271"/>
      <c r="AY363" s="271"/>
    </row>
    <row r="364" spans="1:51" ht="15.75" customHeight="1" x14ac:dyDescent="0.25">
      <c r="A364" s="271"/>
      <c r="B364" s="534"/>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c r="AL364" s="271"/>
      <c r="AM364" s="271"/>
      <c r="AN364" s="271"/>
      <c r="AO364" s="271"/>
      <c r="AP364" s="271"/>
      <c r="AQ364" s="271"/>
      <c r="AR364" s="271"/>
      <c r="AS364" s="271"/>
      <c r="AT364" s="271"/>
      <c r="AU364" s="271"/>
      <c r="AV364" s="271"/>
      <c r="AW364" s="271"/>
      <c r="AX364" s="271"/>
      <c r="AY364" s="271"/>
    </row>
    <row r="365" spans="1:51" ht="15.75" customHeight="1" x14ac:dyDescent="0.25">
      <c r="A365" s="271"/>
      <c r="B365" s="534"/>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c r="AL365" s="271"/>
      <c r="AM365" s="271"/>
      <c r="AN365" s="271"/>
      <c r="AO365" s="271"/>
      <c r="AP365" s="271"/>
      <c r="AQ365" s="271"/>
      <c r="AR365" s="271"/>
      <c r="AS365" s="271"/>
      <c r="AT365" s="271"/>
      <c r="AU365" s="271"/>
      <c r="AV365" s="271"/>
      <c r="AW365" s="271"/>
      <c r="AX365" s="271"/>
      <c r="AY365" s="271"/>
    </row>
    <row r="366" spans="1:51" ht="15.75" customHeight="1" x14ac:dyDescent="0.25">
      <c r="A366" s="271"/>
      <c r="B366" s="534"/>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c r="AL366" s="271"/>
      <c r="AM366" s="271"/>
      <c r="AN366" s="271"/>
      <c r="AO366" s="271"/>
      <c r="AP366" s="271"/>
      <c r="AQ366" s="271"/>
      <c r="AR366" s="271"/>
      <c r="AS366" s="271"/>
      <c r="AT366" s="271"/>
      <c r="AU366" s="271"/>
      <c r="AV366" s="271"/>
      <c r="AW366" s="271"/>
      <c r="AX366" s="271"/>
      <c r="AY366" s="271"/>
    </row>
    <row r="367" spans="1:51" ht="15.75" customHeight="1" x14ac:dyDescent="0.25">
      <c r="A367" s="271"/>
      <c r="B367" s="534"/>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c r="AL367" s="271"/>
      <c r="AM367" s="271"/>
      <c r="AN367" s="271"/>
      <c r="AO367" s="271"/>
      <c r="AP367" s="271"/>
      <c r="AQ367" s="271"/>
      <c r="AR367" s="271"/>
      <c r="AS367" s="271"/>
      <c r="AT367" s="271"/>
      <c r="AU367" s="271"/>
      <c r="AV367" s="271"/>
      <c r="AW367" s="271"/>
      <c r="AX367" s="271"/>
      <c r="AY367" s="271"/>
    </row>
    <row r="368" spans="1:51" ht="15.75" customHeight="1" x14ac:dyDescent="0.25">
      <c r="A368" s="271"/>
      <c r="B368" s="534"/>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c r="AL368" s="271"/>
      <c r="AM368" s="271"/>
      <c r="AN368" s="271"/>
      <c r="AO368" s="271"/>
      <c r="AP368" s="271"/>
      <c r="AQ368" s="271"/>
      <c r="AR368" s="271"/>
      <c r="AS368" s="271"/>
      <c r="AT368" s="271"/>
      <c r="AU368" s="271"/>
      <c r="AV368" s="271"/>
      <c r="AW368" s="271"/>
      <c r="AX368" s="271"/>
      <c r="AY368" s="271"/>
    </row>
    <row r="369" spans="1:51" ht="15.75" customHeight="1" x14ac:dyDescent="0.25">
      <c r="A369" s="271"/>
      <c r="B369" s="534"/>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c r="AL369" s="271"/>
      <c r="AM369" s="271"/>
      <c r="AN369" s="271"/>
      <c r="AO369" s="271"/>
      <c r="AP369" s="271"/>
      <c r="AQ369" s="271"/>
      <c r="AR369" s="271"/>
      <c r="AS369" s="271"/>
      <c r="AT369" s="271"/>
      <c r="AU369" s="271"/>
      <c r="AV369" s="271"/>
      <c r="AW369" s="271"/>
      <c r="AX369" s="271"/>
      <c r="AY369" s="271"/>
    </row>
    <row r="370" spans="1:51" ht="15.75" customHeight="1" x14ac:dyDescent="0.25">
      <c r="A370" s="271"/>
      <c r="B370" s="534"/>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c r="AL370" s="271"/>
      <c r="AM370" s="271"/>
      <c r="AN370" s="271"/>
      <c r="AO370" s="271"/>
      <c r="AP370" s="271"/>
      <c r="AQ370" s="271"/>
      <c r="AR370" s="271"/>
      <c r="AS370" s="271"/>
      <c r="AT370" s="271"/>
      <c r="AU370" s="271"/>
      <c r="AV370" s="271"/>
      <c r="AW370" s="271"/>
      <c r="AX370" s="271"/>
      <c r="AY370" s="271"/>
    </row>
    <row r="371" spans="1:51" ht="15.75" customHeight="1" x14ac:dyDescent="0.25">
      <c r="A371" s="271"/>
      <c r="B371" s="534"/>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c r="AL371" s="271"/>
      <c r="AM371" s="271"/>
      <c r="AN371" s="271"/>
      <c r="AO371" s="271"/>
      <c r="AP371" s="271"/>
      <c r="AQ371" s="271"/>
      <c r="AR371" s="271"/>
      <c r="AS371" s="271"/>
      <c r="AT371" s="271"/>
      <c r="AU371" s="271"/>
      <c r="AV371" s="271"/>
      <c r="AW371" s="271"/>
      <c r="AX371" s="271"/>
      <c r="AY371" s="271"/>
    </row>
    <row r="372" spans="1:51" ht="15.75" customHeight="1" x14ac:dyDescent="0.25">
      <c r="A372" s="271"/>
      <c r="B372" s="534"/>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c r="AL372" s="271"/>
      <c r="AM372" s="271"/>
      <c r="AN372" s="271"/>
      <c r="AO372" s="271"/>
      <c r="AP372" s="271"/>
      <c r="AQ372" s="271"/>
      <c r="AR372" s="271"/>
      <c r="AS372" s="271"/>
      <c r="AT372" s="271"/>
      <c r="AU372" s="271"/>
      <c r="AV372" s="271"/>
      <c r="AW372" s="271"/>
      <c r="AX372" s="271"/>
      <c r="AY372" s="271"/>
    </row>
    <row r="373" spans="1:51" ht="15.75" customHeight="1" x14ac:dyDescent="0.25">
      <c r="A373" s="271"/>
      <c r="B373" s="534"/>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c r="AL373" s="271"/>
      <c r="AM373" s="271"/>
      <c r="AN373" s="271"/>
      <c r="AO373" s="271"/>
      <c r="AP373" s="271"/>
      <c r="AQ373" s="271"/>
      <c r="AR373" s="271"/>
      <c r="AS373" s="271"/>
      <c r="AT373" s="271"/>
      <c r="AU373" s="271"/>
      <c r="AV373" s="271"/>
      <c r="AW373" s="271"/>
      <c r="AX373" s="271"/>
      <c r="AY373" s="271"/>
    </row>
    <row r="374" spans="1:51" ht="15.75" customHeight="1" x14ac:dyDescent="0.25">
      <c r="A374" s="271"/>
      <c r="B374" s="534"/>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c r="AL374" s="271"/>
      <c r="AM374" s="271"/>
      <c r="AN374" s="271"/>
      <c r="AO374" s="271"/>
      <c r="AP374" s="271"/>
      <c r="AQ374" s="271"/>
      <c r="AR374" s="271"/>
      <c r="AS374" s="271"/>
      <c r="AT374" s="271"/>
      <c r="AU374" s="271"/>
      <c r="AV374" s="271"/>
      <c r="AW374" s="271"/>
      <c r="AX374" s="271"/>
      <c r="AY374" s="271"/>
    </row>
    <row r="375" spans="1:51" ht="15.75" customHeight="1" x14ac:dyDescent="0.25">
      <c r="A375" s="271"/>
      <c r="B375" s="534"/>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c r="AL375" s="271"/>
      <c r="AM375" s="271"/>
      <c r="AN375" s="271"/>
      <c r="AO375" s="271"/>
      <c r="AP375" s="271"/>
      <c r="AQ375" s="271"/>
      <c r="AR375" s="271"/>
      <c r="AS375" s="271"/>
      <c r="AT375" s="271"/>
      <c r="AU375" s="271"/>
      <c r="AV375" s="271"/>
      <c r="AW375" s="271"/>
      <c r="AX375" s="271"/>
      <c r="AY375" s="271"/>
    </row>
    <row r="376" spans="1:51" ht="15.75" customHeight="1" x14ac:dyDescent="0.25">
      <c r="A376" s="271"/>
      <c r="B376" s="534"/>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c r="AL376" s="271"/>
      <c r="AM376" s="271"/>
      <c r="AN376" s="271"/>
      <c r="AO376" s="271"/>
      <c r="AP376" s="271"/>
      <c r="AQ376" s="271"/>
      <c r="AR376" s="271"/>
      <c r="AS376" s="271"/>
      <c r="AT376" s="271"/>
      <c r="AU376" s="271"/>
      <c r="AV376" s="271"/>
      <c r="AW376" s="271"/>
      <c r="AX376" s="271"/>
      <c r="AY376" s="271"/>
    </row>
    <row r="377" spans="1:51" ht="15.75" customHeight="1" x14ac:dyDescent="0.25">
      <c r="A377" s="271"/>
      <c r="B377" s="534"/>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c r="AL377" s="271"/>
      <c r="AM377" s="271"/>
      <c r="AN377" s="271"/>
      <c r="AO377" s="271"/>
      <c r="AP377" s="271"/>
      <c r="AQ377" s="271"/>
      <c r="AR377" s="271"/>
      <c r="AS377" s="271"/>
      <c r="AT377" s="271"/>
      <c r="AU377" s="271"/>
      <c r="AV377" s="271"/>
      <c r="AW377" s="271"/>
      <c r="AX377" s="271"/>
      <c r="AY377" s="271"/>
    </row>
    <row r="378" spans="1:51" ht="15.75" customHeight="1" x14ac:dyDescent="0.25">
      <c r="A378" s="271"/>
      <c r="B378" s="534"/>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c r="AL378" s="271"/>
      <c r="AM378" s="271"/>
      <c r="AN378" s="271"/>
      <c r="AO378" s="271"/>
      <c r="AP378" s="271"/>
      <c r="AQ378" s="271"/>
      <c r="AR378" s="271"/>
      <c r="AS378" s="271"/>
      <c r="AT378" s="271"/>
      <c r="AU378" s="271"/>
      <c r="AV378" s="271"/>
      <c r="AW378" s="271"/>
      <c r="AX378" s="271"/>
      <c r="AY378" s="271"/>
    </row>
    <row r="379" spans="1:51" ht="15.75" customHeight="1" x14ac:dyDescent="0.25">
      <c r="A379" s="271"/>
      <c r="B379" s="534"/>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c r="AL379" s="271"/>
      <c r="AM379" s="271"/>
      <c r="AN379" s="271"/>
      <c r="AO379" s="271"/>
      <c r="AP379" s="271"/>
      <c r="AQ379" s="271"/>
      <c r="AR379" s="271"/>
      <c r="AS379" s="271"/>
      <c r="AT379" s="271"/>
      <c r="AU379" s="271"/>
      <c r="AV379" s="271"/>
      <c r="AW379" s="271"/>
      <c r="AX379" s="271"/>
      <c r="AY379" s="271"/>
    </row>
    <row r="380" spans="1:51" ht="15.75" customHeight="1" x14ac:dyDescent="0.25">
      <c r="A380" s="271"/>
      <c r="B380" s="534"/>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c r="AL380" s="271"/>
      <c r="AM380" s="271"/>
      <c r="AN380" s="271"/>
      <c r="AO380" s="271"/>
      <c r="AP380" s="271"/>
      <c r="AQ380" s="271"/>
      <c r="AR380" s="271"/>
      <c r="AS380" s="271"/>
      <c r="AT380" s="271"/>
      <c r="AU380" s="271"/>
      <c r="AV380" s="271"/>
      <c r="AW380" s="271"/>
      <c r="AX380" s="271"/>
      <c r="AY380" s="271"/>
    </row>
    <row r="381" spans="1:51" ht="15.75" customHeight="1" x14ac:dyDescent="0.25">
      <c r="A381" s="271"/>
      <c r="B381" s="534"/>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c r="AL381" s="271"/>
      <c r="AM381" s="271"/>
      <c r="AN381" s="271"/>
      <c r="AO381" s="271"/>
      <c r="AP381" s="271"/>
      <c r="AQ381" s="271"/>
      <c r="AR381" s="271"/>
      <c r="AS381" s="271"/>
      <c r="AT381" s="271"/>
      <c r="AU381" s="271"/>
      <c r="AV381" s="271"/>
      <c r="AW381" s="271"/>
      <c r="AX381" s="271"/>
      <c r="AY381" s="271"/>
    </row>
    <row r="382" spans="1:51" ht="15.75" customHeight="1" x14ac:dyDescent="0.25">
      <c r="A382" s="271"/>
      <c r="B382" s="534"/>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c r="AL382" s="271"/>
      <c r="AM382" s="271"/>
      <c r="AN382" s="271"/>
      <c r="AO382" s="271"/>
      <c r="AP382" s="271"/>
      <c r="AQ382" s="271"/>
      <c r="AR382" s="271"/>
      <c r="AS382" s="271"/>
      <c r="AT382" s="271"/>
      <c r="AU382" s="271"/>
      <c r="AV382" s="271"/>
      <c r="AW382" s="271"/>
      <c r="AX382" s="271"/>
      <c r="AY382" s="271"/>
    </row>
    <row r="383" spans="1:51" ht="15.75" customHeight="1" x14ac:dyDescent="0.25">
      <c r="A383" s="271"/>
      <c r="B383" s="534"/>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c r="AL383" s="271"/>
      <c r="AM383" s="271"/>
      <c r="AN383" s="271"/>
      <c r="AO383" s="271"/>
      <c r="AP383" s="271"/>
      <c r="AQ383" s="271"/>
      <c r="AR383" s="271"/>
      <c r="AS383" s="271"/>
      <c r="AT383" s="271"/>
      <c r="AU383" s="271"/>
      <c r="AV383" s="271"/>
      <c r="AW383" s="271"/>
      <c r="AX383" s="271"/>
      <c r="AY383" s="271"/>
    </row>
    <row r="384" spans="1:51" ht="15.75" customHeight="1" x14ac:dyDescent="0.25">
      <c r="A384" s="271"/>
      <c r="B384" s="534"/>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c r="AL384" s="271"/>
      <c r="AM384" s="271"/>
      <c r="AN384" s="271"/>
      <c r="AO384" s="271"/>
      <c r="AP384" s="271"/>
      <c r="AQ384" s="271"/>
      <c r="AR384" s="271"/>
      <c r="AS384" s="271"/>
      <c r="AT384" s="271"/>
      <c r="AU384" s="271"/>
      <c r="AV384" s="271"/>
      <c r="AW384" s="271"/>
      <c r="AX384" s="271"/>
      <c r="AY384" s="271"/>
    </row>
    <row r="385" spans="1:51" ht="15.75" customHeight="1" x14ac:dyDescent="0.25">
      <c r="A385" s="271"/>
      <c r="B385" s="534"/>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c r="AL385" s="271"/>
      <c r="AM385" s="271"/>
      <c r="AN385" s="271"/>
      <c r="AO385" s="271"/>
      <c r="AP385" s="271"/>
      <c r="AQ385" s="271"/>
      <c r="AR385" s="271"/>
      <c r="AS385" s="271"/>
      <c r="AT385" s="271"/>
      <c r="AU385" s="271"/>
      <c r="AV385" s="271"/>
      <c r="AW385" s="271"/>
      <c r="AX385" s="271"/>
      <c r="AY385" s="271"/>
    </row>
    <row r="386" spans="1:51" ht="15.75" customHeight="1" x14ac:dyDescent="0.25">
      <c r="A386" s="271"/>
      <c r="B386" s="534"/>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c r="AL386" s="271"/>
      <c r="AM386" s="271"/>
      <c r="AN386" s="271"/>
      <c r="AO386" s="271"/>
      <c r="AP386" s="271"/>
      <c r="AQ386" s="271"/>
      <c r="AR386" s="271"/>
      <c r="AS386" s="271"/>
      <c r="AT386" s="271"/>
      <c r="AU386" s="271"/>
      <c r="AV386" s="271"/>
      <c r="AW386" s="271"/>
      <c r="AX386" s="271"/>
      <c r="AY386" s="271"/>
    </row>
    <row r="387" spans="1:51" ht="15.75" customHeight="1" x14ac:dyDescent="0.25">
      <c r="A387" s="271"/>
      <c r="B387" s="534"/>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c r="AL387" s="271"/>
      <c r="AM387" s="271"/>
      <c r="AN387" s="271"/>
      <c r="AO387" s="271"/>
      <c r="AP387" s="271"/>
      <c r="AQ387" s="271"/>
      <c r="AR387" s="271"/>
      <c r="AS387" s="271"/>
      <c r="AT387" s="271"/>
      <c r="AU387" s="271"/>
      <c r="AV387" s="271"/>
      <c r="AW387" s="271"/>
      <c r="AX387" s="271"/>
      <c r="AY387" s="271"/>
    </row>
    <row r="388" spans="1:51" ht="15.75" customHeight="1" x14ac:dyDescent="0.25">
      <c r="A388" s="271"/>
      <c r="B388" s="534"/>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c r="AM388" s="271"/>
      <c r="AN388" s="271"/>
      <c r="AO388" s="271"/>
      <c r="AP388" s="271"/>
      <c r="AQ388" s="271"/>
      <c r="AR388" s="271"/>
      <c r="AS388" s="271"/>
      <c r="AT388" s="271"/>
      <c r="AU388" s="271"/>
      <c r="AV388" s="271"/>
      <c r="AW388" s="271"/>
      <c r="AX388" s="271"/>
      <c r="AY388" s="271"/>
    </row>
    <row r="389" spans="1:51" ht="15.75" customHeight="1" x14ac:dyDescent="0.25">
      <c r="A389" s="271"/>
      <c r="B389" s="534"/>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c r="AL389" s="271"/>
      <c r="AM389" s="271"/>
      <c r="AN389" s="271"/>
      <c r="AO389" s="271"/>
      <c r="AP389" s="271"/>
      <c r="AQ389" s="271"/>
      <c r="AR389" s="271"/>
      <c r="AS389" s="271"/>
      <c r="AT389" s="271"/>
      <c r="AU389" s="271"/>
      <c r="AV389" s="271"/>
      <c r="AW389" s="271"/>
      <c r="AX389" s="271"/>
      <c r="AY389" s="271"/>
    </row>
    <row r="390" spans="1:51" ht="15.75" customHeight="1" x14ac:dyDescent="0.25">
      <c r="A390" s="271"/>
      <c r="B390" s="534"/>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c r="AL390" s="271"/>
      <c r="AM390" s="271"/>
      <c r="AN390" s="271"/>
      <c r="AO390" s="271"/>
      <c r="AP390" s="271"/>
      <c r="AQ390" s="271"/>
      <c r="AR390" s="271"/>
      <c r="AS390" s="271"/>
      <c r="AT390" s="271"/>
      <c r="AU390" s="271"/>
      <c r="AV390" s="271"/>
      <c r="AW390" s="271"/>
      <c r="AX390" s="271"/>
      <c r="AY390" s="271"/>
    </row>
    <row r="391" spans="1:51" ht="15.75" customHeight="1" x14ac:dyDescent="0.25">
      <c r="A391" s="271"/>
      <c r="B391" s="534"/>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c r="AL391" s="271"/>
      <c r="AM391" s="271"/>
      <c r="AN391" s="271"/>
      <c r="AO391" s="271"/>
      <c r="AP391" s="271"/>
      <c r="AQ391" s="271"/>
      <c r="AR391" s="271"/>
      <c r="AS391" s="271"/>
      <c r="AT391" s="271"/>
      <c r="AU391" s="271"/>
      <c r="AV391" s="271"/>
      <c r="AW391" s="271"/>
      <c r="AX391" s="271"/>
      <c r="AY391" s="271"/>
    </row>
    <row r="392" spans="1:51" ht="15.75" customHeight="1" x14ac:dyDescent="0.25">
      <c r="A392" s="271"/>
      <c r="B392" s="534"/>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c r="AL392" s="271"/>
      <c r="AM392" s="271"/>
      <c r="AN392" s="271"/>
      <c r="AO392" s="271"/>
      <c r="AP392" s="271"/>
      <c r="AQ392" s="271"/>
      <c r="AR392" s="271"/>
      <c r="AS392" s="271"/>
      <c r="AT392" s="271"/>
      <c r="AU392" s="271"/>
      <c r="AV392" s="271"/>
      <c r="AW392" s="271"/>
      <c r="AX392" s="271"/>
      <c r="AY392" s="271"/>
    </row>
    <row r="393" spans="1:51" ht="15.75" customHeight="1" x14ac:dyDescent="0.25">
      <c r="A393" s="271"/>
      <c r="B393" s="534"/>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c r="AL393" s="271"/>
      <c r="AM393" s="271"/>
      <c r="AN393" s="271"/>
      <c r="AO393" s="271"/>
      <c r="AP393" s="271"/>
      <c r="AQ393" s="271"/>
      <c r="AR393" s="271"/>
      <c r="AS393" s="271"/>
      <c r="AT393" s="271"/>
      <c r="AU393" s="271"/>
      <c r="AV393" s="271"/>
      <c r="AW393" s="271"/>
      <c r="AX393" s="271"/>
      <c r="AY393" s="271"/>
    </row>
    <row r="394" spans="1:51" ht="15.75" customHeight="1" x14ac:dyDescent="0.25">
      <c r="A394" s="271"/>
      <c r="B394" s="534"/>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c r="AL394" s="271"/>
      <c r="AM394" s="271"/>
      <c r="AN394" s="271"/>
      <c r="AO394" s="271"/>
      <c r="AP394" s="271"/>
      <c r="AQ394" s="271"/>
      <c r="AR394" s="271"/>
      <c r="AS394" s="271"/>
      <c r="AT394" s="271"/>
      <c r="AU394" s="271"/>
      <c r="AV394" s="271"/>
      <c r="AW394" s="271"/>
      <c r="AX394" s="271"/>
      <c r="AY394" s="271"/>
    </row>
    <row r="395" spans="1:51" ht="15.75" customHeight="1" x14ac:dyDescent="0.25">
      <c r="A395" s="271"/>
      <c r="B395" s="534"/>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c r="AL395" s="271"/>
      <c r="AM395" s="271"/>
      <c r="AN395" s="271"/>
      <c r="AO395" s="271"/>
      <c r="AP395" s="271"/>
      <c r="AQ395" s="271"/>
      <c r="AR395" s="271"/>
      <c r="AS395" s="271"/>
      <c r="AT395" s="271"/>
      <c r="AU395" s="271"/>
      <c r="AV395" s="271"/>
      <c r="AW395" s="271"/>
      <c r="AX395" s="271"/>
      <c r="AY395" s="271"/>
    </row>
    <row r="396" spans="1:51" ht="15.75" customHeight="1" x14ac:dyDescent="0.25">
      <c r="A396" s="271"/>
      <c r="B396" s="534"/>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c r="AL396" s="271"/>
      <c r="AM396" s="271"/>
      <c r="AN396" s="271"/>
      <c r="AO396" s="271"/>
      <c r="AP396" s="271"/>
      <c r="AQ396" s="271"/>
      <c r="AR396" s="271"/>
      <c r="AS396" s="271"/>
      <c r="AT396" s="271"/>
      <c r="AU396" s="271"/>
      <c r="AV396" s="271"/>
      <c r="AW396" s="271"/>
      <c r="AX396" s="271"/>
      <c r="AY396" s="271"/>
    </row>
    <row r="397" spans="1:51" ht="15.75" customHeight="1" x14ac:dyDescent="0.25">
      <c r="A397" s="271"/>
      <c r="B397" s="534"/>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c r="AL397" s="271"/>
      <c r="AM397" s="271"/>
      <c r="AN397" s="271"/>
      <c r="AO397" s="271"/>
      <c r="AP397" s="271"/>
      <c r="AQ397" s="271"/>
      <c r="AR397" s="271"/>
      <c r="AS397" s="271"/>
      <c r="AT397" s="271"/>
      <c r="AU397" s="271"/>
      <c r="AV397" s="271"/>
      <c r="AW397" s="271"/>
      <c r="AX397" s="271"/>
      <c r="AY397" s="271"/>
    </row>
    <row r="398" spans="1:51" ht="15.75" customHeight="1" x14ac:dyDescent="0.25">
      <c r="A398" s="271"/>
      <c r="B398" s="534"/>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c r="AL398" s="271"/>
      <c r="AM398" s="271"/>
      <c r="AN398" s="271"/>
      <c r="AO398" s="271"/>
      <c r="AP398" s="271"/>
      <c r="AQ398" s="271"/>
      <c r="AR398" s="271"/>
      <c r="AS398" s="271"/>
      <c r="AT398" s="271"/>
      <c r="AU398" s="271"/>
      <c r="AV398" s="271"/>
      <c r="AW398" s="271"/>
      <c r="AX398" s="271"/>
      <c r="AY398" s="271"/>
    </row>
    <row r="399" spans="1:51" ht="15.75" customHeight="1" x14ac:dyDescent="0.25">
      <c r="A399" s="271"/>
      <c r="B399" s="534"/>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c r="AL399" s="271"/>
      <c r="AM399" s="271"/>
      <c r="AN399" s="271"/>
      <c r="AO399" s="271"/>
      <c r="AP399" s="271"/>
      <c r="AQ399" s="271"/>
      <c r="AR399" s="271"/>
      <c r="AS399" s="271"/>
      <c r="AT399" s="271"/>
      <c r="AU399" s="271"/>
      <c r="AV399" s="271"/>
      <c r="AW399" s="271"/>
      <c r="AX399" s="271"/>
      <c r="AY399" s="271"/>
    </row>
    <row r="400" spans="1:51" ht="15.75" customHeight="1" x14ac:dyDescent="0.25">
      <c r="A400" s="271"/>
      <c r="B400" s="534"/>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c r="AL400" s="271"/>
      <c r="AM400" s="271"/>
      <c r="AN400" s="271"/>
      <c r="AO400" s="271"/>
      <c r="AP400" s="271"/>
      <c r="AQ400" s="271"/>
      <c r="AR400" s="271"/>
      <c r="AS400" s="271"/>
      <c r="AT400" s="271"/>
      <c r="AU400" s="271"/>
      <c r="AV400" s="271"/>
      <c r="AW400" s="271"/>
      <c r="AX400" s="271"/>
      <c r="AY400" s="271"/>
    </row>
    <row r="401" spans="1:51" ht="15.75" customHeight="1" x14ac:dyDescent="0.25">
      <c r="A401" s="271"/>
      <c r="B401" s="534"/>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c r="AL401" s="271"/>
      <c r="AM401" s="271"/>
      <c r="AN401" s="271"/>
      <c r="AO401" s="271"/>
      <c r="AP401" s="271"/>
      <c r="AQ401" s="271"/>
      <c r="AR401" s="271"/>
      <c r="AS401" s="271"/>
      <c r="AT401" s="271"/>
      <c r="AU401" s="271"/>
      <c r="AV401" s="271"/>
      <c r="AW401" s="271"/>
      <c r="AX401" s="271"/>
      <c r="AY401" s="271"/>
    </row>
    <row r="402" spans="1:51" ht="15.75" customHeight="1" x14ac:dyDescent="0.25">
      <c r="A402" s="271"/>
      <c r="B402" s="534"/>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c r="AL402" s="271"/>
      <c r="AM402" s="271"/>
      <c r="AN402" s="271"/>
      <c r="AO402" s="271"/>
      <c r="AP402" s="271"/>
      <c r="AQ402" s="271"/>
      <c r="AR402" s="271"/>
      <c r="AS402" s="271"/>
      <c r="AT402" s="271"/>
      <c r="AU402" s="271"/>
      <c r="AV402" s="271"/>
      <c r="AW402" s="271"/>
      <c r="AX402" s="271"/>
      <c r="AY402" s="271"/>
    </row>
    <row r="403" spans="1:51" ht="15.75" customHeight="1" x14ac:dyDescent="0.25">
      <c r="A403" s="271"/>
      <c r="B403" s="534"/>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c r="AL403" s="271"/>
      <c r="AM403" s="271"/>
      <c r="AN403" s="271"/>
      <c r="AO403" s="271"/>
      <c r="AP403" s="271"/>
      <c r="AQ403" s="271"/>
      <c r="AR403" s="271"/>
      <c r="AS403" s="271"/>
      <c r="AT403" s="271"/>
      <c r="AU403" s="271"/>
      <c r="AV403" s="271"/>
      <c r="AW403" s="271"/>
      <c r="AX403" s="271"/>
      <c r="AY403" s="271"/>
    </row>
    <row r="404" spans="1:51" ht="15.75" customHeight="1" x14ac:dyDescent="0.25">
      <c r="A404" s="271"/>
      <c r="B404" s="534"/>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c r="AL404" s="271"/>
      <c r="AM404" s="271"/>
      <c r="AN404" s="271"/>
      <c r="AO404" s="271"/>
      <c r="AP404" s="271"/>
      <c r="AQ404" s="271"/>
      <c r="AR404" s="271"/>
      <c r="AS404" s="271"/>
      <c r="AT404" s="271"/>
      <c r="AU404" s="271"/>
      <c r="AV404" s="271"/>
      <c r="AW404" s="271"/>
      <c r="AX404" s="271"/>
      <c r="AY404" s="271"/>
    </row>
    <row r="405" spans="1:51" ht="15.75" customHeight="1" x14ac:dyDescent="0.25">
      <c r="A405" s="271"/>
      <c r="B405" s="534"/>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c r="AL405" s="271"/>
      <c r="AM405" s="271"/>
      <c r="AN405" s="271"/>
      <c r="AO405" s="271"/>
      <c r="AP405" s="271"/>
      <c r="AQ405" s="271"/>
      <c r="AR405" s="271"/>
      <c r="AS405" s="271"/>
      <c r="AT405" s="271"/>
      <c r="AU405" s="271"/>
      <c r="AV405" s="271"/>
      <c r="AW405" s="271"/>
      <c r="AX405" s="271"/>
      <c r="AY405" s="271"/>
    </row>
    <row r="406" spans="1:51" ht="15.75" customHeight="1" x14ac:dyDescent="0.25">
      <c r="A406" s="271"/>
      <c r="B406" s="534"/>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c r="AL406" s="271"/>
      <c r="AM406" s="271"/>
      <c r="AN406" s="271"/>
      <c r="AO406" s="271"/>
      <c r="AP406" s="271"/>
      <c r="AQ406" s="271"/>
      <c r="AR406" s="271"/>
      <c r="AS406" s="271"/>
      <c r="AT406" s="271"/>
      <c r="AU406" s="271"/>
      <c r="AV406" s="271"/>
      <c r="AW406" s="271"/>
      <c r="AX406" s="271"/>
      <c r="AY406" s="271"/>
    </row>
    <row r="407" spans="1:51" ht="15.75" customHeight="1" x14ac:dyDescent="0.25">
      <c r="A407" s="271"/>
      <c r="B407" s="534"/>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c r="AL407" s="271"/>
      <c r="AM407" s="271"/>
      <c r="AN407" s="271"/>
      <c r="AO407" s="271"/>
      <c r="AP407" s="271"/>
      <c r="AQ407" s="271"/>
      <c r="AR407" s="271"/>
      <c r="AS407" s="271"/>
      <c r="AT407" s="271"/>
      <c r="AU407" s="271"/>
      <c r="AV407" s="271"/>
      <c r="AW407" s="271"/>
      <c r="AX407" s="271"/>
      <c r="AY407" s="271"/>
    </row>
    <row r="408" spans="1:51" ht="15.75" customHeight="1" x14ac:dyDescent="0.25">
      <c r="A408" s="271"/>
      <c r="B408" s="534"/>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c r="AL408" s="271"/>
      <c r="AM408" s="271"/>
      <c r="AN408" s="271"/>
      <c r="AO408" s="271"/>
      <c r="AP408" s="271"/>
      <c r="AQ408" s="271"/>
      <c r="AR408" s="271"/>
      <c r="AS408" s="271"/>
      <c r="AT408" s="271"/>
      <c r="AU408" s="271"/>
      <c r="AV408" s="271"/>
      <c r="AW408" s="271"/>
      <c r="AX408" s="271"/>
      <c r="AY408" s="271"/>
    </row>
    <row r="409" spans="1:51" ht="15.75" customHeight="1" x14ac:dyDescent="0.25">
      <c r="A409" s="271"/>
      <c r="B409" s="534"/>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c r="AL409" s="271"/>
      <c r="AM409" s="271"/>
      <c r="AN409" s="271"/>
      <c r="AO409" s="271"/>
      <c r="AP409" s="271"/>
      <c r="AQ409" s="271"/>
      <c r="AR409" s="271"/>
      <c r="AS409" s="271"/>
      <c r="AT409" s="271"/>
      <c r="AU409" s="271"/>
      <c r="AV409" s="271"/>
      <c r="AW409" s="271"/>
      <c r="AX409" s="271"/>
      <c r="AY409" s="271"/>
    </row>
    <row r="410" spans="1:51" ht="15.75" customHeight="1" x14ac:dyDescent="0.25">
      <c r="A410" s="271"/>
      <c r="B410" s="534"/>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c r="AL410" s="271"/>
      <c r="AM410" s="271"/>
      <c r="AN410" s="271"/>
      <c r="AO410" s="271"/>
      <c r="AP410" s="271"/>
      <c r="AQ410" s="271"/>
      <c r="AR410" s="271"/>
      <c r="AS410" s="271"/>
      <c r="AT410" s="271"/>
      <c r="AU410" s="271"/>
      <c r="AV410" s="271"/>
      <c r="AW410" s="271"/>
      <c r="AX410" s="271"/>
      <c r="AY410" s="271"/>
    </row>
    <row r="411" spans="1:51" ht="15.75" customHeight="1" x14ac:dyDescent="0.25">
      <c r="A411" s="271"/>
      <c r="B411" s="534"/>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c r="AL411" s="271"/>
      <c r="AM411" s="271"/>
      <c r="AN411" s="271"/>
      <c r="AO411" s="271"/>
      <c r="AP411" s="271"/>
      <c r="AQ411" s="271"/>
      <c r="AR411" s="271"/>
      <c r="AS411" s="271"/>
      <c r="AT411" s="271"/>
      <c r="AU411" s="271"/>
      <c r="AV411" s="271"/>
      <c r="AW411" s="271"/>
      <c r="AX411" s="271"/>
      <c r="AY411" s="271"/>
    </row>
    <row r="412" spans="1:51" ht="15.75" customHeight="1" x14ac:dyDescent="0.25">
      <c r="A412" s="271"/>
      <c r="B412" s="534"/>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c r="AL412" s="271"/>
      <c r="AM412" s="271"/>
      <c r="AN412" s="271"/>
      <c r="AO412" s="271"/>
      <c r="AP412" s="271"/>
      <c r="AQ412" s="271"/>
      <c r="AR412" s="271"/>
      <c r="AS412" s="271"/>
      <c r="AT412" s="271"/>
      <c r="AU412" s="271"/>
      <c r="AV412" s="271"/>
      <c r="AW412" s="271"/>
      <c r="AX412" s="271"/>
      <c r="AY412" s="271"/>
    </row>
    <row r="413" spans="1:51" ht="15.75" customHeight="1" x14ac:dyDescent="0.25">
      <c r="A413" s="271"/>
      <c r="B413" s="534"/>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c r="AL413" s="271"/>
      <c r="AM413" s="271"/>
      <c r="AN413" s="271"/>
      <c r="AO413" s="271"/>
      <c r="AP413" s="271"/>
      <c r="AQ413" s="271"/>
      <c r="AR413" s="271"/>
      <c r="AS413" s="271"/>
      <c r="AT413" s="271"/>
      <c r="AU413" s="271"/>
      <c r="AV413" s="271"/>
      <c r="AW413" s="271"/>
      <c r="AX413" s="271"/>
      <c r="AY413" s="271"/>
    </row>
    <row r="414" spans="1:51" ht="15.75" customHeight="1" x14ac:dyDescent="0.25">
      <c r="A414" s="271"/>
      <c r="B414" s="534"/>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c r="AL414" s="271"/>
      <c r="AM414" s="271"/>
      <c r="AN414" s="271"/>
      <c r="AO414" s="271"/>
      <c r="AP414" s="271"/>
      <c r="AQ414" s="271"/>
      <c r="AR414" s="271"/>
      <c r="AS414" s="271"/>
      <c r="AT414" s="271"/>
      <c r="AU414" s="271"/>
      <c r="AV414" s="271"/>
      <c r="AW414" s="271"/>
      <c r="AX414" s="271"/>
      <c r="AY414" s="271"/>
    </row>
    <row r="415" spans="1:51" ht="15.75" customHeight="1" x14ac:dyDescent="0.25">
      <c r="A415" s="271"/>
      <c r="B415" s="534"/>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c r="AL415" s="271"/>
      <c r="AM415" s="271"/>
      <c r="AN415" s="271"/>
      <c r="AO415" s="271"/>
      <c r="AP415" s="271"/>
      <c r="AQ415" s="271"/>
      <c r="AR415" s="271"/>
      <c r="AS415" s="271"/>
      <c r="AT415" s="271"/>
      <c r="AU415" s="271"/>
      <c r="AV415" s="271"/>
      <c r="AW415" s="271"/>
      <c r="AX415" s="271"/>
      <c r="AY415" s="271"/>
    </row>
    <row r="416" spans="1:51" ht="15.75" customHeight="1" x14ac:dyDescent="0.25">
      <c r="A416" s="271"/>
      <c r="B416" s="534"/>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c r="AL416" s="271"/>
      <c r="AM416" s="271"/>
      <c r="AN416" s="271"/>
      <c r="AO416" s="271"/>
      <c r="AP416" s="271"/>
      <c r="AQ416" s="271"/>
      <c r="AR416" s="271"/>
      <c r="AS416" s="271"/>
      <c r="AT416" s="271"/>
      <c r="AU416" s="271"/>
      <c r="AV416" s="271"/>
      <c r="AW416" s="271"/>
      <c r="AX416" s="271"/>
      <c r="AY416" s="271"/>
    </row>
    <row r="417" spans="1:51" ht="15.75" customHeight="1" x14ac:dyDescent="0.25">
      <c r="A417" s="271"/>
      <c r="B417" s="534"/>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c r="AL417" s="271"/>
      <c r="AM417" s="271"/>
      <c r="AN417" s="271"/>
      <c r="AO417" s="271"/>
      <c r="AP417" s="271"/>
      <c r="AQ417" s="271"/>
      <c r="AR417" s="271"/>
      <c r="AS417" s="271"/>
      <c r="AT417" s="271"/>
      <c r="AU417" s="271"/>
      <c r="AV417" s="271"/>
      <c r="AW417" s="271"/>
      <c r="AX417" s="271"/>
      <c r="AY417" s="271"/>
    </row>
    <row r="418" spans="1:51" ht="15.75" customHeight="1" x14ac:dyDescent="0.25">
      <c r="A418" s="271"/>
      <c r="B418" s="534"/>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c r="AL418" s="271"/>
      <c r="AM418" s="271"/>
      <c r="AN418" s="271"/>
      <c r="AO418" s="271"/>
      <c r="AP418" s="271"/>
      <c r="AQ418" s="271"/>
      <c r="AR418" s="271"/>
      <c r="AS418" s="271"/>
      <c r="AT418" s="271"/>
      <c r="AU418" s="271"/>
      <c r="AV418" s="271"/>
      <c r="AW418" s="271"/>
      <c r="AX418" s="271"/>
      <c r="AY418" s="271"/>
    </row>
    <row r="419" spans="1:51" ht="15.75" customHeight="1" x14ac:dyDescent="0.25">
      <c r="A419" s="271"/>
      <c r="B419" s="534"/>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c r="AL419" s="271"/>
      <c r="AM419" s="271"/>
      <c r="AN419" s="271"/>
      <c r="AO419" s="271"/>
      <c r="AP419" s="271"/>
      <c r="AQ419" s="271"/>
      <c r="AR419" s="271"/>
      <c r="AS419" s="271"/>
      <c r="AT419" s="271"/>
      <c r="AU419" s="271"/>
      <c r="AV419" s="271"/>
      <c r="AW419" s="271"/>
      <c r="AX419" s="271"/>
      <c r="AY419" s="271"/>
    </row>
    <row r="420" spans="1:51" ht="15.75" customHeight="1" x14ac:dyDescent="0.25">
      <c r="A420" s="271"/>
      <c r="B420" s="534"/>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c r="AL420" s="271"/>
      <c r="AM420" s="271"/>
      <c r="AN420" s="271"/>
      <c r="AO420" s="271"/>
      <c r="AP420" s="271"/>
      <c r="AQ420" s="271"/>
      <c r="AR420" s="271"/>
      <c r="AS420" s="271"/>
      <c r="AT420" s="271"/>
      <c r="AU420" s="271"/>
      <c r="AV420" s="271"/>
      <c r="AW420" s="271"/>
      <c r="AX420" s="271"/>
      <c r="AY420" s="271"/>
    </row>
    <row r="421" spans="1:51" ht="15.75" customHeight="1" x14ac:dyDescent="0.25">
      <c r="A421" s="271"/>
      <c r="B421" s="534"/>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c r="AL421" s="271"/>
      <c r="AM421" s="271"/>
      <c r="AN421" s="271"/>
      <c r="AO421" s="271"/>
      <c r="AP421" s="271"/>
      <c r="AQ421" s="271"/>
      <c r="AR421" s="271"/>
      <c r="AS421" s="271"/>
      <c r="AT421" s="271"/>
      <c r="AU421" s="271"/>
      <c r="AV421" s="271"/>
      <c r="AW421" s="271"/>
      <c r="AX421" s="271"/>
      <c r="AY421" s="271"/>
    </row>
    <row r="422" spans="1:51" ht="15.75" customHeight="1" x14ac:dyDescent="0.25">
      <c r="A422" s="271"/>
      <c r="B422" s="534"/>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c r="AL422" s="271"/>
      <c r="AM422" s="271"/>
      <c r="AN422" s="271"/>
      <c r="AO422" s="271"/>
      <c r="AP422" s="271"/>
      <c r="AQ422" s="271"/>
      <c r="AR422" s="271"/>
      <c r="AS422" s="271"/>
      <c r="AT422" s="271"/>
      <c r="AU422" s="271"/>
      <c r="AV422" s="271"/>
      <c r="AW422" s="271"/>
      <c r="AX422" s="271"/>
      <c r="AY422" s="271"/>
    </row>
    <row r="423" spans="1:51" ht="15.75" customHeight="1" x14ac:dyDescent="0.25">
      <c r="A423" s="271"/>
      <c r="B423" s="534"/>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c r="AL423" s="271"/>
      <c r="AM423" s="271"/>
      <c r="AN423" s="271"/>
      <c r="AO423" s="271"/>
      <c r="AP423" s="271"/>
      <c r="AQ423" s="271"/>
      <c r="AR423" s="271"/>
      <c r="AS423" s="271"/>
      <c r="AT423" s="271"/>
      <c r="AU423" s="271"/>
      <c r="AV423" s="271"/>
      <c r="AW423" s="271"/>
      <c r="AX423" s="271"/>
      <c r="AY423" s="271"/>
    </row>
    <row r="424" spans="1:51" ht="15.75" customHeight="1" x14ac:dyDescent="0.25">
      <c r="A424" s="271"/>
      <c r="B424" s="534"/>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c r="AL424" s="271"/>
      <c r="AM424" s="271"/>
      <c r="AN424" s="271"/>
      <c r="AO424" s="271"/>
      <c r="AP424" s="271"/>
      <c r="AQ424" s="271"/>
      <c r="AR424" s="271"/>
      <c r="AS424" s="271"/>
      <c r="AT424" s="271"/>
      <c r="AU424" s="271"/>
      <c r="AV424" s="271"/>
      <c r="AW424" s="271"/>
      <c r="AX424" s="271"/>
      <c r="AY424" s="271"/>
    </row>
    <row r="425" spans="1:51" ht="15.75" customHeight="1" x14ac:dyDescent="0.25">
      <c r="A425" s="271"/>
      <c r="B425" s="534"/>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c r="AL425" s="271"/>
      <c r="AM425" s="271"/>
      <c r="AN425" s="271"/>
      <c r="AO425" s="271"/>
      <c r="AP425" s="271"/>
      <c r="AQ425" s="271"/>
      <c r="AR425" s="271"/>
      <c r="AS425" s="271"/>
      <c r="AT425" s="271"/>
      <c r="AU425" s="271"/>
      <c r="AV425" s="271"/>
      <c r="AW425" s="271"/>
      <c r="AX425" s="271"/>
      <c r="AY425" s="271"/>
    </row>
    <row r="426" spans="1:51" ht="15.75" customHeight="1" x14ac:dyDescent="0.25">
      <c r="A426" s="271"/>
      <c r="B426" s="534"/>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c r="AL426" s="271"/>
      <c r="AM426" s="271"/>
      <c r="AN426" s="271"/>
      <c r="AO426" s="271"/>
      <c r="AP426" s="271"/>
      <c r="AQ426" s="271"/>
      <c r="AR426" s="271"/>
      <c r="AS426" s="271"/>
      <c r="AT426" s="271"/>
      <c r="AU426" s="271"/>
      <c r="AV426" s="271"/>
      <c r="AW426" s="271"/>
      <c r="AX426" s="271"/>
      <c r="AY426" s="271"/>
    </row>
    <row r="427" spans="1:51" ht="15.75" customHeight="1" x14ac:dyDescent="0.25">
      <c r="A427" s="271"/>
      <c r="B427" s="534"/>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c r="AL427" s="271"/>
      <c r="AM427" s="271"/>
      <c r="AN427" s="271"/>
      <c r="AO427" s="271"/>
      <c r="AP427" s="271"/>
      <c r="AQ427" s="271"/>
      <c r="AR427" s="271"/>
      <c r="AS427" s="271"/>
      <c r="AT427" s="271"/>
      <c r="AU427" s="271"/>
      <c r="AV427" s="271"/>
      <c r="AW427" s="271"/>
      <c r="AX427" s="271"/>
      <c r="AY427" s="271"/>
    </row>
    <row r="428" spans="1:51" ht="15.75" customHeight="1" x14ac:dyDescent="0.25">
      <c r="A428" s="271"/>
      <c r="B428" s="534"/>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c r="AL428" s="271"/>
      <c r="AM428" s="271"/>
      <c r="AN428" s="271"/>
      <c r="AO428" s="271"/>
      <c r="AP428" s="271"/>
      <c r="AQ428" s="271"/>
      <c r="AR428" s="271"/>
      <c r="AS428" s="271"/>
      <c r="AT428" s="271"/>
      <c r="AU428" s="271"/>
      <c r="AV428" s="271"/>
      <c r="AW428" s="271"/>
      <c r="AX428" s="271"/>
      <c r="AY428" s="271"/>
    </row>
    <row r="429" spans="1:51" ht="15.75" customHeight="1" x14ac:dyDescent="0.25">
      <c r="A429" s="271"/>
      <c r="B429" s="534"/>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c r="AL429" s="271"/>
      <c r="AM429" s="271"/>
      <c r="AN429" s="271"/>
      <c r="AO429" s="271"/>
      <c r="AP429" s="271"/>
      <c r="AQ429" s="271"/>
      <c r="AR429" s="271"/>
      <c r="AS429" s="271"/>
      <c r="AT429" s="271"/>
      <c r="AU429" s="271"/>
      <c r="AV429" s="271"/>
      <c r="AW429" s="271"/>
      <c r="AX429" s="271"/>
      <c r="AY429" s="271"/>
    </row>
    <row r="430" spans="1:51" ht="15.75" customHeight="1" x14ac:dyDescent="0.25">
      <c r="A430" s="271"/>
      <c r="B430" s="534"/>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c r="AL430" s="271"/>
      <c r="AM430" s="271"/>
      <c r="AN430" s="271"/>
      <c r="AO430" s="271"/>
      <c r="AP430" s="271"/>
      <c r="AQ430" s="271"/>
      <c r="AR430" s="271"/>
      <c r="AS430" s="271"/>
      <c r="AT430" s="271"/>
      <c r="AU430" s="271"/>
      <c r="AV430" s="271"/>
      <c r="AW430" s="271"/>
      <c r="AX430" s="271"/>
      <c r="AY430" s="271"/>
    </row>
    <row r="431" spans="1:51" ht="15.75" customHeight="1" x14ac:dyDescent="0.25">
      <c r="A431" s="271"/>
      <c r="B431" s="534"/>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c r="AL431" s="271"/>
      <c r="AM431" s="271"/>
      <c r="AN431" s="271"/>
      <c r="AO431" s="271"/>
      <c r="AP431" s="271"/>
      <c r="AQ431" s="271"/>
      <c r="AR431" s="271"/>
      <c r="AS431" s="271"/>
      <c r="AT431" s="271"/>
      <c r="AU431" s="271"/>
      <c r="AV431" s="271"/>
      <c r="AW431" s="271"/>
      <c r="AX431" s="271"/>
      <c r="AY431" s="271"/>
    </row>
    <row r="432" spans="1:51" ht="15.75" customHeight="1" x14ac:dyDescent="0.25">
      <c r="A432" s="271"/>
      <c r="B432" s="534"/>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c r="AL432" s="271"/>
      <c r="AM432" s="271"/>
      <c r="AN432" s="271"/>
      <c r="AO432" s="271"/>
      <c r="AP432" s="271"/>
      <c r="AQ432" s="271"/>
      <c r="AR432" s="271"/>
      <c r="AS432" s="271"/>
      <c r="AT432" s="271"/>
      <c r="AU432" s="271"/>
      <c r="AV432" s="271"/>
      <c r="AW432" s="271"/>
      <c r="AX432" s="271"/>
      <c r="AY432" s="271"/>
    </row>
    <row r="433" spans="1:51" ht="15.75" customHeight="1" x14ac:dyDescent="0.25">
      <c r="A433" s="271"/>
      <c r="B433" s="534"/>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c r="AL433" s="271"/>
      <c r="AM433" s="271"/>
      <c r="AN433" s="271"/>
      <c r="AO433" s="271"/>
      <c r="AP433" s="271"/>
      <c r="AQ433" s="271"/>
      <c r="AR433" s="271"/>
      <c r="AS433" s="271"/>
      <c r="AT433" s="271"/>
      <c r="AU433" s="271"/>
      <c r="AV433" s="271"/>
      <c r="AW433" s="271"/>
      <c r="AX433" s="271"/>
      <c r="AY433" s="271"/>
    </row>
    <row r="434" spans="1:51" ht="15.75" customHeight="1" x14ac:dyDescent="0.25">
      <c r="A434" s="271"/>
      <c r="B434" s="534"/>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c r="AM434" s="271"/>
      <c r="AN434" s="271"/>
      <c r="AO434" s="271"/>
      <c r="AP434" s="271"/>
      <c r="AQ434" s="271"/>
      <c r="AR434" s="271"/>
      <c r="AS434" s="271"/>
      <c r="AT434" s="271"/>
      <c r="AU434" s="271"/>
      <c r="AV434" s="271"/>
      <c r="AW434" s="271"/>
      <c r="AX434" s="271"/>
      <c r="AY434" s="271"/>
    </row>
    <row r="435" spans="1:51" ht="15.75" customHeight="1" x14ac:dyDescent="0.25">
      <c r="A435" s="271"/>
      <c r="B435" s="534"/>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c r="AL435" s="271"/>
      <c r="AM435" s="271"/>
      <c r="AN435" s="271"/>
      <c r="AO435" s="271"/>
      <c r="AP435" s="271"/>
      <c r="AQ435" s="271"/>
      <c r="AR435" s="271"/>
      <c r="AS435" s="271"/>
      <c r="AT435" s="271"/>
      <c r="AU435" s="271"/>
      <c r="AV435" s="271"/>
      <c r="AW435" s="271"/>
      <c r="AX435" s="271"/>
      <c r="AY435" s="271"/>
    </row>
    <row r="436" spans="1:51" ht="15.75" customHeight="1" x14ac:dyDescent="0.25">
      <c r="A436" s="271"/>
      <c r="B436" s="534"/>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c r="AL436" s="271"/>
      <c r="AM436" s="271"/>
      <c r="AN436" s="271"/>
      <c r="AO436" s="271"/>
      <c r="AP436" s="271"/>
      <c r="AQ436" s="271"/>
      <c r="AR436" s="271"/>
      <c r="AS436" s="271"/>
      <c r="AT436" s="271"/>
      <c r="AU436" s="271"/>
      <c r="AV436" s="271"/>
      <c r="AW436" s="271"/>
      <c r="AX436" s="271"/>
      <c r="AY436" s="271"/>
    </row>
    <row r="437" spans="1:51" ht="15.75" customHeight="1" x14ac:dyDescent="0.25">
      <c r="A437" s="271"/>
      <c r="B437" s="534"/>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c r="AL437" s="271"/>
      <c r="AM437" s="271"/>
      <c r="AN437" s="271"/>
      <c r="AO437" s="271"/>
      <c r="AP437" s="271"/>
      <c r="AQ437" s="271"/>
      <c r="AR437" s="271"/>
      <c r="AS437" s="271"/>
      <c r="AT437" s="271"/>
      <c r="AU437" s="271"/>
      <c r="AV437" s="271"/>
      <c r="AW437" s="271"/>
      <c r="AX437" s="271"/>
      <c r="AY437" s="271"/>
    </row>
    <row r="438" spans="1:51" ht="15.75" customHeight="1" x14ac:dyDescent="0.25">
      <c r="A438" s="271"/>
      <c r="B438" s="534"/>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c r="AL438" s="271"/>
      <c r="AM438" s="271"/>
      <c r="AN438" s="271"/>
      <c r="AO438" s="271"/>
      <c r="AP438" s="271"/>
      <c r="AQ438" s="271"/>
      <c r="AR438" s="271"/>
      <c r="AS438" s="271"/>
      <c r="AT438" s="271"/>
      <c r="AU438" s="271"/>
      <c r="AV438" s="271"/>
      <c r="AW438" s="271"/>
      <c r="AX438" s="271"/>
      <c r="AY438" s="271"/>
    </row>
    <row r="439" spans="1:51" ht="15.75" customHeight="1" x14ac:dyDescent="0.25">
      <c r="A439" s="271"/>
      <c r="B439" s="534"/>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c r="AL439" s="271"/>
      <c r="AM439" s="271"/>
      <c r="AN439" s="271"/>
      <c r="AO439" s="271"/>
      <c r="AP439" s="271"/>
      <c r="AQ439" s="271"/>
      <c r="AR439" s="271"/>
      <c r="AS439" s="271"/>
      <c r="AT439" s="271"/>
      <c r="AU439" s="271"/>
      <c r="AV439" s="271"/>
      <c r="AW439" s="271"/>
      <c r="AX439" s="271"/>
      <c r="AY439" s="271"/>
    </row>
    <row r="440" spans="1:51" ht="15.75" customHeight="1" x14ac:dyDescent="0.25">
      <c r="A440" s="271"/>
      <c r="B440" s="534"/>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c r="AL440" s="271"/>
      <c r="AM440" s="271"/>
      <c r="AN440" s="271"/>
      <c r="AO440" s="271"/>
      <c r="AP440" s="271"/>
      <c r="AQ440" s="271"/>
      <c r="AR440" s="271"/>
      <c r="AS440" s="271"/>
      <c r="AT440" s="271"/>
      <c r="AU440" s="271"/>
      <c r="AV440" s="271"/>
      <c r="AW440" s="271"/>
      <c r="AX440" s="271"/>
      <c r="AY440" s="271"/>
    </row>
    <row r="441" spans="1:51" ht="15.75" customHeight="1" x14ac:dyDescent="0.25">
      <c r="A441" s="271"/>
      <c r="B441" s="534"/>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c r="AL441" s="271"/>
      <c r="AM441" s="271"/>
      <c r="AN441" s="271"/>
      <c r="AO441" s="271"/>
      <c r="AP441" s="271"/>
      <c r="AQ441" s="271"/>
      <c r="AR441" s="271"/>
      <c r="AS441" s="271"/>
      <c r="AT441" s="271"/>
      <c r="AU441" s="271"/>
      <c r="AV441" s="271"/>
      <c r="AW441" s="271"/>
      <c r="AX441" s="271"/>
      <c r="AY441" s="271"/>
    </row>
    <row r="442" spans="1:51" ht="15.75" customHeight="1" x14ac:dyDescent="0.25">
      <c r="A442" s="271"/>
      <c r="B442" s="534"/>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c r="AL442" s="271"/>
      <c r="AM442" s="271"/>
      <c r="AN442" s="271"/>
      <c r="AO442" s="271"/>
      <c r="AP442" s="271"/>
      <c r="AQ442" s="271"/>
      <c r="AR442" s="271"/>
      <c r="AS442" s="271"/>
      <c r="AT442" s="271"/>
      <c r="AU442" s="271"/>
      <c r="AV442" s="271"/>
      <c r="AW442" s="271"/>
      <c r="AX442" s="271"/>
      <c r="AY442" s="271"/>
    </row>
    <row r="443" spans="1:51" ht="15.75" customHeight="1" x14ac:dyDescent="0.25">
      <c r="A443" s="271"/>
      <c r="B443" s="534"/>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c r="AL443" s="271"/>
      <c r="AM443" s="271"/>
      <c r="AN443" s="271"/>
      <c r="AO443" s="271"/>
      <c r="AP443" s="271"/>
      <c r="AQ443" s="271"/>
      <c r="AR443" s="271"/>
      <c r="AS443" s="271"/>
      <c r="AT443" s="271"/>
      <c r="AU443" s="271"/>
      <c r="AV443" s="271"/>
      <c r="AW443" s="271"/>
      <c r="AX443" s="271"/>
      <c r="AY443" s="271"/>
    </row>
    <row r="444" spans="1:51" ht="15.75" customHeight="1" x14ac:dyDescent="0.25">
      <c r="A444" s="271"/>
      <c r="B444" s="534"/>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c r="AL444" s="271"/>
      <c r="AM444" s="271"/>
      <c r="AN444" s="271"/>
      <c r="AO444" s="271"/>
      <c r="AP444" s="271"/>
      <c r="AQ444" s="271"/>
      <c r="AR444" s="271"/>
      <c r="AS444" s="271"/>
      <c r="AT444" s="271"/>
      <c r="AU444" s="271"/>
      <c r="AV444" s="271"/>
      <c r="AW444" s="271"/>
      <c r="AX444" s="271"/>
      <c r="AY444" s="271"/>
    </row>
    <row r="445" spans="1:51" ht="15.75" customHeight="1" x14ac:dyDescent="0.25">
      <c r="A445" s="271"/>
      <c r="B445" s="534"/>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c r="AL445" s="271"/>
      <c r="AM445" s="271"/>
      <c r="AN445" s="271"/>
      <c r="AO445" s="271"/>
      <c r="AP445" s="271"/>
      <c r="AQ445" s="271"/>
      <c r="AR445" s="271"/>
      <c r="AS445" s="271"/>
      <c r="AT445" s="271"/>
      <c r="AU445" s="271"/>
      <c r="AV445" s="271"/>
      <c r="AW445" s="271"/>
      <c r="AX445" s="271"/>
      <c r="AY445" s="271"/>
    </row>
    <row r="446" spans="1:51" ht="15.75" customHeight="1" x14ac:dyDescent="0.25">
      <c r="A446" s="271"/>
      <c r="B446" s="534"/>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c r="AL446" s="271"/>
      <c r="AM446" s="271"/>
      <c r="AN446" s="271"/>
      <c r="AO446" s="271"/>
      <c r="AP446" s="271"/>
      <c r="AQ446" s="271"/>
      <c r="AR446" s="271"/>
      <c r="AS446" s="271"/>
      <c r="AT446" s="271"/>
      <c r="AU446" s="271"/>
      <c r="AV446" s="271"/>
      <c r="AW446" s="271"/>
      <c r="AX446" s="271"/>
      <c r="AY446" s="271"/>
    </row>
    <row r="447" spans="1:51" ht="15.75" customHeight="1" x14ac:dyDescent="0.25">
      <c r="A447" s="271"/>
      <c r="B447" s="534"/>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c r="AL447" s="271"/>
      <c r="AM447" s="271"/>
      <c r="AN447" s="271"/>
      <c r="AO447" s="271"/>
      <c r="AP447" s="271"/>
      <c r="AQ447" s="271"/>
      <c r="AR447" s="271"/>
      <c r="AS447" s="271"/>
      <c r="AT447" s="271"/>
      <c r="AU447" s="271"/>
      <c r="AV447" s="271"/>
      <c r="AW447" s="271"/>
      <c r="AX447" s="271"/>
      <c r="AY447" s="271"/>
    </row>
    <row r="448" spans="1:51" ht="15.75" customHeight="1" x14ac:dyDescent="0.25">
      <c r="A448" s="271"/>
      <c r="B448" s="534"/>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c r="AL448" s="271"/>
      <c r="AM448" s="271"/>
      <c r="AN448" s="271"/>
      <c r="AO448" s="271"/>
      <c r="AP448" s="271"/>
      <c r="AQ448" s="271"/>
      <c r="AR448" s="271"/>
      <c r="AS448" s="271"/>
      <c r="AT448" s="271"/>
      <c r="AU448" s="271"/>
      <c r="AV448" s="271"/>
      <c r="AW448" s="271"/>
      <c r="AX448" s="271"/>
      <c r="AY448" s="271"/>
    </row>
    <row r="449" spans="1:51" ht="15.75" customHeight="1" x14ac:dyDescent="0.25">
      <c r="A449" s="271"/>
      <c r="B449" s="534"/>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c r="AL449" s="271"/>
      <c r="AM449" s="271"/>
      <c r="AN449" s="271"/>
      <c r="AO449" s="271"/>
      <c r="AP449" s="271"/>
      <c r="AQ449" s="271"/>
      <c r="AR449" s="271"/>
      <c r="AS449" s="271"/>
      <c r="AT449" s="271"/>
      <c r="AU449" s="271"/>
      <c r="AV449" s="271"/>
      <c r="AW449" s="271"/>
      <c r="AX449" s="271"/>
      <c r="AY449" s="271"/>
    </row>
    <row r="450" spans="1:51" ht="15.75" customHeight="1" x14ac:dyDescent="0.25">
      <c r="A450" s="271"/>
      <c r="B450" s="534"/>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c r="AM450" s="271"/>
      <c r="AN450" s="271"/>
      <c r="AO450" s="271"/>
      <c r="AP450" s="271"/>
      <c r="AQ450" s="271"/>
      <c r="AR450" s="271"/>
      <c r="AS450" s="271"/>
      <c r="AT450" s="271"/>
      <c r="AU450" s="271"/>
      <c r="AV450" s="271"/>
      <c r="AW450" s="271"/>
      <c r="AX450" s="271"/>
      <c r="AY450" s="271"/>
    </row>
    <row r="451" spans="1:51" ht="15.75" customHeight="1" x14ac:dyDescent="0.25">
      <c r="A451" s="271"/>
      <c r="B451" s="534"/>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c r="AL451" s="271"/>
      <c r="AM451" s="271"/>
      <c r="AN451" s="271"/>
      <c r="AO451" s="271"/>
      <c r="AP451" s="271"/>
      <c r="AQ451" s="271"/>
      <c r="AR451" s="271"/>
      <c r="AS451" s="271"/>
      <c r="AT451" s="271"/>
      <c r="AU451" s="271"/>
      <c r="AV451" s="271"/>
      <c r="AW451" s="271"/>
      <c r="AX451" s="271"/>
      <c r="AY451" s="271"/>
    </row>
    <row r="452" spans="1:51" ht="15.75" customHeight="1" x14ac:dyDescent="0.25">
      <c r="A452" s="271"/>
      <c r="B452" s="534"/>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c r="AL452" s="271"/>
      <c r="AM452" s="271"/>
      <c r="AN452" s="271"/>
      <c r="AO452" s="271"/>
      <c r="AP452" s="271"/>
      <c r="AQ452" s="271"/>
      <c r="AR452" s="271"/>
      <c r="AS452" s="271"/>
      <c r="AT452" s="271"/>
      <c r="AU452" s="271"/>
      <c r="AV452" s="271"/>
      <c r="AW452" s="271"/>
      <c r="AX452" s="271"/>
      <c r="AY452" s="271"/>
    </row>
    <row r="453" spans="1:51" ht="15.75" customHeight="1" x14ac:dyDescent="0.25">
      <c r="A453" s="271"/>
      <c r="B453" s="534"/>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c r="AL453" s="271"/>
      <c r="AM453" s="271"/>
      <c r="AN453" s="271"/>
      <c r="AO453" s="271"/>
      <c r="AP453" s="271"/>
      <c r="AQ453" s="271"/>
      <c r="AR453" s="271"/>
      <c r="AS453" s="271"/>
      <c r="AT453" s="271"/>
      <c r="AU453" s="271"/>
      <c r="AV453" s="271"/>
      <c r="AW453" s="271"/>
      <c r="AX453" s="271"/>
      <c r="AY453" s="271"/>
    </row>
    <row r="454" spans="1:51" ht="15.75" customHeight="1" x14ac:dyDescent="0.25">
      <c r="A454" s="271"/>
      <c r="B454" s="534"/>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c r="AL454" s="271"/>
      <c r="AM454" s="271"/>
      <c r="AN454" s="271"/>
      <c r="AO454" s="271"/>
      <c r="AP454" s="271"/>
      <c r="AQ454" s="271"/>
      <c r="AR454" s="271"/>
      <c r="AS454" s="271"/>
      <c r="AT454" s="271"/>
      <c r="AU454" s="271"/>
      <c r="AV454" s="271"/>
      <c r="AW454" s="271"/>
      <c r="AX454" s="271"/>
      <c r="AY454" s="271"/>
    </row>
    <row r="455" spans="1:51" ht="15.75" customHeight="1" x14ac:dyDescent="0.25">
      <c r="A455" s="271"/>
      <c r="B455" s="534"/>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c r="AL455" s="271"/>
      <c r="AM455" s="271"/>
      <c r="AN455" s="271"/>
      <c r="AO455" s="271"/>
      <c r="AP455" s="271"/>
      <c r="AQ455" s="271"/>
      <c r="AR455" s="271"/>
      <c r="AS455" s="271"/>
      <c r="AT455" s="271"/>
      <c r="AU455" s="271"/>
      <c r="AV455" s="271"/>
      <c r="AW455" s="271"/>
      <c r="AX455" s="271"/>
      <c r="AY455" s="271"/>
    </row>
    <row r="456" spans="1:51" ht="15.75" customHeight="1" x14ac:dyDescent="0.25">
      <c r="A456" s="271"/>
      <c r="B456" s="534"/>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c r="AL456" s="271"/>
      <c r="AM456" s="271"/>
      <c r="AN456" s="271"/>
      <c r="AO456" s="271"/>
      <c r="AP456" s="271"/>
      <c r="AQ456" s="271"/>
      <c r="AR456" s="271"/>
      <c r="AS456" s="271"/>
      <c r="AT456" s="271"/>
      <c r="AU456" s="271"/>
      <c r="AV456" s="271"/>
      <c r="AW456" s="271"/>
      <c r="AX456" s="271"/>
      <c r="AY456" s="271"/>
    </row>
    <row r="457" spans="1:51" ht="15.75" customHeight="1" x14ac:dyDescent="0.25">
      <c r="A457" s="271"/>
      <c r="B457" s="534"/>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c r="AL457" s="271"/>
      <c r="AM457" s="271"/>
      <c r="AN457" s="271"/>
      <c r="AO457" s="271"/>
      <c r="AP457" s="271"/>
      <c r="AQ457" s="271"/>
      <c r="AR457" s="271"/>
      <c r="AS457" s="271"/>
      <c r="AT457" s="271"/>
      <c r="AU457" s="271"/>
      <c r="AV457" s="271"/>
      <c r="AW457" s="271"/>
      <c r="AX457" s="271"/>
      <c r="AY457" s="271"/>
    </row>
    <row r="458" spans="1:51" ht="15.75" customHeight="1" x14ac:dyDescent="0.25">
      <c r="A458" s="271"/>
      <c r="B458" s="534"/>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c r="AL458" s="271"/>
      <c r="AM458" s="271"/>
      <c r="AN458" s="271"/>
      <c r="AO458" s="271"/>
      <c r="AP458" s="271"/>
      <c r="AQ458" s="271"/>
      <c r="AR458" s="271"/>
      <c r="AS458" s="271"/>
      <c r="AT458" s="271"/>
      <c r="AU458" s="271"/>
      <c r="AV458" s="271"/>
      <c r="AW458" s="271"/>
      <c r="AX458" s="271"/>
      <c r="AY458" s="271"/>
    </row>
    <row r="459" spans="1:51" ht="15.75" customHeight="1" x14ac:dyDescent="0.25">
      <c r="A459" s="271"/>
      <c r="B459" s="534"/>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c r="AL459" s="271"/>
      <c r="AM459" s="271"/>
      <c r="AN459" s="271"/>
      <c r="AO459" s="271"/>
      <c r="AP459" s="271"/>
      <c r="AQ459" s="271"/>
      <c r="AR459" s="271"/>
      <c r="AS459" s="271"/>
      <c r="AT459" s="271"/>
      <c r="AU459" s="271"/>
      <c r="AV459" s="271"/>
      <c r="AW459" s="271"/>
      <c r="AX459" s="271"/>
      <c r="AY459" s="271"/>
    </row>
    <row r="460" spans="1:51" ht="15.75" customHeight="1" x14ac:dyDescent="0.25">
      <c r="A460" s="271"/>
      <c r="B460" s="534"/>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c r="AL460" s="271"/>
      <c r="AM460" s="271"/>
      <c r="AN460" s="271"/>
      <c r="AO460" s="271"/>
      <c r="AP460" s="271"/>
      <c r="AQ460" s="271"/>
      <c r="AR460" s="271"/>
      <c r="AS460" s="271"/>
      <c r="AT460" s="271"/>
      <c r="AU460" s="271"/>
      <c r="AV460" s="271"/>
      <c r="AW460" s="271"/>
      <c r="AX460" s="271"/>
      <c r="AY460" s="271"/>
    </row>
    <row r="461" spans="1:51" ht="15.75" customHeight="1" x14ac:dyDescent="0.25">
      <c r="A461" s="271"/>
      <c r="B461" s="534"/>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c r="AL461" s="271"/>
      <c r="AM461" s="271"/>
      <c r="AN461" s="271"/>
      <c r="AO461" s="271"/>
      <c r="AP461" s="271"/>
      <c r="AQ461" s="271"/>
      <c r="AR461" s="271"/>
      <c r="AS461" s="271"/>
      <c r="AT461" s="271"/>
      <c r="AU461" s="271"/>
      <c r="AV461" s="271"/>
      <c r="AW461" s="271"/>
      <c r="AX461" s="271"/>
      <c r="AY461" s="271"/>
    </row>
    <row r="462" spans="1:51" ht="15.75" customHeight="1" x14ac:dyDescent="0.25">
      <c r="A462" s="271"/>
      <c r="B462" s="534"/>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c r="AL462" s="271"/>
      <c r="AM462" s="271"/>
      <c r="AN462" s="271"/>
      <c r="AO462" s="271"/>
      <c r="AP462" s="271"/>
      <c r="AQ462" s="271"/>
      <c r="AR462" s="271"/>
      <c r="AS462" s="271"/>
      <c r="AT462" s="271"/>
      <c r="AU462" s="271"/>
      <c r="AV462" s="271"/>
      <c r="AW462" s="271"/>
      <c r="AX462" s="271"/>
      <c r="AY462" s="271"/>
    </row>
    <row r="463" spans="1:51" ht="15.75" customHeight="1" x14ac:dyDescent="0.25">
      <c r="A463" s="271"/>
      <c r="B463" s="534"/>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c r="AL463" s="271"/>
      <c r="AM463" s="271"/>
      <c r="AN463" s="271"/>
      <c r="AO463" s="271"/>
      <c r="AP463" s="271"/>
      <c r="AQ463" s="271"/>
      <c r="AR463" s="271"/>
      <c r="AS463" s="271"/>
      <c r="AT463" s="271"/>
      <c r="AU463" s="271"/>
      <c r="AV463" s="271"/>
      <c r="AW463" s="271"/>
      <c r="AX463" s="271"/>
      <c r="AY463" s="271"/>
    </row>
    <row r="464" spans="1:51" ht="15.75" customHeight="1" x14ac:dyDescent="0.25">
      <c r="A464" s="271"/>
      <c r="B464" s="534"/>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c r="AL464" s="271"/>
      <c r="AM464" s="271"/>
      <c r="AN464" s="271"/>
      <c r="AO464" s="271"/>
      <c r="AP464" s="271"/>
      <c r="AQ464" s="271"/>
      <c r="AR464" s="271"/>
      <c r="AS464" s="271"/>
      <c r="AT464" s="271"/>
      <c r="AU464" s="271"/>
      <c r="AV464" s="271"/>
      <c r="AW464" s="271"/>
      <c r="AX464" s="271"/>
      <c r="AY464" s="271"/>
    </row>
    <row r="465" spans="1:51" ht="15.75" customHeight="1" x14ac:dyDescent="0.25">
      <c r="A465" s="271"/>
      <c r="B465" s="534"/>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c r="AL465" s="271"/>
      <c r="AM465" s="271"/>
      <c r="AN465" s="271"/>
      <c r="AO465" s="271"/>
      <c r="AP465" s="271"/>
      <c r="AQ465" s="271"/>
      <c r="AR465" s="271"/>
      <c r="AS465" s="271"/>
      <c r="AT465" s="271"/>
      <c r="AU465" s="271"/>
      <c r="AV465" s="271"/>
      <c r="AW465" s="271"/>
      <c r="AX465" s="271"/>
      <c r="AY465" s="271"/>
    </row>
    <row r="466" spans="1:51" ht="15.75" customHeight="1" x14ac:dyDescent="0.25">
      <c r="A466" s="271"/>
      <c r="B466" s="534"/>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c r="AL466" s="271"/>
      <c r="AM466" s="271"/>
      <c r="AN466" s="271"/>
      <c r="AO466" s="271"/>
      <c r="AP466" s="271"/>
      <c r="AQ466" s="271"/>
      <c r="AR466" s="271"/>
      <c r="AS466" s="271"/>
      <c r="AT466" s="271"/>
      <c r="AU466" s="271"/>
      <c r="AV466" s="271"/>
      <c r="AW466" s="271"/>
      <c r="AX466" s="271"/>
      <c r="AY466" s="271"/>
    </row>
    <row r="467" spans="1:51" ht="15.75" customHeight="1" x14ac:dyDescent="0.25">
      <c r="A467" s="271"/>
      <c r="B467" s="534"/>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c r="AL467" s="271"/>
      <c r="AM467" s="271"/>
      <c r="AN467" s="271"/>
      <c r="AO467" s="271"/>
      <c r="AP467" s="271"/>
      <c r="AQ467" s="271"/>
      <c r="AR467" s="271"/>
      <c r="AS467" s="271"/>
      <c r="AT467" s="271"/>
      <c r="AU467" s="271"/>
      <c r="AV467" s="271"/>
      <c r="AW467" s="271"/>
      <c r="AX467" s="271"/>
      <c r="AY467" s="271"/>
    </row>
    <row r="468" spans="1:51" ht="15.75" customHeight="1" x14ac:dyDescent="0.25">
      <c r="A468" s="271"/>
      <c r="B468" s="534"/>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c r="AL468" s="271"/>
      <c r="AM468" s="271"/>
      <c r="AN468" s="271"/>
      <c r="AO468" s="271"/>
      <c r="AP468" s="271"/>
      <c r="AQ468" s="271"/>
      <c r="AR468" s="271"/>
      <c r="AS468" s="271"/>
      <c r="AT468" s="271"/>
      <c r="AU468" s="271"/>
      <c r="AV468" s="271"/>
      <c r="AW468" s="271"/>
      <c r="AX468" s="271"/>
      <c r="AY468" s="271"/>
    </row>
    <row r="469" spans="1:51" ht="15.75" customHeight="1" x14ac:dyDescent="0.25">
      <c r="A469" s="271"/>
      <c r="B469" s="534"/>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c r="AL469" s="271"/>
      <c r="AM469" s="271"/>
      <c r="AN469" s="271"/>
      <c r="AO469" s="271"/>
      <c r="AP469" s="271"/>
      <c r="AQ469" s="271"/>
      <c r="AR469" s="271"/>
      <c r="AS469" s="271"/>
      <c r="AT469" s="271"/>
      <c r="AU469" s="271"/>
      <c r="AV469" s="271"/>
      <c r="AW469" s="271"/>
      <c r="AX469" s="271"/>
      <c r="AY469" s="271"/>
    </row>
    <row r="470" spans="1:51" ht="15.75" customHeight="1" x14ac:dyDescent="0.25">
      <c r="A470" s="271"/>
      <c r="B470" s="534"/>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c r="AL470" s="271"/>
      <c r="AM470" s="271"/>
      <c r="AN470" s="271"/>
      <c r="AO470" s="271"/>
      <c r="AP470" s="271"/>
      <c r="AQ470" s="271"/>
      <c r="AR470" s="271"/>
      <c r="AS470" s="271"/>
      <c r="AT470" s="271"/>
      <c r="AU470" s="271"/>
      <c r="AV470" s="271"/>
      <c r="AW470" s="271"/>
      <c r="AX470" s="271"/>
      <c r="AY470" s="271"/>
    </row>
    <row r="471" spans="1:51" ht="15.75" customHeight="1" x14ac:dyDescent="0.25">
      <c r="A471" s="271"/>
      <c r="B471" s="534"/>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c r="AL471" s="271"/>
      <c r="AM471" s="271"/>
      <c r="AN471" s="271"/>
      <c r="AO471" s="271"/>
      <c r="AP471" s="271"/>
      <c r="AQ471" s="271"/>
      <c r="AR471" s="271"/>
      <c r="AS471" s="271"/>
      <c r="AT471" s="271"/>
      <c r="AU471" s="271"/>
      <c r="AV471" s="271"/>
      <c r="AW471" s="271"/>
      <c r="AX471" s="271"/>
      <c r="AY471" s="271"/>
    </row>
    <row r="472" spans="1:51" ht="15.75" customHeight="1" x14ac:dyDescent="0.25">
      <c r="A472" s="271"/>
      <c r="B472" s="534"/>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c r="AL472" s="271"/>
      <c r="AM472" s="271"/>
      <c r="AN472" s="271"/>
      <c r="AO472" s="271"/>
      <c r="AP472" s="271"/>
      <c r="AQ472" s="271"/>
      <c r="AR472" s="271"/>
      <c r="AS472" s="271"/>
      <c r="AT472" s="271"/>
      <c r="AU472" s="271"/>
      <c r="AV472" s="271"/>
      <c r="AW472" s="271"/>
      <c r="AX472" s="271"/>
      <c r="AY472" s="271"/>
    </row>
    <row r="473" spans="1:51" ht="15.75" customHeight="1" x14ac:dyDescent="0.25">
      <c r="A473" s="271"/>
      <c r="B473" s="534"/>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c r="AL473" s="271"/>
      <c r="AM473" s="271"/>
      <c r="AN473" s="271"/>
      <c r="AO473" s="271"/>
      <c r="AP473" s="271"/>
      <c r="AQ473" s="271"/>
      <c r="AR473" s="271"/>
      <c r="AS473" s="271"/>
      <c r="AT473" s="271"/>
      <c r="AU473" s="271"/>
      <c r="AV473" s="271"/>
      <c r="AW473" s="271"/>
      <c r="AX473" s="271"/>
      <c r="AY473" s="271"/>
    </row>
    <row r="474" spans="1:51" ht="15.75" customHeight="1" x14ac:dyDescent="0.25">
      <c r="A474" s="271"/>
      <c r="B474" s="534"/>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c r="AL474" s="271"/>
      <c r="AM474" s="271"/>
      <c r="AN474" s="271"/>
      <c r="AO474" s="271"/>
      <c r="AP474" s="271"/>
      <c r="AQ474" s="271"/>
      <c r="AR474" s="271"/>
      <c r="AS474" s="271"/>
      <c r="AT474" s="271"/>
      <c r="AU474" s="271"/>
      <c r="AV474" s="271"/>
      <c r="AW474" s="271"/>
      <c r="AX474" s="271"/>
      <c r="AY474" s="271"/>
    </row>
    <row r="475" spans="1:51" ht="15.75" customHeight="1" x14ac:dyDescent="0.25">
      <c r="A475" s="271"/>
      <c r="B475" s="534"/>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c r="AL475" s="271"/>
      <c r="AM475" s="271"/>
      <c r="AN475" s="271"/>
      <c r="AO475" s="271"/>
      <c r="AP475" s="271"/>
      <c r="AQ475" s="271"/>
      <c r="AR475" s="271"/>
      <c r="AS475" s="271"/>
      <c r="AT475" s="271"/>
      <c r="AU475" s="271"/>
      <c r="AV475" s="271"/>
      <c r="AW475" s="271"/>
      <c r="AX475" s="271"/>
      <c r="AY475" s="271"/>
    </row>
    <row r="476" spans="1:51" ht="15.75" customHeight="1" x14ac:dyDescent="0.25">
      <c r="A476" s="271"/>
      <c r="B476" s="534"/>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c r="AL476" s="271"/>
      <c r="AM476" s="271"/>
      <c r="AN476" s="271"/>
      <c r="AO476" s="271"/>
      <c r="AP476" s="271"/>
      <c r="AQ476" s="271"/>
      <c r="AR476" s="271"/>
      <c r="AS476" s="271"/>
      <c r="AT476" s="271"/>
      <c r="AU476" s="271"/>
      <c r="AV476" s="271"/>
      <c r="AW476" s="271"/>
      <c r="AX476" s="271"/>
      <c r="AY476" s="271"/>
    </row>
    <row r="477" spans="1:51" ht="15.75" customHeight="1" x14ac:dyDescent="0.25">
      <c r="A477" s="271"/>
      <c r="B477" s="534"/>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c r="AL477" s="271"/>
      <c r="AM477" s="271"/>
      <c r="AN477" s="271"/>
      <c r="AO477" s="271"/>
      <c r="AP477" s="271"/>
      <c r="AQ477" s="271"/>
      <c r="AR477" s="271"/>
      <c r="AS477" s="271"/>
      <c r="AT477" s="271"/>
      <c r="AU477" s="271"/>
      <c r="AV477" s="271"/>
      <c r="AW477" s="271"/>
      <c r="AX477" s="271"/>
      <c r="AY477" s="271"/>
    </row>
    <row r="478" spans="1:51" ht="15.75" customHeight="1" x14ac:dyDescent="0.25">
      <c r="A478" s="271"/>
      <c r="B478" s="534"/>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c r="AL478" s="271"/>
      <c r="AM478" s="271"/>
      <c r="AN478" s="271"/>
      <c r="AO478" s="271"/>
      <c r="AP478" s="271"/>
      <c r="AQ478" s="271"/>
      <c r="AR478" s="271"/>
      <c r="AS478" s="271"/>
      <c r="AT478" s="271"/>
      <c r="AU478" s="271"/>
      <c r="AV478" s="271"/>
      <c r="AW478" s="271"/>
      <c r="AX478" s="271"/>
      <c r="AY478" s="271"/>
    </row>
    <row r="479" spans="1:51" ht="15.75" customHeight="1" x14ac:dyDescent="0.25">
      <c r="A479" s="271"/>
      <c r="B479" s="534"/>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c r="AL479" s="271"/>
      <c r="AM479" s="271"/>
      <c r="AN479" s="271"/>
      <c r="AO479" s="271"/>
      <c r="AP479" s="271"/>
      <c r="AQ479" s="271"/>
      <c r="AR479" s="271"/>
      <c r="AS479" s="271"/>
      <c r="AT479" s="271"/>
      <c r="AU479" s="271"/>
      <c r="AV479" s="271"/>
      <c r="AW479" s="271"/>
      <c r="AX479" s="271"/>
      <c r="AY479" s="271"/>
    </row>
    <row r="480" spans="1:51" ht="15.75" customHeight="1" x14ac:dyDescent="0.25">
      <c r="A480" s="271"/>
      <c r="B480" s="534"/>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c r="AL480" s="271"/>
      <c r="AM480" s="271"/>
      <c r="AN480" s="271"/>
      <c r="AO480" s="271"/>
      <c r="AP480" s="271"/>
      <c r="AQ480" s="271"/>
      <c r="AR480" s="271"/>
      <c r="AS480" s="271"/>
      <c r="AT480" s="271"/>
      <c r="AU480" s="271"/>
      <c r="AV480" s="271"/>
      <c r="AW480" s="271"/>
      <c r="AX480" s="271"/>
      <c r="AY480" s="271"/>
    </row>
    <row r="481" spans="1:51" ht="15.75" customHeight="1" x14ac:dyDescent="0.25">
      <c r="A481" s="271"/>
      <c r="B481" s="534"/>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c r="AL481" s="271"/>
      <c r="AM481" s="271"/>
      <c r="AN481" s="271"/>
      <c r="AO481" s="271"/>
      <c r="AP481" s="271"/>
      <c r="AQ481" s="271"/>
      <c r="AR481" s="271"/>
      <c r="AS481" s="271"/>
      <c r="AT481" s="271"/>
      <c r="AU481" s="271"/>
      <c r="AV481" s="271"/>
      <c r="AW481" s="271"/>
      <c r="AX481" s="271"/>
      <c r="AY481" s="271"/>
    </row>
    <row r="482" spans="1:51" ht="15.75" customHeight="1" x14ac:dyDescent="0.25">
      <c r="A482" s="271"/>
      <c r="B482" s="534"/>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c r="AL482" s="271"/>
      <c r="AM482" s="271"/>
      <c r="AN482" s="271"/>
      <c r="AO482" s="271"/>
      <c r="AP482" s="271"/>
      <c r="AQ482" s="271"/>
      <c r="AR482" s="271"/>
      <c r="AS482" s="271"/>
      <c r="AT482" s="271"/>
      <c r="AU482" s="271"/>
      <c r="AV482" s="271"/>
      <c r="AW482" s="271"/>
      <c r="AX482" s="271"/>
      <c r="AY482" s="271"/>
    </row>
    <row r="483" spans="1:51" ht="15.75" customHeight="1" x14ac:dyDescent="0.25">
      <c r="A483" s="271"/>
      <c r="B483" s="534"/>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c r="AL483" s="271"/>
      <c r="AM483" s="271"/>
      <c r="AN483" s="271"/>
      <c r="AO483" s="271"/>
      <c r="AP483" s="271"/>
      <c r="AQ483" s="271"/>
      <c r="AR483" s="271"/>
      <c r="AS483" s="271"/>
      <c r="AT483" s="271"/>
      <c r="AU483" s="271"/>
      <c r="AV483" s="271"/>
      <c r="AW483" s="271"/>
      <c r="AX483" s="271"/>
      <c r="AY483" s="271"/>
    </row>
    <row r="484" spans="1:51" ht="15.75" customHeight="1" x14ac:dyDescent="0.25">
      <c r="A484" s="271"/>
      <c r="B484" s="534"/>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c r="AL484" s="271"/>
      <c r="AM484" s="271"/>
      <c r="AN484" s="271"/>
      <c r="AO484" s="271"/>
      <c r="AP484" s="271"/>
      <c r="AQ484" s="271"/>
      <c r="AR484" s="271"/>
      <c r="AS484" s="271"/>
      <c r="AT484" s="271"/>
      <c r="AU484" s="271"/>
      <c r="AV484" s="271"/>
      <c r="AW484" s="271"/>
      <c r="AX484" s="271"/>
      <c r="AY484" s="271"/>
    </row>
    <row r="485" spans="1:51" ht="15.75" customHeight="1" x14ac:dyDescent="0.25">
      <c r="A485" s="271"/>
      <c r="B485" s="534"/>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c r="AL485" s="271"/>
      <c r="AM485" s="271"/>
      <c r="AN485" s="271"/>
      <c r="AO485" s="271"/>
      <c r="AP485" s="271"/>
      <c r="AQ485" s="271"/>
      <c r="AR485" s="271"/>
      <c r="AS485" s="271"/>
      <c r="AT485" s="271"/>
      <c r="AU485" s="271"/>
      <c r="AV485" s="271"/>
      <c r="AW485" s="271"/>
      <c r="AX485" s="271"/>
      <c r="AY485" s="271"/>
    </row>
    <row r="486" spans="1:51" ht="15.75" customHeight="1" x14ac:dyDescent="0.25">
      <c r="A486" s="271"/>
      <c r="B486" s="534"/>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c r="AL486" s="271"/>
      <c r="AM486" s="271"/>
      <c r="AN486" s="271"/>
      <c r="AO486" s="271"/>
      <c r="AP486" s="271"/>
      <c r="AQ486" s="271"/>
      <c r="AR486" s="271"/>
      <c r="AS486" s="271"/>
      <c r="AT486" s="271"/>
      <c r="AU486" s="271"/>
      <c r="AV486" s="271"/>
      <c r="AW486" s="271"/>
      <c r="AX486" s="271"/>
      <c r="AY486" s="271"/>
    </row>
    <row r="487" spans="1:51" ht="15.75" customHeight="1" x14ac:dyDescent="0.25">
      <c r="A487" s="271"/>
      <c r="B487" s="534"/>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c r="AL487" s="271"/>
      <c r="AM487" s="271"/>
      <c r="AN487" s="271"/>
      <c r="AO487" s="271"/>
      <c r="AP487" s="271"/>
      <c r="AQ487" s="271"/>
      <c r="AR487" s="271"/>
      <c r="AS487" s="271"/>
      <c r="AT487" s="271"/>
      <c r="AU487" s="271"/>
      <c r="AV487" s="271"/>
      <c r="AW487" s="271"/>
      <c r="AX487" s="271"/>
      <c r="AY487" s="271"/>
    </row>
    <row r="488" spans="1:51" ht="15.75" customHeight="1" x14ac:dyDescent="0.25">
      <c r="A488" s="271"/>
      <c r="B488" s="534"/>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c r="AL488" s="271"/>
      <c r="AM488" s="271"/>
      <c r="AN488" s="271"/>
      <c r="AO488" s="271"/>
      <c r="AP488" s="271"/>
      <c r="AQ488" s="271"/>
      <c r="AR488" s="271"/>
      <c r="AS488" s="271"/>
      <c r="AT488" s="271"/>
      <c r="AU488" s="271"/>
      <c r="AV488" s="271"/>
      <c r="AW488" s="271"/>
      <c r="AX488" s="271"/>
      <c r="AY488" s="271"/>
    </row>
    <row r="489" spans="1:51" ht="15.75" customHeight="1" x14ac:dyDescent="0.25">
      <c r="A489" s="271"/>
      <c r="B489" s="534"/>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c r="AL489" s="271"/>
      <c r="AM489" s="271"/>
      <c r="AN489" s="271"/>
      <c r="AO489" s="271"/>
      <c r="AP489" s="271"/>
      <c r="AQ489" s="271"/>
      <c r="AR489" s="271"/>
      <c r="AS489" s="271"/>
      <c r="AT489" s="271"/>
      <c r="AU489" s="271"/>
      <c r="AV489" s="271"/>
      <c r="AW489" s="271"/>
      <c r="AX489" s="271"/>
      <c r="AY489" s="271"/>
    </row>
    <row r="490" spans="1:51" ht="15.75" customHeight="1" x14ac:dyDescent="0.25">
      <c r="A490" s="271"/>
      <c r="B490" s="534"/>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c r="AL490" s="271"/>
      <c r="AM490" s="271"/>
      <c r="AN490" s="271"/>
      <c r="AO490" s="271"/>
      <c r="AP490" s="271"/>
      <c r="AQ490" s="271"/>
      <c r="AR490" s="271"/>
      <c r="AS490" s="271"/>
      <c r="AT490" s="271"/>
      <c r="AU490" s="271"/>
      <c r="AV490" s="271"/>
      <c r="AW490" s="271"/>
      <c r="AX490" s="271"/>
      <c r="AY490" s="271"/>
    </row>
    <row r="491" spans="1:51" ht="15.75" customHeight="1" x14ac:dyDescent="0.25">
      <c r="A491" s="271"/>
      <c r="B491" s="534"/>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c r="AL491" s="271"/>
      <c r="AM491" s="271"/>
      <c r="AN491" s="271"/>
      <c r="AO491" s="271"/>
      <c r="AP491" s="271"/>
      <c r="AQ491" s="271"/>
      <c r="AR491" s="271"/>
      <c r="AS491" s="271"/>
      <c r="AT491" s="271"/>
      <c r="AU491" s="271"/>
      <c r="AV491" s="271"/>
      <c r="AW491" s="271"/>
      <c r="AX491" s="271"/>
      <c r="AY491" s="271"/>
    </row>
    <row r="492" spans="1:51" ht="15.75" customHeight="1" x14ac:dyDescent="0.25">
      <c r="A492" s="271"/>
      <c r="B492" s="534"/>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c r="AL492" s="271"/>
      <c r="AM492" s="271"/>
      <c r="AN492" s="271"/>
      <c r="AO492" s="271"/>
      <c r="AP492" s="271"/>
      <c r="AQ492" s="271"/>
      <c r="AR492" s="271"/>
      <c r="AS492" s="271"/>
      <c r="AT492" s="271"/>
      <c r="AU492" s="271"/>
      <c r="AV492" s="271"/>
      <c r="AW492" s="271"/>
      <c r="AX492" s="271"/>
      <c r="AY492" s="271"/>
    </row>
    <row r="493" spans="1:51" ht="15.75" customHeight="1" x14ac:dyDescent="0.25">
      <c r="A493" s="271"/>
      <c r="B493" s="534"/>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c r="AM493" s="271"/>
      <c r="AN493" s="271"/>
      <c r="AO493" s="271"/>
      <c r="AP493" s="271"/>
      <c r="AQ493" s="271"/>
      <c r="AR493" s="271"/>
      <c r="AS493" s="271"/>
      <c r="AT493" s="271"/>
      <c r="AU493" s="271"/>
      <c r="AV493" s="271"/>
      <c r="AW493" s="271"/>
      <c r="AX493" s="271"/>
      <c r="AY493" s="271"/>
    </row>
    <row r="494" spans="1:51" ht="15.75" customHeight="1" x14ac:dyDescent="0.25">
      <c r="A494" s="271"/>
      <c r="B494" s="534"/>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c r="AL494" s="271"/>
      <c r="AM494" s="271"/>
      <c r="AN494" s="271"/>
      <c r="AO494" s="271"/>
      <c r="AP494" s="271"/>
      <c r="AQ494" s="271"/>
      <c r="AR494" s="271"/>
      <c r="AS494" s="271"/>
      <c r="AT494" s="271"/>
      <c r="AU494" s="271"/>
      <c r="AV494" s="271"/>
      <c r="AW494" s="271"/>
      <c r="AX494" s="271"/>
      <c r="AY494" s="271"/>
    </row>
    <row r="495" spans="1:51" ht="15.75" customHeight="1" x14ac:dyDescent="0.25">
      <c r="A495" s="271"/>
      <c r="B495" s="534"/>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c r="AL495" s="271"/>
      <c r="AM495" s="271"/>
      <c r="AN495" s="271"/>
      <c r="AO495" s="271"/>
      <c r="AP495" s="271"/>
      <c r="AQ495" s="271"/>
      <c r="AR495" s="271"/>
      <c r="AS495" s="271"/>
      <c r="AT495" s="271"/>
      <c r="AU495" s="271"/>
      <c r="AV495" s="271"/>
      <c r="AW495" s="271"/>
      <c r="AX495" s="271"/>
      <c r="AY495" s="271"/>
    </row>
    <row r="496" spans="1:51" ht="15.75" customHeight="1" x14ac:dyDescent="0.25">
      <c r="A496" s="271"/>
      <c r="B496" s="534"/>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c r="AL496" s="271"/>
      <c r="AM496" s="271"/>
      <c r="AN496" s="271"/>
      <c r="AO496" s="271"/>
      <c r="AP496" s="271"/>
      <c r="AQ496" s="271"/>
      <c r="AR496" s="271"/>
      <c r="AS496" s="271"/>
      <c r="AT496" s="271"/>
      <c r="AU496" s="271"/>
      <c r="AV496" s="271"/>
      <c r="AW496" s="271"/>
      <c r="AX496" s="271"/>
      <c r="AY496" s="271"/>
    </row>
    <row r="497" spans="1:51" ht="15.75" customHeight="1" x14ac:dyDescent="0.25">
      <c r="A497" s="271"/>
      <c r="B497" s="534"/>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c r="AL497" s="271"/>
      <c r="AM497" s="271"/>
      <c r="AN497" s="271"/>
      <c r="AO497" s="271"/>
      <c r="AP497" s="271"/>
      <c r="AQ497" s="271"/>
      <c r="AR497" s="271"/>
      <c r="AS497" s="271"/>
      <c r="AT497" s="271"/>
      <c r="AU497" s="271"/>
      <c r="AV497" s="271"/>
      <c r="AW497" s="271"/>
      <c r="AX497" s="271"/>
      <c r="AY497" s="271"/>
    </row>
    <row r="498" spans="1:51" ht="15.75" customHeight="1" x14ac:dyDescent="0.25">
      <c r="A498" s="271"/>
      <c r="B498" s="534"/>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c r="AL498" s="271"/>
      <c r="AM498" s="271"/>
      <c r="AN498" s="271"/>
      <c r="AO498" s="271"/>
      <c r="AP498" s="271"/>
      <c r="AQ498" s="271"/>
      <c r="AR498" s="271"/>
      <c r="AS498" s="271"/>
      <c r="AT498" s="271"/>
      <c r="AU498" s="271"/>
      <c r="AV498" s="271"/>
      <c r="AW498" s="271"/>
      <c r="AX498" s="271"/>
      <c r="AY498" s="271"/>
    </row>
    <row r="499" spans="1:51" ht="15.75" customHeight="1" x14ac:dyDescent="0.25">
      <c r="A499" s="271"/>
      <c r="B499" s="534"/>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c r="AL499" s="271"/>
      <c r="AM499" s="271"/>
      <c r="AN499" s="271"/>
      <c r="AO499" s="271"/>
      <c r="AP499" s="271"/>
      <c r="AQ499" s="271"/>
      <c r="AR499" s="271"/>
      <c r="AS499" s="271"/>
      <c r="AT499" s="271"/>
      <c r="AU499" s="271"/>
      <c r="AV499" s="271"/>
      <c r="AW499" s="271"/>
      <c r="AX499" s="271"/>
      <c r="AY499" s="271"/>
    </row>
    <row r="500" spans="1:51" ht="15.75" customHeight="1" x14ac:dyDescent="0.25">
      <c r="A500" s="271"/>
      <c r="B500" s="534"/>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c r="AL500" s="271"/>
      <c r="AM500" s="271"/>
      <c r="AN500" s="271"/>
      <c r="AO500" s="271"/>
      <c r="AP500" s="271"/>
      <c r="AQ500" s="271"/>
      <c r="AR500" s="271"/>
      <c r="AS500" s="271"/>
      <c r="AT500" s="271"/>
      <c r="AU500" s="271"/>
      <c r="AV500" s="271"/>
      <c r="AW500" s="271"/>
      <c r="AX500" s="271"/>
      <c r="AY500" s="271"/>
    </row>
    <row r="501" spans="1:51" ht="15.75" customHeight="1" x14ac:dyDescent="0.25">
      <c r="A501" s="271"/>
      <c r="B501" s="534"/>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c r="AL501" s="271"/>
      <c r="AM501" s="271"/>
      <c r="AN501" s="271"/>
      <c r="AO501" s="271"/>
      <c r="AP501" s="271"/>
      <c r="AQ501" s="271"/>
      <c r="AR501" s="271"/>
      <c r="AS501" s="271"/>
      <c r="AT501" s="271"/>
      <c r="AU501" s="271"/>
      <c r="AV501" s="271"/>
      <c r="AW501" s="271"/>
      <c r="AX501" s="271"/>
      <c r="AY501" s="271"/>
    </row>
    <row r="502" spans="1:51" ht="15.75" customHeight="1" x14ac:dyDescent="0.25">
      <c r="A502" s="271"/>
      <c r="B502" s="534"/>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c r="AL502" s="271"/>
      <c r="AM502" s="271"/>
      <c r="AN502" s="271"/>
      <c r="AO502" s="271"/>
      <c r="AP502" s="271"/>
      <c r="AQ502" s="271"/>
      <c r="AR502" s="271"/>
      <c r="AS502" s="271"/>
      <c r="AT502" s="271"/>
      <c r="AU502" s="271"/>
      <c r="AV502" s="271"/>
      <c r="AW502" s="271"/>
      <c r="AX502" s="271"/>
      <c r="AY502" s="271"/>
    </row>
    <row r="503" spans="1:51" ht="15.75" customHeight="1" x14ac:dyDescent="0.25">
      <c r="A503" s="271"/>
      <c r="B503" s="534"/>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c r="AL503" s="271"/>
      <c r="AM503" s="271"/>
      <c r="AN503" s="271"/>
      <c r="AO503" s="271"/>
      <c r="AP503" s="271"/>
      <c r="AQ503" s="271"/>
      <c r="AR503" s="271"/>
      <c r="AS503" s="271"/>
      <c r="AT503" s="271"/>
      <c r="AU503" s="271"/>
      <c r="AV503" s="271"/>
      <c r="AW503" s="271"/>
      <c r="AX503" s="271"/>
      <c r="AY503" s="271"/>
    </row>
    <row r="504" spans="1:51" ht="15.75" customHeight="1" x14ac:dyDescent="0.25">
      <c r="A504" s="271"/>
      <c r="B504" s="534"/>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c r="AL504" s="271"/>
      <c r="AM504" s="271"/>
      <c r="AN504" s="271"/>
      <c r="AO504" s="271"/>
      <c r="AP504" s="271"/>
      <c r="AQ504" s="271"/>
      <c r="AR504" s="271"/>
      <c r="AS504" s="271"/>
      <c r="AT504" s="271"/>
      <c r="AU504" s="271"/>
      <c r="AV504" s="271"/>
      <c r="AW504" s="271"/>
      <c r="AX504" s="271"/>
      <c r="AY504" s="271"/>
    </row>
    <row r="505" spans="1:51" ht="15.75" customHeight="1" x14ac:dyDescent="0.25">
      <c r="A505" s="271"/>
      <c r="B505" s="534"/>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c r="AL505" s="271"/>
      <c r="AM505" s="271"/>
      <c r="AN505" s="271"/>
      <c r="AO505" s="271"/>
      <c r="AP505" s="271"/>
      <c r="AQ505" s="271"/>
      <c r="AR505" s="271"/>
      <c r="AS505" s="271"/>
      <c r="AT505" s="271"/>
      <c r="AU505" s="271"/>
      <c r="AV505" s="271"/>
      <c r="AW505" s="271"/>
      <c r="AX505" s="271"/>
      <c r="AY505" s="271"/>
    </row>
    <row r="506" spans="1:51" ht="15.75" customHeight="1" x14ac:dyDescent="0.25">
      <c r="A506" s="271"/>
      <c r="B506" s="534"/>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c r="AL506" s="271"/>
      <c r="AM506" s="271"/>
      <c r="AN506" s="271"/>
      <c r="AO506" s="271"/>
      <c r="AP506" s="271"/>
      <c r="AQ506" s="271"/>
      <c r="AR506" s="271"/>
      <c r="AS506" s="271"/>
      <c r="AT506" s="271"/>
      <c r="AU506" s="271"/>
      <c r="AV506" s="271"/>
      <c r="AW506" s="271"/>
      <c r="AX506" s="271"/>
      <c r="AY506" s="271"/>
    </row>
    <row r="507" spans="1:51" ht="15.75" customHeight="1" x14ac:dyDescent="0.25">
      <c r="A507" s="271"/>
      <c r="B507" s="534"/>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c r="AL507" s="271"/>
      <c r="AM507" s="271"/>
      <c r="AN507" s="271"/>
      <c r="AO507" s="271"/>
      <c r="AP507" s="271"/>
      <c r="AQ507" s="271"/>
      <c r="AR507" s="271"/>
      <c r="AS507" s="271"/>
      <c r="AT507" s="271"/>
      <c r="AU507" s="271"/>
      <c r="AV507" s="271"/>
      <c r="AW507" s="271"/>
      <c r="AX507" s="271"/>
      <c r="AY507" s="271"/>
    </row>
    <row r="508" spans="1:51" ht="15.75" customHeight="1" x14ac:dyDescent="0.25">
      <c r="A508" s="271"/>
      <c r="B508" s="534"/>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c r="AL508" s="271"/>
      <c r="AM508" s="271"/>
      <c r="AN508" s="271"/>
      <c r="AO508" s="271"/>
      <c r="AP508" s="271"/>
      <c r="AQ508" s="271"/>
      <c r="AR508" s="271"/>
      <c r="AS508" s="271"/>
      <c r="AT508" s="271"/>
      <c r="AU508" s="271"/>
      <c r="AV508" s="271"/>
      <c r="AW508" s="271"/>
      <c r="AX508" s="271"/>
      <c r="AY508" s="271"/>
    </row>
    <row r="509" spans="1:51" ht="15.75" customHeight="1" x14ac:dyDescent="0.25">
      <c r="A509" s="271"/>
      <c r="B509" s="534"/>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c r="AL509" s="271"/>
      <c r="AM509" s="271"/>
      <c r="AN509" s="271"/>
      <c r="AO509" s="271"/>
      <c r="AP509" s="271"/>
      <c r="AQ509" s="271"/>
      <c r="AR509" s="271"/>
      <c r="AS509" s="271"/>
      <c r="AT509" s="271"/>
      <c r="AU509" s="271"/>
      <c r="AV509" s="271"/>
      <c r="AW509" s="271"/>
      <c r="AX509" s="271"/>
      <c r="AY509" s="271"/>
    </row>
    <row r="510" spans="1:51" ht="15.75" customHeight="1" x14ac:dyDescent="0.25">
      <c r="A510" s="271"/>
      <c r="B510" s="534"/>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c r="AL510" s="271"/>
      <c r="AM510" s="271"/>
      <c r="AN510" s="271"/>
      <c r="AO510" s="271"/>
      <c r="AP510" s="271"/>
      <c r="AQ510" s="271"/>
      <c r="AR510" s="271"/>
      <c r="AS510" s="271"/>
      <c r="AT510" s="271"/>
      <c r="AU510" s="271"/>
      <c r="AV510" s="271"/>
      <c r="AW510" s="271"/>
      <c r="AX510" s="271"/>
      <c r="AY510" s="271"/>
    </row>
    <row r="511" spans="1:51" ht="15.75" customHeight="1" x14ac:dyDescent="0.25">
      <c r="A511" s="271"/>
      <c r="B511" s="534"/>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c r="AL511" s="271"/>
      <c r="AM511" s="271"/>
      <c r="AN511" s="271"/>
      <c r="AO511" s="271"/>
      <c r="AP511" s="271"/>
      <c r="AQ511" s="271"/>
      <c r="AR511" s="271"/>
      <c r="AS511" s="271"/>
      <c r="AT511" s="271"/>
      <c r="AU511" s="271"/>
      <c r="AV511" s="271"/>
      <c r="AW511" s="271"/>
      <c r="AX511" s="271"/>
      <c r="AY511" s="271"/>
    </row>
    <row r="512" spans="1:51" ht="15.75" customHeight="1" x14ac:dyDescent="0.25">
      <c r="A512" s="271"/>
      <c r="B512" s="534"/>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c r="AL512" s="271"/>
      <c r="AM512" s="271"/>
      <c r="AN512" s="271"/>
      <c r="AO512" s="271"/>
      <c r="AP512" s="271"/>
      <c r="AQ512" s="271"/>
      <c r="AR512" s="271"/>
      <c r="AS512" s="271"/>
      <c r="AT512" s="271"/>
      <c r="AU512" s="271"/>
      <c r="AV512" s="271"/>
      <c r="AW512" s="271"/>
      <c r="AX512" s="271"/>
      <c r="AY512" s="271"/>
    </row>
    <row r="513" spans="1:51" ht="15.75" customHeight="1" x14ac:dyDescent="0.25">
      <c r="A513" s="271"/>
      <c r="B513" s="534"/>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c r="AL513" s="271"/>
      <c r="AM513" s="271"/>
      <c r="AN513" s="271"/>
      <c r="AO513" s="271"/>
      <c r="AP513" s="271"/>
      <c r="AQ513" s="271"/>
      <c r="AR513" s="271"/>
      <c r="AS513" s="271"/>
      <c r="AT513" s="271"/>
      <c r="AU513" s="271"/>
      <c r="AV513" s="271"/>
      <c r="AW513" s="271"/>
      <c r="AX513" s="271"/>
      <c r="AY513" s="271"/>
    </row>
    <row r="514" spans="1:51" ht="15.75" customHeight="1" x14ac:dyDescent="0.25">
      <c r="A514" s="271"/>
      <c r="B514" s="534"/>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c r="AL514" s="271"/>
      <c r="AM514" s="271"/>
      <c r="AN514" s="271"/>
      <c r="AO514" s="271"/>
      <c r="AP514" s="271"/>
      <c r="AQ514" s="271"/>
      <c r="AR514" s="271"/>
      <c r="AS514" s="271"/>
      <c r="AT514" s="271"/>
      <c r="AU514" s="271"/>
      <c r="AV514" s="271"/>
      <c r="AW514" s="271"/>
      <c r="AX514" s="271"/>
      <c r="AY514" s="271"/>
    </row>
    <row r="515" spans="1:51" ht="15.75" customHeight="1" x14ac:dyDescent="0.25">
      <c r="A515" s="271"/>
      <c r="B515" s="534"/>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c r="AL515" s="271"/>
      <c r="AM515" s="271"/>
      <c r="AN515" s="271"/>
      <c r="AO515" s="271"/>
      <c r="AP515" s="271"/>
      <c r="AQ515" s="271"/>
      <c r="AR515" s="271"/>
      <c r="AS515" s="271"/>
      <c r="AT515" s="271"/>
      <c r="AU515" s="271"/>
      <c r="AV515" s="271"/>
      <c r="AW515" s="271"/>
      <c r="AX515" s="271"/>
      <c r="AY515" s="271"/>
    </row>
    <row r="516" spans="1:51" ht="15.75" customHeight="1" x14ac:dyDescent="0.25">
      <c r="A516" s="271"/>
      <c r="B516" s="534"/>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c r="AL516" s="271"/>
      <c r="AM516" s="271"/>
      <c r="AN516" s="271"/>
      <c r="AO516" s="271"/>
      <c r="AP516" s="271"/>
      <c r="AQ516" s="271"/>
      <c r="AR516" s="271"/>
      <c r="AS516" s="271"/>
      <c r="AT516" s="271"/>
      <c r="AU516" s="271"/>
      <c r="AV516" s="271"/>
      <c r="AW516" s="271"/>
      <c r="AX516" s="271"/>
      <c r="AY516" s="271"/>
    </row>
    <row r="517" spans="1:51" ht="15.75" customHeight="1" x14ac:dyDescent="0.25">
      <c r="A517" s="271"/>
      <c r="B517" s="534"/>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c r="AL517" s="271"/>
      <c r="AM517" s="271"/>
      <c r="AN517" s="271"/>
      <c r="AO517" s="271"/>
      <c r="AP517" s="271"/>
      <c r="AQ517" s="271"/>
      <c r="AR517" s="271"/>
      <c r="AS517" s="271"/>
      <c r="AT517" s="271"/>
      <c r="AU517" s="271"/>
      <c r="AV517" s="271"/>
      <c r="AW517" s="271"/>
      <c r="AX517" s="271"/>
      <c r="AY517" s="271"/>
    </row>
    <row r="518" spans="1:51" ht="15.75" customHeight="1" x14ac:dyDescent="0.25">
      <c r="A518" s="271"/>
      <c r="B518" s="534"/>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c r="AL518" s="271"/>
      <c r="AM518" s="271"/>
      <c r="AN518" s="271"/>
      <c r="AO518" s="271"/>
      <c r="AP518" s="271"/>
      <c r="AQ518" s="271"/>
      <c r="AR518" s="271"/>
      <c r="AS518" s="271"/>
      <c r="AT518" s="271"/>
      <c r="AU518" s="271"/>
      <c r="AV518" s="271"/>
      <c r="AW518" s="271"/>
      <c r="AX518" s="271"/>
      <c r="AY518" s="271"/>
    </row>
    <row r="519" spans="1:51" ht="15.75" customHeight="1" x14ac:dyDescent="0.25">
      <c r="A519" s="271"/>
      <c r="B519" s="534"/>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c r="AL519" s="271"/>
      <c r="AM519" s="271"/>
      <c r="AN519" s="271"/>
      <c r="AO519" s="271"/>
      <c r="AP519" s="271"/>
      <c r="AQ519" s="271"/>
      <c r="AR519" s="271"/>
      <c r="AS519" s="271"/>
      <c r="AT519" s="271"/>
      <c r="AU519" s="271"/>
      <c r="AV519" s="271"/>
      <c r="AW519" s="271"/>
      <c r="AX519" s="271"/>
      <c r="AY519" s="271"/>
    </row>
    <row r="520" spans="1:51" ht="15.75" customHeight="1" x14ac:dyDescent="0.25">
      <c r="A520" s="271"/>
      <c r="B520" s="534"/>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c r="AL520" s="271"/>
      <c r="AM520" s="271"/>
      <c r="AN520" s="271"/>
      <c r="AO520" s="271"/>
      <c r="AP520" s="271"/>
      <c r="AQ520" s="271"/>
      <c r="AR520" s="271"/>
      <c r="AS520" s="271"/>
      <c r="AT520" s="271"/>
      <c r="AU520" s="271"/>
      <c r="AV520" s="271"/>
      <c r="AW520" s="271"/>
      <c r="AX520" s="271"/>
      <c r="AY520" s="271"/>
    </row>
    <row r="521" spans="1:51" ht="15.75" customHeight="1" x14ac:dyDescent="0.25">
      <c r="A521" s="271"/>
      <c r="B521" s="534"/>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c r="AL521" s="271"/>
      <c r="AM521" s="271"/>
      <c r="AN521" s="271"/>
      <c r="AO521" s="271"/>
      <c r="AP521" s="271"/>
      <c r="AQ521" s="271"/>
      <c r="AR521" s="271"/>
      <c r="AS521" s="271"/>
      <c r="AT521" s="271"/>
      <c r="AU521" s="271"/>
      <c r="AV521" s="271"/>
      <c r="AW521" s="271"/>
      <c r="AX521" s="271"/>
      <c r="AY521" s="271"/>
    </row>
    <row r="522" spans="1:51" ht="15.75" customHeight="1" x14ac:dyDescent="0.25">
      <c r="A522" s="271"/>
      <c r="B522" s="534"/>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c r="AL522" s="271"/>
      <c r="AM522" s="271"/>
      <c r="AN522" s="271"/>
      <c r="AO522" s="271"/>
      <c r="AP522" s="271"/>
      <c r="AQ522" s="271"/>
      <c r="AR522" s="271"/>
      <c r="AS522" s="271"/>
      <c r="AT522" s="271"/>
      <c r="AU522" s="271"/>
      <c r="AV522" s="271"/>
      <c r="AW522" s="271"/>
      <c r="AX522" s="271"/>
      <c r="AY522" s="271"/>
    </row>
    <row r="523" spans="1:51" ht="15.75" customHeight="1" x14ac:dyDescent="0.25">
      <c r="A523" s="271"/>
      <c r="B523" s="534"/>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c r="AL523" s="271"/>
      <c r="AM523" s="271"/>
      <c r="AN523" s="271"/>
      <c r="AO523" s="271"/>
      <c r="AP523" s="271"/>
      <c r="AQ523" s="271"/>
      <c r="AR523" s="271"/>
      <c r="AS523" s="271"/>
      <c r="AT523" s="271"/>
      <c r="AU523" s="271"/>
      <c r="AV523" s="271"/>
      <c r="AW523" s="271"/>
      <c r="AX523" s="271"/>
      <c r="AY523" s="271"/>
    </row>
    <row r="524" spans="1:51" ht="15.75" customHeight="1" x14ac:dyDescent="0.25">
      <c r="A524" s="271"/>
      <c r="B524" s="534"/>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c r="AL524" s="271"/>
      <c r="AM524" s="271"/>
      <c r="AN524" s="271"/>
      <c r="AO524" s="271"/>
      <c r="AP524" s="271"/>
      <c r="AQ524" s="271"/>
      <c r="AR524" s="271"/>
      <c r="AS524" s="271"/>
      <c r="AT524" s="271"/>
      <c r="AU524" s="271"/>
      <c r="AV524" s="271"/>
      <c r="AW524" s="271"/>
      <c r="AX524" s="271"/>
      <c r="AY524" s="271"/>
    </row>
    <row r="525" spans="1:51" ht="15.75" customHeight="1" x14ac:dyDescent="0.25">
      <c r="A525" s="271"/>
      <c r="B525" s="534"/>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c r="AL525" s="271"/>
      <c r="AM525" s="271"/>
      <c r="AN525" s="271"/>
      <c r="AO525" s="271"/>
      <c r="AP525" s="271"/>
      <c r="AQ525" s="271"/>
      <c r="AR525" s="271"/>
      <c r="AS525" s="271"/>
      <c r="AT525" s="271"/>
      <c r="AU525" s="271"/>
      <c r="AV525" s="271"/>
      <c r="AW525" s="271"/>
      <c r="AX525" s="271"/>
      <c r="AY525" s="271"/>
    </row>
    <row r="526" spans="1:51" ht="15.75" customHeight="1" x14ac:dyDescent="0.25">
      <c r="A526" s="271"/>
      <c r="B526" s="534"/>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c r="AL526" s="271"/>
      <c r="AM526" s="271"/>
      <c r="AN526" s="271"/>
      <c r="AO526" s="271"/>
      <c r="AP526" s="271"/>
      <c r="AQ526" s="271"/>
      <c r="AR526" s="271"/>
      <c r="AS526" s="271"/>
      <c r="AT526" s="271"/>
      <c r="AU526" s="271"/>
      <c r="AV526" s="271"/>
      <c r="AW526" s="271"/>
      <c r="AX526" s="271"/>
      <c r="AY526" s="271"/>
    </row>
    <row r="527" spans="1:51" ht="15.75" customHeight="1" x14ac:dyDescent="0.25">
      <c r="A527" s="271"/>
      <c r="B527" s="534"/>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c r="AL527" s="271"/>
      <c r="AM527" s="271"/>
      <c r="AN527" s="271"/>
      <c r="AO527" s="271"/>
      <c r="AP527" s="271"/>
      <c r="AQ527" s="271"/>
      <c r="AR527" s="271"/>
      <c r="AS527" s="271"/>
      <c r="AT527" s="271"/>
      <c r="AU527" s="271"/>
      <c r="AV527" s="271"/>
      <c r="AW527" s="271"/>
      <c r="AX527" s="271"/>
      <c r="AY527" s="271"/>
    </row>
    <row r="528" spans="1:51" ht="15.75" customHeight="1" x14ac:dyDescent="0.25">
      <c r="A528" s="271"/>
      <c r="B528" s="534"/>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c r="AL528" s="271"/>
      <c r="AM528" s="271"/>
      <c r="AN528" s="271"/>
      <c r="AO528" s="271"/>
      <c r="AP528" s="271"/>
      <c r="AQ528" s="271"/>
      <c r="AR528" s="271"/>
      <c r="AS528" s="271"/>
      <c r="AT528" s="271"/>
      <c r="AU528" s="271"/>
      <c r="AV528" s="271"/>
      <c r="AW528" s="271"/>
      <c r="AX528" s="271"/>
      <c r="AY528" s="271"/>
    </row>
    <row r="529" spans="1:51" ht="15.75" customHeight="1" x14ac:dyDescent="0.25">
      <c r="A529" s="271"/>
      <c r="B529" s="534"/>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c r="AL529" s="271"/>
      <c r="AM529" s="271"/>
      <c r="AN529" s="271"/>
      <c r="AO529" s="271"/>
      <c r="AP529" s="271"/>
      <c r="AQ529" s="271"/>
      <c r="AR529" s="271"/>
      <c r="AS529" s="271"/>
      <c r="AT529" s="271"/>
      <c r="AU529" s="271"/>
      <c r="AV529" s="271"/>
      <c r="AW529" s="271"/>
      <c r="AX529" s="271"/>
      <c r="AY529" s="271"/>
    </row>
    <row r="530" spans="1:51" ht="15.75" customHeight="1" x14ac:dyDescent="0.25">
      <c r="A530" s="271"/>
      <c r="B530" s="534"/>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c r="AL530" s="271"/>
      <c r="AM530" s="271"/>
      <c r="AN530" s="271"/>
      <c r="AO530" s="271"/>
      <c r="AP530" s="271"/>
      <c r="AQ530" s="271"/>
      <c r="AR530" s="271"/>
      <c r="AS530" s="271"/>
      <c r="AT530" s="271"/>
      <c r="AU530" s="271"/>
      <c r="AV530" s="271"/>
      <c r="AW530" s="271"/>
      <c r="AX530" s="271"/>
      <c r="AY530" s="271"/>
    </row>
    <row r="531" spans="1:51" ht="15.75" customHeight="1" x14ac:dyDescent="0.25">
      <c r="A531" s="271"/>
      <c r="B531" s="534"/>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c r="AL531" s="271"/>
      <c r="AM531" s="271"/>
      <c r="AN531" s="271"/>
      <c r="AO531" s="271"/>
      <c r="AP531" s="271"/>
      <c r="AQ531" s="271"/>
      <c r="AR531" s="271"/>
      <c r="AS531" s="271"/>
      <c r="AT531" s="271"/>
      <c r="AU531" s="271"/>
      <c r="AV531" s="271"/>
      <c r="AW531" s="271"/>
      <c r="AX531" s="271"/>
      <c r="AY531" s="271"/>
    </row>
    <row r="532" spans="1:51" ht="15.75" customHeight="1" x14ac:dyDescent="0.25">
      <c r="A532" s="271"/>
      <c r="B532" s="534"/>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c r="AL532" s="271"/>
      <c r="AM532" s="271"/>
      <c r="AN532" s="271"/>
      <c r="AO532" s="271"/>
      <c r="AP532" s="271"/>
      <c r="AQ532" s="271"/>
      <c r="AR532" s="271"/>
      <c r="AS532" s="271"/>
      <c r="AT532" s="271"/>
      <c r="AU532" s="271"/>
      <c r="AV532" s="271"/>
      <c r="AW532" s="271"/>
      <c r="AX532" s="271"/>
      <c r="AY532" s="271"/>
    </row>
    <row r="533" spans="1:51" ht="15.75" customHeight="1" x14ac:dyDescent="0.25">
      <c r="A533" s="271"/>
      <c r="B533" s="534"/>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c r="AL533" s="271"/>
      <c r="AM533" s="271"/>
      <c r="AN533" s="271"/>
      <c r="AO533" s="271"/>
      <c r="AP533" s="271"/>
      <c r="AQ533" s="271"/>
      <c r="AR533" s="271"/>
      <c r="AS533" s="271"/>
      <c r="AT533" s="271"/>
      <c r="AU533" s="271"/>
      <c r="AV533" s="271"/>
      <c r="AW533" s="271"/>
      <c r="AX533" s="271"/>
      <c r="AY533" s="271"/>
    </row>
    <row r="534" spans="1:51" ht="15.75" customHeight="1" x14ac:dyDescent="0.25">
      <c r="A534" s="271"/>
      <c r="B534" s="534"/>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c r="AL534" s="271"/>
      <c r="AM534" s="271"/>
      <c r="AN534" s="271"/>
      <c r="AO534" s="271"/>
      <c r="AP534" s="271"/>
      <c r="AQ534" s="271"/>
      <c r="AR534" s="271"/>
      <c r="AS534" s="271"/>
      <c r="AT534" s="271"/>
      <c r="AU534" s="271"/>
      <c r="AV534" s="271"/>
      <c r="AW534" s="271"/>
      <c r="AX534" s="271"/>
      <c r="AY534" s="271"/>
    </row>
    <row r="535" spans="1:51" ht="15.75" customHeight="1" x14ac:dyDescent="0.25">
      <c r="A535" s="271"/>
      <c r="B535" s="534"/>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c r="AL535" s="271"/>
      <c r="AM535" s="271"/>
      <c r="AN535" s="271"/>
      <c r="AO535" s="271"/>
      <c r="AP535" s="271"/>
      <c r="AQ535" s="271"/>
      <c r="AR535" s="271"/>
      <c r="AS535" s="271"/>
      <c r="AT535" s="271"/>
      <c r="AU535" s="271"/>
      <c r="AV535" s="271"/>
      <c r="AW535" s="271"/>
      <c r="AX535" s="271"/>
      <c r="AY535" s="271"/>
    </row>
    <row r="536" spans="1:51" ht="15.75" customHeight="1" x14ac:dyDescent="0.25">
      <c r="A536" s="271"/>
      <c r="B536" s="534"/>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c r="AL536" s="271"/>
      <c r="AM536" s="271"/>
      <c r="AN536" s="271"/>
      <c r="AO536" s="271"/>
      <c r="AP536" s="271"/>
      <c r="AQ536" s="271"/>
      <c r="AR536" s="271"/>
      <c r="AS536" s="271"/>
      <c r="AT536" s="271"/>
      <c r="AU536" s="271"/>
      <c r="AV536" s="271"/>
      <c r="AW536" s="271"/>
      <c r="AX536" s="271"/>
      <c r="AY536" s="271"/>
    </row>
    <row r="537" spans="1:51" ht="15.75" customHeight="1" x14ac:dyDescent="0.25">
      <c r="A537" s="271"/>
      <c r="B537" s="534"/>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c r="AL537" s="271"/>
      <c r="AM537" s="271"/>
      <c r="AN537" s="271"/>
      <c r="AO537" s="271"/>
      <c r="AP537" s="271"/>
      <c r="AQ537" s="271"/>
      <c r="AR537" s="271"/>
      <c r="AS537" s="271"/>
      <c r="AT537" s="271"/>
      <c r="AU537" s="271"/>
      <c r="AV537" s="271"/>
      <c r="AW537" s="271"/>
      <c r="AX537" s="271"/>
      <c r="AY537" s="271"/>
    </row>
    <row r="538" spans="1:51" ht="15.75" customHeight="1" x14ac:dyDescent="0.25">
      <c r="A538" s="271"/>
      <c r="B538" s="534"/>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c r="AL538" s="271"/>
      <c r="AM538" s="271"/>
      <c r="AN538" s="271"/>
      <c r="AO538" s="271"/>
      <c r="AP538" s="271"/>
      <c r="AQ538" s="271"/>
      <c r="AR538" s="271"/>
      <c r="AS538" s="271"/>
      <c r="AT538" s="271"/>
      <c r="AU538" s="271"/>
      <c r="AV538" s="271"/>
      <c r="AW538" s="271"/>
      <c r="AX538" s="271"/>
      <c r="AY538" s="271"/>
    </row>
    <row r="539" spans="1:51" ht="15.75" customHeight="1" x14ac:dyDescent="0.25">
      <c r="A539" s="271"/>
      <c r="B539" s="534"/>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c r="AL539" s="271"/>
      <c r="AM539" s="271"/>
      <c r="AN539" s="271"/>
      <c r="AO539" s="271"/>
      <c r="AP539" s="271"/>
      <c r="AQ539" s="271"/>
      <c r="AR539" s="271"/>
      <c r="AS539" s="271"/>
      <c r="AT539" s="271"/>
      <c r="AU539" s="271"/>
      <c r="AV539" s="271"/>
      <c r="AW539" s="271"/>
      <c r="AX539" s="271"/>
      <c r="AY539" s="271"/>
    </row>
    <row r="540" spans="1:51" ht="15.75" customHeight="1" x14ac:dyDescent="0.25">
      <c r="A540" s="271"/>
      <c r="B540" s="534"/>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c r="AL540" s="271"/>
      <c r="AM540" s="271"/>
      <c r="AN540" s="271"/>
      <c r="AO540" s="271"/>
      <c r="AP540" s="271"/>
      <c r="AQ540" s="271"/>
      <c r="AR540" s="271"/>
      <c r="AS540" s="271"/>
      <c r="AT540" s="271"/>
      <c r="AU540" s="271"/>
      <c r="AV540" s="271"/>
      <c r="AW540" s="271"/>
      <c r="AX540" s="271"/>
      <c r="AY540" s="271"/>
    </row>
    <row r="541" spans="1:51" ht="15.75" customHeight="1" x14ac:dyDescent="0.25">
      <c r="A541" s="271"/>
      <c r="B541" s="534"/>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c r="AL541" s="271"/>
      <c r="AM541" s="271"/>
      <c r="AN541" s="271"/>
      <c r="AO541" s="271"/>
      <c r="AP541" s="271"/>
      <c r="AQ541" s="271"/>
      <c r="AR541" s="271"/>
      <c r="AS541" s="271"/>
      <c r="AT541" s="271"/>
      <c r="AU541" s="271"/>
      <c r="AV541" s="271"/>
      <c r="AW541" s="271"/>
      <c r="AX541" s="271"/>
      <c r="AY541" s="271"/>
    </row>
    <row r="542" spans="1:51" ht="15.75" customHeight="1" x14ac:dyDescent="0.25">
      <c r="A542" s="271"/>
      <c r="B542" s="534"/>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c r="AL542" s="271"/>
      <c r="AM542" s="271"/>
      <c r="AN542" s="271"/>
      <c r="AO542" s="271"/>
      <c r="AP542" s="271"/>
      <c r="AQ542" s="271"/>
      <c r="AR542" s="271"/>
      <c r="AS542" s="271"/>
      <c r="AT542" s="271"/>
      <c r="AU542" s="271"/>
      <c r="AV542" s="271"/>
      <c r="AW542" s="271"/>
      <c r="AX542" s="271"/>
      <c r="AY542" s="271"/>
    </row>
    <row r="543" spans="1:51" ht="15.75" customHeight="1" x14ac:dyDescent="0.25">
      <c r="A543" s="271"/>
      <c r="B543" s="534"/>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c r="AL543" s="271"/>
      <c r="AM543" s="271"/>
      <c r="AN543" s="271"/>
      <c r="AO543" s="271"/>
      <c r="AP543" s="271"/>
      <c r="AQ543" s="271"/>
      <c r="AR543" s="271"/>
      <c r="AS543" s="271"/>
      <c r="AT543" s="271"/>
      <c r="AU543" s="271"/>
      <c r="AV543" s="271"/>
      <c r="AW543" s="271"/>
      <c r="AX543" s="271"/>
      <c r="AY543" s="271"/>
    </row>
    <row r="544" spans="1:51" ht="15.75" customHeight="1" x14ac:dyDescent="0.25">
      <c r="A544" s="271"/>
      <c r="B544" s="534"/>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c r="AL544" s="271"/>
      <c r="AM544" s="271"/>
      <c r="AN544" s="271"/>
      <c r="AO544" s="271"/>
      <c r="AP544" s="271"/>
      <c r="AQ544" s="271"/>
      <c r="AR544" s="271"/>
      <c r="AS544" s="271"/>
      <c r="AT544" s="271"/>
      <c r="AU544" s="271"/>
      <c r="AV544" s="271"/>
      <c r="AW544" s="271"/>
      <c r="AX544" s="271"/>
      <c r="AY544" s="271"/>
    </row>
    <row r="545" spans="1:51" ht="15.75" customHeight="1" x14ac:dyDescent="0.25">
      <c r="A545" s="271"/>
      <c r="B545" s="534"/>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c r="AL545" s="271"/>
      <c r="AM545" s="271"/>
      <c r="AN545" s="271"/>
      <c r="AO545" s="271"/>
      <c r="AP545" s="271"/>
      <c r="AQ545" s="271"/>
      <c r="AR545" s="271"/>
      <c r="AS545" s="271"/>
      <c r="AT545" s="271"/>
      <c r="AU545" s="271"/>
      <c r="AV545" s="271"/>
      <c r="AW545" s="271"/>
      <c r="AX545" s="271"/>
      <c r="AY545" s="271"/>
    </row>
    <row r="546" spans="1:51" ht="15.75" customHeight="1" x14ac:dyDescent="0.25">
      <c r="A546" s="271"/>
      <c r="B546" s="534"/>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c r="AL546" s="271"/>
      <c r="AM546" s="271"/>
      <c r="AN546" s="271"/>
      <c r="AO546" s="271"/>
      <c r="AP546" s="271"/>
      <c r="AQ546" s="271"/>
      <c r="AR546" s="271"/>
      <c r="AS546" s="271"/>
      <c r="AT546" s="271"/>
      <c r="AU546" s="271"/>
      <c r="AV546" s="271"/>
      <c r="AW546" s="271"/>
      <c r="AX546" s="271"/>
      <c r="AY546" s="271"/>
    </row>
    <row r="547" spans="1:51" ht="15.75" customHeight="1" x14ac:dyDescent="0.25">
      <c r="A547" s="271"/>
      <c r="B547" s="534"/>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c r="AL547" s="271"/>
      <c r="AM547" s="271"/>
      <c r="AN547" s="271"/>
      <c r="AO547" s="271"/>
      <c r="AP547" s="271"/>
      <c r="AQ547" s="271"/>
      <c r="AR547" s="271"/>
      <c r="AS547" s="271"/>
      <c r="AT547" s="271"/>
      <c r="AU547" s="271"/>
      <c r="AV547" s="271"/>
      <c r="AW547" s="271"/>
      <c r="AX547" s="271"/>
      <c r="AY547" s="271"/>
    </row>
    <row r="548" spans="1:51" ht="15.75" customHeight="1" x14ac:dyDescent="0.25">
      <c r="A548" s="271"/>
      <c r="B548" s="534"/>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c r="AL548" s="271"/>
      <c r="AM548" s="271"/>
      <c r="AN548" s="271"/>
      <c r="AO548" s="271"/>
      <c r="AP548" s="271"/>
      <c r="AQ548" s="271"/>
      <c r="AR548" s="271"/>
      <c r="AS548" s="271"/>
      <c r="AT548" s="271"/>
      <c r="AU548" s="271"/>
      <c r="AV548" s="271"/>
      <c r="AW548" s="271"/>
      <c r="AX548" s="271"/>
      <c r="AY548" s="271"/>
    </row>
    <row r="549" spans="1:51" ht="15.75" customHeight="1" x14ac:dyDescent="0.25">
      <c r="A549" s="271"/>
      <c r="B549" s="534"/>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c r="AL549" s="271"/>
      <c r="AM549" s="271"/>
      <c r="AN549" s="271"/>
      <c r="AO549" s="271"/>
      <c r="AP549" s="271"/>
      <c r="AQ549" s="271"/>
      <c r="AR549" s="271"/>
      <c r="AS549" s="271"/>
      <c r="AT549" s="271"/>
      <c r="AU549" s="271"/>
      <c r="AV549" s="271"/>
      <c r="AW549" s="271"/>
      <c r="AX549" s="271"/>
      <c r="AY549" s="271"/>
    </row>
    <row r="550" spans="1:51" ht="15.75" customHeight="1" x14ac:dyDescent="0.25">
      <c r="A550" s="271"/>
      <c r="B550" s="534"/>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c r="AL550" s="271"/>
      <c r="AM550" s="271"/>
      <c r="AN550" s="271"/>
      <c r="AO550" s="271"/>
      <c r="AP550" s="271"/>
      <c r="AQ550" s="271"/>
      <c r="AR550" s="271"/>
      <c r="AS550" s="271"/>
      <c r="AT550" s="271"/>
      <c r="AU550" s="271"/>
      <c r="AV550" s="271"/>
      <c r="AW550" s="271"/>
      <c r="AX550" s="271"/>
      <c r="AY550" s="271"/>
    </row>
    <row r="551" spans="1:51" ht="15.75" customHeight="1" x14ac:dyDescent="0.25">
      <c r="A551" s="271"/>
      <c r="B551" s="534"/>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c r="AL551" s="271"/>
      <c r="AM551" s="271"/>
      <c r="AN551" s="271"/>
      <c r="AO551" s="271"/>
      <c r="AP551" s="271"/>
      <c r="AQ551" s="271"/>
      <c r="AR551" s="271"/>
      <c r="AS551" s="271"/>
      <c r="AT551" s="271"/>
      <c r="AU551" s="271"/>
      <c r="AV551" s="271"/>
      <c r="AW551" s="271"/>
      <c r="AX551" s="271"/>
      <c r="AY551" s="271"/>
    </row>
    <row r="552" spans="1:51" ht="15.75" customHeight="1" x14ac:dyDescent="0.25">
      <c r="A552" s="271"/>
      <c r="B552" s="534"/>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c r="AL552" s="271"/>
      <c r="AM552" s="271"/>
      <c r="AN552" s="271"/>
      <c r="AO552" s="271"/>
      <c r="AP552" s="271"/>
      <c r="AQ552" s="271"/>
      <c r="AR552" s="271"/>
      <c r="AS552" s="271"/>
      <c r="AT552" s="271"/>
      <c r="AU552" s="271"/>
      <c r="AV552" s="271"/>
      <c r="AW552" s="271"/>
      <c r="AX552" s="271"/>
      <c r="AY552" s="271"/>
    </row>
    <row r="553" spans="1:51" ht="15.75" customHeight="1" x14ac:dyDescent="0.25">
      <c r="A553" s="271"/>
      <c r="B553" s="534"/>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c r="AL553" s="271"/>
      <c r="AM553" s="271"/>
      <c r="AN553" s="271"/>
      <c r="AO553" s="271"/>
      <c r="AP553" s="271"/>
      <c r="AQ553" s="271"/>
      <c r="AR553" s="271"/>
      <c r="AS553" s="271"/>
      <c r="AT553" s="271"/>
      <c r="AU553" s="271"/>
      <c r="AV553" s="271"/>
      <c r="AW553" s="271"/>
      <c r="AX553" s="271"/>
      <c r="AY553" s="271"/>
    </row>
    <row r="554" spans="1:51" ht="15.75" customHeight="1" x14ac:dyDescent="0.25">
      <c r="A554" s="271"/>
      <c r="B554" s="534"/>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c r="AL554" s="271"/>
      <c r="AM554" s="271"/>
      <c r="AN554" s="271"/>
      <c r="AO554" s="271"/>
      <c r="AP554" s="271"/>
      <c r="AQ554" s="271"/>
      <c r="AR554" s="271"/>
      <c r="AS554" s="271"/>
      <c r="AT554" s="271"/>
      <c r="AU554" s="271"/>
      <c r="AV554" s="271"/>
      <c r="AW554" s="271"/>
      <c r="AX554" s="271"/>
      <c r="AY554" s="271"/>
    </row>
    <row r="555" spans="1:51" ht="15.75" customHeight="1" x14ac:dyDescent="0.25">
      <c r="A555" s="271"/>
      <c r="B555" s="534"/>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c r="AL555" s="271"/>
      <c r="AM555" s="271"/>
      <c r="AN555" s="271"/>
      <c r="AO555" s="271"/>
      <c r="AP555" s="271"/>
      <c r="AQ555" s="271"/>
      <c r="AR555" s="271"/>
      <c r="AS555" s="271"/>
      <c r="AT555" s="271"/>
      <c r="AU555" s="271"/>
      <c r="AV555" s="271"/>
      <c r="AW555" s="271"/>
      <c r="AX555" s="271"/>
      <c r="AY555" s="271"/>
    </row>
    <row r="556" spans="1:51" ht="15.75" customHeight="1" x14ac:dyDescent="0.25">
      <c r="A556" s="271"/>
      <c r="B556" s="534"/>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c r="AL556" s="271"/>
      <c r="AM556" s="271"/>
      <c r="AN556" s="271"/>
      <c r="AO556" s="271"/>
      <c r="AP556" s="271"/>
      <c r="AQ556" s="271"/>
      <c r="AR556" s="271"/>
      <c r="AS556" s="271"/>
      <c r="AT556" s="271"/>
      <c r="AU556" s="271"/>
      <c r="AV556" s="271"/>
      <c r="AW556" s="271"/>
      <c r="AX556" s="271"/>
      <c r="AY556" s="271"/>
    </row>
    <row r="557" spans="1:51" ht="15.75" customHeight="1" x14ac:dyDescent="0.25">
      <c r="A557" s="271"/>
      <c r="B557" s="534"/>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c r="AL557" s="271"/>
      <c r="AM557" s="271"/>
      <c r="AN557" s="271"/>
      <c r="AO557" s="271"/>
      <c r="AP557" s="271"/>
      <c r="AQ557" s="271"/>
      <c r="AR557" s="271"/>
      <c r="AS557" s="271"/>
      <c r="AT557" s="271"/>
      <c r="AU557" s="271"/>
      <c r="AV557" s="271"/>
      <c r="AW557" s="271"/>
      <c r="AX557" s="271"/>
      <c r="AY557" s="271"/>
    </row>
    <row r="558" spans="1:51" ht="15.75" customHeight="1" x14ac:dyDescent="0.25">
      <c r="A558" s="271"/>
      <c r="B558" s="534"/>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c r="AL558" s="271"/>
      <c r="AM558" s="271"/>
      <c r="AN558" s="271"/>
      <c r="AO558" s="271"/>
      <c r="AP558" s="271"/>
      <c r="AQ558" s="271"/>
      <c r="AR558" s="271"/>
      <c r="AS558" s="271"/>
      <c r="AT558" s="271"/>
      <c r="AU558" s="271"/>
      <c r="AV558" s="271"/>
      <c r="AW558" s="271"/>
      <c r="AX558" s="271"/>
      <c r="AY558" s="271"/>
    </row>
    <row r="559" spans="1:51" ht="15.75" customHeight="1" x14ac:dyDescent="0.25">
      <c r="A559" s="271"/>
      <c r="B559" s="534"/>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c r="AL559" s="271"/>
      <c r="AM559" s="271"/>
      <c r="AN559" s="271"/>
      <c r="AO559" s="271"/>
      <c r="AP559" s="271"/>
      <c r="AQ559" s="271"/>
      <c r="AR559" s="271"/>
      <c r="AS559" s="271"/>
      <c r="AT559" s="271"/>
      <c r="AU559" s="271"/>
      <c r="AV559" s="271"/>
      <c r="AW559" s="271"/>
      <c r="AX559" s="271"/>
      <c r="AY559" s="271"/>
    </row>
    <row r="560" spans="1:51" ht="15.75" customHeight="1" x14ac:dyDescent="0.25">
      <c r="A560" s="271"/>
      <c r="B560" s="534"/>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c r="AL560" s="271"/>
      <c r="AM560" s="271"/>
      <c r="AN560" s="271"/>
      <c r="AO560" s="271"/>
      <c r="AP560" s="271"/>
      <c r="AQ560" s="271"/>
      <c r="AR560" s="271"/>
      <c r="AS560" s="271"/>
      <c r="AT560" s="271"/>
      <c r="AU560" s="271"/>
      <c r="AV560" s="271"/>
      <c r="AW560" s="271"/>
      <c r="AX560" s="271"/>
      <c r="AY560" s="271"/>
    </row>
    <row r="561" spans="1:51" ht="15.75" customHeight="1" x14ac:dyDescent="0.25">
      <c r="A561" s="271"/>
      <c r="B561" s="534"/>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c r="AL561" s="271"/>
      <c r="AM561" s="271"/>
      <c r="AN561" s="271"/>
      <c r="AO561" s="271"/>
      <c r="AP561" s="271"/>
      <c r="AQ561" s="271"/>
      <c r="AR561" s="271"/>
      <c r="AS561" s="271"/>
      <c r="AT561" s="271"/>
      <c r="AU561" s="271"/>
      <c r="AV561" s="271"/>
      <c r="AW561" s="271"/>
      <c r="AX561" s="271"/>
      <c r="AY561" s="271"/>
    </row>
    <row r="562" spans="1:51" ht="15.75" customHeight="1" x14ac:dyDescent="0.25">
      <c r="A562" s="271"/>
      <c r="B562" s="534"/>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c r="AL562" s="271"/>
      <c r="AM562" s="271"/>
      <c r="AN562" s="271"/>
      <c r="AO562" s="271"/>
      <c r="AP562" s="271"/>
      <c r="AQ562" s="271"/>
      <c r="AR562" s="271"/>
      <c r="AS562" s="271"/>
      <c r="AT562" s="271"/>
      <c r="AU562" s="271"/>
      <c r="AV562" s="271"/>
      <c r="AW562" s="271"/>
      <c r="AX562" s="271"/>
      <c r="AY562" s="271"/>
    </row>
    <row r="563" spans="1:51" ht="15.75" customHeight="1" x14ac:dyDescent="0.25">
      <c r="A563" s="271"/>
      <c r="B563" s="534"/>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c r="AL563" s="271"/>
      <c r="AM563" s="271"/>
      <c r="AN563" s="271"/>
      <c r="AO563" s="271"/>
      <c r="AP563" s="271"/>
      <c r="AQ563" s="271"/>
      <c r="AR563" s="271"/>
      <c r="AS563" s="271"/>
      <c r="AT563" s="271"/>
      <c r="AU563" s="271"/>
      <c r="AV563" s="271"/>
      <c r="AW563" s="271"/>
      <c r="AX563" s="271"/>
      <c r="AY563" s="271"/>
    </row>
    <row r="564" spans="1:51" ht="15.75" customHeight="1" x14ac:dyDescent="0.25">
      <c r="A564" s="271"/>
      <c r="B564" s="534"/>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c r="AL564" s="271"/>
      <c r="AM564" s="271"/>
      <c r="AN564" s="271"/>
      <c r="AO564" s="271"/>
      <c r="AP564" s="271"/>
      <c r="AQ564" s="271"/>
      <c r="AR564" s="271"/>
      <c r="AS564" s="271"/>
      <c r="AT564" s="271"/>
      <c r="AU564" s="271"/>
      <c r="AV564" s="271"/>
      <c r="AW564" s="271"/>
      <c r="AX564" s="271"/>
      <c r="AY564" s="271"/>
    </row>
    <row r="565" spans="1:51" ht="15.75" customHeight="1" x14ac:dyDescent="0.25">
      <c r="A565" s="271"/>
      <c r="B565" s="534"/>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c r="AL565" s="271"/>
      <c r="AM565" s="271"/>
      <c r="AN565" s="271"/>
      <c r="AO565" s="271"/>
      <c r="AP565" s="271"/>
      <c r="AQ565" s="271"/>
      <c r="AR565" s="271"/>
      <c r="AS565" s="271"/>
      <c r="AT565" s="271"/>
      <c r="AU565" s="271"/>
      <c r="AV565" s="271"/>
      <c r="AW565" s="271"/>
      <c r="AX565" s="271"/>
      <c r="AY565" s="271"/>
    </row>
    <row r="566" spans="1:51" ht="15.75" customHeight="1" x14ac:dyDescent="0.25">
      <c r="A566" s="271"/>
      <c r="B566" s="534"/>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c r="AL566" s="271"/>
      <c r="AM566" s="271"/>
      <c r="AN566" s="271"/>
      <c r="AO566" s="271"/>
      <c r="AP566" s="271"/>
      <c r="AQ566" s="271"/>
      <c r="AR566" s="271"/>
      <c r="AS566" s="271"/>
      <c r="AT566" s="271"/>
      <c r="AU566" s="271"/>
      <c r="AV566" s="271"/>
      <c r="AW566" s="271"/>
      <c r="AX566" s="271"/>
      <c r="AY566" s="271"/>
    </row>
    <row r="567" spans="1:51" ht="15.75" customHeight="1" x14ac:dyDescent="0.25">
      <c r="A567" s="271"/>
      <c r="B567" s="534"/>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c r="AL567" s="271"/>
      <c r="AM567" s="271"/>
      <c r="AN567" s="271"/>
      <c r="AO567" s="271"/>
      <c r="AP567" s="271"/>
      <c r="AQ567" s="271"/>
      <c r="AR567" s="271"/>
      <c r="AS567" s="271"/>
      <c r="AT567" s="271"/>
      <c r="AU567" s="271"/>
      <c r="AV567" s="271"/>
      <c r="AW567" s="271"/>
      <c r="AX567" s="271"/>
      <c r="AY567" s="271"/>
    </row>
    <row r="568" spans="1:51" ht="15.75" customHeight="1" x14ac:dyDescent="0.25">
      <c r="A568" s="271"/>
      <c r="B568" s="534"/>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c r="AL568" s="271"/>
      <c r="AM568" s="271"/>
      <c r="AN568" s="271"/>
      <c r="AO568" s="271"/>
      <c r="AP568" s="271"/>
      <c r="AQ568" s="271"/>
      <c r="AR568" s="271"/>
      <c r="AS568" s="271"/>
      <c r="AT568" s="271"/>
      <c r="AU568" s="271"/>
      <c r="AV568" s="271"/>
      <c r="AW568" s="271"/>
      <c r="AX568" s="271"/>
      <c r="AY568" s="271"/>
    </row>
    <row r="569" spans="1:51" ht="15.75" customHeight="1" x14ac:dyDescent="0.25">
      <c r="A569" s="271"/>
      <c r="B569" s="534"/>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c r="AL569" s="271"/>
      <c r="AM569" s="271"/>
      <c r="AN569" s="271"/>
      <c r="AO569" s="271"/>
      <c r="AP569" s="271"/>
      <c r="AQ569" s="271"/>
      <c r="AR569" s="271"/>
      <c r="AS569" s="271"/>
      <c r="AT569" s="271"/>
      <c r="AU569" s="271"/>
      <c r="AV569" s="271"/>
      <c r="AW569" s="271"/>
      <c r="AX569" s="271"/>
      <c r="AY569" s="271"/>
    </row>
    <row r="570" spans="1:51" ht="15.75" customHeight="1" x14ac:dyDescent="0.25">
      <c r="A570" s="271"/>
      <c r="B570" s="534"/>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c r="AL570" s="271"/>
      <c r="AM570" s="271"/>
      <c r="AN570" s="271"/>
      <c r="AO570" s="271"/>
      <c r="AP570" s="271"/>
      <c r="AQ570" s="271"/>
      <c r="AR570" s="271"/>
      <c r="AS570" s="271"/>
      <c r="AT570" s="271"/>
      <c r="AU570" s="271"/>
      <c r="AV570" s="271"/>
      <c r="AW570" s="271"/>
      <c r="AX570" s="271"/>
      <c r="AY570" s="271"/>
    </row>
    <row r="571" spans="1:51" ht="15.75" customHeight="1" x14ac:dyDescent="0.25">
      <c r="A571" s="271"/>
      <c r="B571" s="534"/>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c r="AL571" s="271"/>
      <c r="AM571" s="271"/>
      <c r="AN571" s="271"/>
      <c r="AO571" s="271"/>
      <c r="AP571" s="271"/>
      <c r="AQ571" s="271"/>
      <c r="AR571" s="271"/>
      <c r="AS571" s="271"/>
      <c r="AT571" s="271"/>
      <c r="AU571" s="271"/>
      <c r="AV571" s="271"/>
      <c r="AW571" s="271"/>
      <c r="AX571" s="271"/>
      <c r="AY571" s="271"/>
    </row>
    <row r="572" spans="1:51" ht="15.75" customHeight="1" x14ac:dyDescent="0.25">
      <c r="A572" s="271"/>
      <c r="B572" s="534"/>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c r="AL572" s="271"/>
      <c r="AM572" s="271"/>
      <c r="AN572" s="271"/>
      <c r="AO572" s="271"/>
      <c r="AP572" s="271"/>
      <c r="AQ572" s="271"/>
      <c r="AR572" s="271"/>
      <c r="AS572" s="271"/>
      <c r="AT572" s="271"/>
      <c r="AU572" s="271"/>
      <c r="AV572" s="271"/>
      <c r="AW572" s="271"/>
      <c r="AX572" s="271"/>
      <c r="AY572" s="271"/>
    </row>
    <row r="573" spans="1:51" ht="15.75" customHeight="1" x14ac:dyDescent="0.25">
      <c r="A573" s="271"/>
      <c r="B573" s="534"/>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c r="AL573" s="271"/>
      <c r="AM573" s="271"/>
      <c r="AN573" s="271"/>
      <c r="AO573" s="271"/>
      <c r="AP573" s="271"/>
      <c r="AQ573" s="271"/>
      <c r="AR573" s="271"/>
      <c r="AS573" s="271"/>
      <c r="AT573" s="271"/>
      <c r="AU573" s="271"/>
      <c r="AV573" s="271"/>
      <c r="AW573" s="271"/>
      <c r="AX573" s="271"/>
      <c r="AY573" s="271"/>
    </row>
    <row r="574" spans="1:51" ht="15.75" customHeight="1" x14ac:dyDescent="0.25">
      <c r="A574" s="271"/>
      <c r="B574" s="534"/>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c r="AL574" s="271"/>
      <c r="AM574" s="271"/>
      <c r="AN574" s="271"/>
      <c r="AO574" s="271"/>
      <c r="AP574" s="271"/>
      <c r="AQ574" s="271"/>
      <c r="AR574" s="271"/>
      <c r="AS574" s="271"/>
      <c r="AT574" s="271"/>
      <c r="AU574" s="271"/>
      <c r="AV574" s="271"/>
      <c r="AW574" s="271"/>
      <c r="AX574" s="271"/>
      <c r="AY574" s="271"/>
    </row>
    <row r="575" spans="1:51" ht="15.75" customHeight="1" x14ac:dyDescent="0.25">
      <c r="A575" s="271"/>
      <c r="B575" s="534"/>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c r="AL575" s="271"/>
      <c r="AM575" s="271"/>
      <c r="AN575" s="271"/>
      <c r="AO575" s="271"/>
      <c r="AP575" s="271"/>
      <c r="AQ575" s="271"/>
      <c r="AR575" s="271"/>
      <c r="AS575" s="271"/>
      <c r="AT575" s="271"/>
      <c r="AU575" s="271"/>
      <c r="AV575" s="271"/>
      <c r="AW575" s="271"/>
      <c r="AX575" s="271"/>
      <c r="AY575" s="271"/>
    </row>
    <row r="576" spans="1:51" ht="15.75" customHeight="1" x14ac:dyDescent="0.25">
      <c r="A576" s="271"/>
      <c r="B576" s="534"/>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c r="AL576" s="271"/>
      <c r="AM576" s="271"/>
      <c r="AN576" s="271"/>
      <c r="AO576" s="271"/>
      <c r="AP576" s="271"/>
      <c r="AQ576" s="271"/>
      <c r="AR576" s="271"/>
      <c r="AS576" s="271"/>
      <c r="AT576" s="271"/>
      <c r="AU576" s="271"/>
      <c r="AV576" s="271"/>
      <c r="AW576" s="271"/>
      <c r="AX576" s="271"/>
      <c r="AY576" s="271"/>
    </row>
    <row r="577" spans="1:51" ht="15.75" customHeight="1" x14ac:dyDescent="0.25">
      <c r="A577" s="271"/>
      <c r="B577" s="534"/>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c r="AL577" s="271"/>
      <c r="AM577" s="271"/>
      <c r="AN577" s="271"/>
      <c r="AO577" s="271"/>
      <c r="AP577" s="271"/>
      <c r="AQ577" s="271"/>
      <c r="AR577" s="271"/>
      <c r="AS577" s="271"/>
      <c r="AT577" s="271"/>
      <c r="AU577" s="271"/>
      <c r="AV577" s="271"/>
      <c r="AW577" s="271"/>
      <c r="AX577" s="271"/>
      <c r="AY577" s="271"/>
    </row>
    <row r="578" spans="1:51" ht="15.75" customHeight="1" x14ac:dyDescent="0.25">
      <c r="A578" s="271"/>
      <c r="B578" s="534"/>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c r="AL578" s="271"/>
      <c r="AM578" s="271"/>
      <c r="AN578" s="271"/>
      <c r="AO578" s="271"/>
      <c r="AP578" s="271"/>
      <c r="AQ578" s="271"/>
      <c r="AR578" s="271"/>
      <c r="AS578" s="271"/>
      <c r="AT578" s="271"/>
      <c r="AU578" s="271"/>
      <c r="AV578" s="271"/>
      <c r="AW578" s="271"/>
      <c r="AX578" s="271"/>
      <c r="AY578" s="271"/>
    </row>
    <row r="579" spans="1:51" ht="15.75" customHeight="1" x14ac:dyDescent="0.25">
      <c r="A579" s="271"/>
      <c r="B579" s="534"/>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c r="AL579" s="271"/>
      <c r="AM579" s="271"/>
      <c r="AN579" s="271"/>
      <c r="AO579" s="271"/>
      <c r="AP579" s="271"/>
      <c r="AQ579" s="271"/>
      <c r="AR579" s="271"/>
      <c r="AS579" s="271"/>
      <c r="AT579" s="271"/>
      <c r="AU579" s="271"/>
      <c r="AV579" s="271"/>
      <c r="AW579" s="271"/>
      <c r="AX579" s="271"/>
      <c r="AY579" s="271"/>
    </row>
    <row r="580" spans="1:51" ht="15.75" customHeight="1" x14ac:dyDescent="0.25">
      <c r="A580" s="271"/>
      <c r="B580" s="534"/>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c r="AL580" s="271"/>
      <c r="AM580" s="271"/>
      <c r="AN580" s="271"/>
      <c r="AO580" s="271"/>
      <c r="AP580" s="271"/>
      <c r="AQ580" s="271"/>
      <c r="AR580" s="271"/>
      <c r="AS580" s="271"/>
      <c r="AT580" s="271"/>
      <c r="AU580" s="271"/>
      <c r="AV580" s="271"/>
      <c r="AW580" s="271"/>
      <c r="AX580" s="271"/>
      <c r="AY580" s="271"/>
    </row>
    <row r="581" spans="1:51" ht="15.75" customHeight="1" x14ac:dyDescent="0.25">
      <c r="A581" s="271"/>
      <c r="B581" s="534"/>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c r="AL581" s="271"/>
      <c r="AM581" s="271"/>
      <c r="AN581" s="271"/>
      <c r="AO581" s="271"/>
      <c r="AP581" s="271"/>
      <c r="AQ581" s="271"/>
      <c r="AR581" s="271"/>
      <c r="AS581" s="271"/>
      <c r="AT581" s="271"/>
      <c r="AU581" s="271"/>
      <c r="AV581" s="271"/>
      <c r="AW581" s="271"/>
      <c r="AX581" s="271"/>
      <c r="AY581" s="271"/>
    </row>
    <row r="582" spans="1:51" ht="15.75" customHeight="1" x14ac:dyDescent="0.25">
      <c r="A582" s="271"/>
      <c r="B582" s="534"/>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c r="AL582" s="271"/>
      <c r="AM582" s="271"/>
      <c r="AN582" s="271"/>
      <c r="AO582" s="271"/>
      <c r="AP582" s="271"/>
      <c r="AQ582" s="271"/>
      <c r="AR582" s="271"/>
      <c r="AS582" s="271"/>
      <c r="AT582" s="271"/>
      <c r="AU582" s="271"/>
      <c r="AV582" s="271"/>
      <c r="AW582" s="271"/>
      <c r="AX582" s="271"/>
      <c r="AY582" s="271"/>
    </row>
    <row r="583" spans="1:51" ht="15.75" customHeight="1" x14ac:dyDescent="0.25">
      <c r="A583" s="271"/>
      <c r="B583" s="534"/>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c r="AL583" s="271"/>
      <c r="AM583" s="271"/>
      <c r="AN583" s="271"/>
      <c r="AO583" s="271"/>
      <c r="AP583" s="271"/>
      <c r="AQ583" s="271"/>
      <c r="AR583" s="271"/>
      <c r="AS583" s="271"/>
      <c r="AT583" s="271"/>
      <c r="AU583" s="271"/>
      <c r="AV583" s="271"/>
      <c r="AW583" s="271"/>
      <c r="AX583" s="271"/>
      <c r="AY583" s="271"/>
    </row>
    <row r="584" spans="1:51" ht="15.75" customHeight="1" x14ac:dyDescent="0.25">
      <c r="A584" s="271"/>
      <c r="B584" s="534"/>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c r="AL584" s="271"/>
      <c r="AM584" s="271"/>
      <c r="AN584" s="271"/>
      <c r="AO584" s="271"/>
      <c r="AP584" s="271"/>
      <c r="AQ584" s="271"/>
      <c r="AR584" s="271"/>
      <c r="AS584" s="271"/>
      <c r="AT584" s="271"/>
      <c r="AU584" s="271"/>
      <c r="AV584" s="271"/>
      <c r="AW584" s="271"/>
      <c r="AX584" s="271"/>
      <c r="AY584" s="271"/>
    </row>
    <row r="585" spans="1:51" ht="15.75" customHeight="1" x14ac:dyDescent="0.25">
      <c r="A585" s="271"/>
      <c r="B585" s="534"/>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c r="AL585" s="271"/>
      <c r="AM585" s="271"/>
      <c r="AN585" s="271"/>
      <c r="AO585" s="271"/>
      <c r="AP585" s="271"/>
      <c r="AQ585" s="271"/>
      <c r="AR585" s="271"/>
      <c r="AS585" s="271"/>
      <c r="AT585" s="271"/>
      <c r="AU585" s="271"/>
      <c r="AV585" s="271"/>
      <c r="AW585" s="271"/>
      <c r="AX585" s="271"/>
      <c r="AY585" s="271"/>
    </row>
    <row r="586" spans="1:51" ht="15.75" customHeight="1" x14ac:dyDescent="0.25">
      <c r="A586" s="271"/>
      <c r="B586" s="534"/>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c r="AL586" s="271"/>
      <c r="AM586" s="271"/>
      <c r="AN586" s="271"/>
      <c r="AO586" s="271"/>
      <c r="AP586" s="271"/>
      <c r="AQ586" s="271"/>
      <c r="AR586" s="271"/>
      <c r="AS586" s="271"/>
      <c r="AT586" s="271"/>
      <c r="AU586" s="271"/>
      <c r="AV586" s="271"/>
      <c r="AW586" s="271"/>
      <c r="AX586" s="271"/>
      <c r="AY586" s="271"/>
    </row>
    <row r="587" spans="1:51" ht="15.75" customHeight="1" x14ac:dyDescent="0.25">
      <c r="A587" s="271"/>
      <c r="B587" s="534"/>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c r="AL587" s="271"/>
      <c r="AM587" s="271"/>
      <c r="AN587" s="271"/>
      <c r="AO587" s="271"/>
      <c r="AP587" s="271"/>
      <c r="AQ587" s="271"/>
      <c r="AR587" s="271"/>
      <c r="AS587" s="271"/>
      <c r="AT587" s="271"/>
      <c r="AU587" s="271"/>
      <c r="AV587" s="271"/>
      <c r="AW587" s="271"/>
      <c r="AX587" s="271"/>
      <c r="AY587" s="271"/>
    </row>
    <row r="588" spans="1:51" ht="15.75" customHeight="1" x14ac:dyDescent="0.25">
      <c r="A588" s="271"/>
      <c r="B588" s="534"/>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c r="AL588" s="271"/>
      <c r="AM588" s="271"/>
      <c r="AN588" s="271"/>
      <c r="AO588" s="271"/>
      <c r="AP588" s="271"/>
      <c r="AQ588" s="271"/>
      <c r="AR588" s="271"/>
      <c r="AS588" s="271"/>
      <c r="AT588" s="271"/>
      <c r="AU588" s="271"/>
      <c r="AV588" s="271"/>
      <c r="AW588" s="271"/>
      <c r="AX588" s="271"/>
      <c r="AY588" s="271"/>
    </row>
    <row r="589" spans="1:51" ht="15.75" customHeight="1" x14ac:dyDescent="0.25">
      <c r="A589" s="271"/>
      <c r="B589" s="534"/>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c r="AL589" s="271"/>
      <c r="AM589" s="271"/>
      <c r="AN589" s="271"/>
      <c r="AO589" s="271"/>
      <c r="AP589" s="271"/>
      <c r="AQ589" s="271"/>
      <c r="AR589" s="271"/>
      <c r="AS589" s="271"/>
      <c r="AT589" s="271"/>
      <c r="AU589" s="271"/>
      <c r="AV589" s="271"/>
      <c r="AW589" s="271"/>
      <c r="AX589" s="271"/>
      <c r="AY589" s="271"/>
    </row>
    <row r="590" spans="1:51" ht="15.75" customHeight="1" x14ac:dyDescent="0.25">
      <c r="A590" s="271"/>
      <c r="B590" s="534"/>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c r="AL590" s="271"/>
      <c r="AM590" s="271"/>
      <c r="AN590" s="271"/>
      <c r="AO590" s="271"/>
      <c r="AP590" s="271"/>
      <c r="AQ590" s="271"/>
      <c r="AR590" s="271"/>
      <c r="AS590" s="271"/>
      <c r="AT590" s="271"/>
      <c r="AU590" s="271"/>
      <c r="AV590" s="271"/>
      <c r="AW590" s="271"/>
      <c r="AX590" s="271"/>
      <c r="AY590" s="271"/>
    </row>
    <row r="591" spans="1:51" ht="15.75" customHeight="1" x14ac:dyDescent="0.25">
      <c r="A591" s="271"/>
      <c r="B591" s="534"/>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c r="AL591" s="271"/>
      <c r="AM591" s="271"/>
      <c r="AN591" s="271"/>
      <c r="AO591" s="271"/>
      <c r="AP591" s="271"/>
      <c r="AQ591" s="271"/>
      <c r="AR591" s="271"/>
      <c r="AS591" s="271"/>
      <c r="AT591" s="271"/>
      <c r="AU591" s="271"/>
      <c r="AV591" s="271"/>
      <c r="AW591" s="271"/>
      <c r="AX591" s="271"/>
      <c r="AY591" s="271"/>
    </row>
    <row r="592" spans="1:51" ht="15.75" customHeight="1" x14ac:dyDescent="0.25">
      <c r="A592" s="271"/>
      <c r="B592" s="534"/>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c r="AL592" s="271"/>
      <c r="AM592" s="271"/>
      <c r="AN592" s="271"/>
      <c r="AO592" s="271"/>
      <c r="AP592" s="271"/>
      <c r="AQ592" s="271"/>
      <c r="AR592" s="271"/>
      <c r="AS592" s="271"/>
      <c r="AT592" s="271"/>
      <c r="AU592" s="271"/>
      <c r="AV592" s="271"/>
      <c r="AW592" s="271"/>
      <c r="AX592" s="271"/>
      <c r="AY592" s="271"/>
    </row>
    <row r="593" spans="1:51" ht="15.75" customHeight="1" x14ac:dyDescent="0.25">
      <c r="A593" s="271"/>
      <c r="B593" s="534"/>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c r="AL593" s="271"/>
      <c r="AM593" s="271"/>
      <c r="AN593" s="271"/>
      <c r="AO593" s="271"/>
      <c r="AP593" s="271"/>
      <c r="AQ593" s="271"/>
      <c r="AR593" s="271"/>
      <c r="AS593" s="271"/>
      <c r="AT593" s="271"/>
      <c r="AU593" s="271"/>
      <c r="AV593" s="271"/>
      <c r="AW593" s="271"/>
      <c r="AX593" s="271"/>
      <c r="AY593" s="271"/>
    </row>
    <row r="594" spans="1:51" ht="15.75" customHeight="1" x14ac:dyDescent="0.25">
      <c r="A594" s="271"/>
      <c r="B594" s="534"/>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c r="AL594" s="271"/>
      <c r="AM594" s="271"/>
      <c r="AN594" s="271"/>
      <c r="AO594" s="271"/>
      <c r="AP594" s="271"/>
      <c r="AQ594" s="271"/>
      <c r="AR594" s="271"/>
      <c r="AS594" s="271"/>
      <c r="AT594" s="271"/>
      <c r="AU594" s="271"/>
      <c r="AV594" s="271"/>
      <c r="AW594" s="271"/>
      <c r="AX594" s="271"/>
      <c r="AY594" s="271"/>
    </row>
    <row r="595" spans="1:51" ht="15.75" customHeight="1" x14ac:dyDescent="0.25">
      <c r="A595" s="271"/>
      <c r="B595" s="534"/>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c r="AL595" s="271"/>
      <c r="AM595" s="271"/>
      <c r="AN595" s="271"/>
      <c r="AO595" s="271"/>
      <c r="AP595" s="271"/>
      <c r="AQ595" s="271"/>
      <c r="AR595" s="271"/>
      <c r="AS595" s="271"/>
      <c r="AT595" s="271"/>
      <c r="AU595" s="271"/>
      <c r="AV595" s="271"/>
      <c r="AW595" s="271"/>
      <c r="AX595" s="271"/>
      <c r="AY595" s="271"/>
    </row>
    <row r="596" spans="1:51" ht="15.75" customHeight="1" x14ac:dyDescent="0.25">
      <c r="A596" s="271"/>
      <c r="B596" s="534"/>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c r="AL596" s="271"/>
      <c r="AM596" s="271"/>
      <c r="AN596" s="271"/>
      <c r="AO596" s="271"/>
      <c r="AP596" s="271"/>
      <c r="AQ596" s="271"/>
      <c r="AR596" s="271"/>
      <c r="AS596" s="271"/>
      <c r="AT596" s="271"/>
      <c r="AU596" s="271"/>
      <c r="AV596" s="271"/>
      <c r="AW596" s="271"/>
      <c r="AX596" s="271"/>
      <c r="AY596" s="271"/>
    </row>
    <row r="597" spans="1:51" ht="15.75" customHeight="1" x14ac:dyDescent="0.25">
      <c r="A597" s="271"/>
      <c r="B597" s="534"/>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c r="AL597" s="271"/>
      <c r="AM597" s="271"/>
      <c r="AN597" s="271"/>
      <c r="AO597" s="271"/>
      <c r="AP597" s="271"/>
      <c r="AQ597" s="271"/>
      <c r="AR597" s="271"/>
      <c r="AS597" s="271"/>
      <c r="AT597" s="271"/>
      <c r="AU597" s="271"/>
      <c r="AV597" s="271"/>
      <c r="AW597" s="271"/>
      <c r="AX597" s="271"/>
      <c r="AY597" s="271"/>
    </row>
    <row r="598" spans="1:51" ht="15.75" customHeight="1" x14ac:dyDescent="0.25">
      <c r="A598" s="271"/>
      <c r="B598" s="534"/>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c r="AL598" s="271"/>
      <c r="AM598" s="271"/>
      <c r="AN598" s="271"/>
      <c r="AO598" s="271"/>
      <c r="AP598" s="271"/>
      <c r="AQ598" s="271"/>
      <c r="AR598" s="271"/>
      <c r="AS598" s="271"/>
      <c r="AT598" s="271"/>
      <c r="AU598" s="271"/>
      <c r="AV598" s="271"/>
      <c r="AW598" s="271"/>
      <c r="AX598" s="271"/>
      <c r="AY598" s="271"/>
    </row>
    <row r="599" spans="1:51" ht="15.75" customHeight="1" x14ac:dyDescent="0.25">
      <c r="A599" s="271"/>
      <c r="B599" s="534"/>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c r="AL599" s="271"/>
      <c r="AM599" s="271"/>
      <c r="AN599" s="271"/>
      <c r="AO599" s="271"/>
      <c r="AP599" s="271"/>
      <c r="AQ599" s="271"/>
      <c r="AR599" s="271"/>
      <c r="AS599" s="271"/>
      <c r="AT599" s="271"/>
      <c r="AU599" s="271"/>
      <c r="AV599" s="271"/>
      <c r="AW599" s="271"/>
      <c r="AX599" s="271"/>
      <c r="AY599" s="271"/>
    </row>
    <row r="600" spans="1:51" ht="15.75" customHeight="1" x14ac:dyDescent="0.25">
      <c r="A600" s="271"/>
      <c r="B600" s="534"/>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c r="AL600" s="271"/>
      <c r="AM600" s="271"/>
      <c r="AN600" s="271"/>
      <c r="AO600" s="271"/>
      <c r="AP600" s="271"/>
      <c r="AQ600" s="271"/>
      <c r="AR600" s="271"/>
      <c r="AS600" s="271"/>
      <c r="AT600" s="271"/>
      <c r="AU600" s="271"/>
      <c r="AV600" s="271"/>
      <c r="AW600" s="271"/>
      <c r="AX600" s="271"/>
      <c r="AY600" s="271"/>
    </row>
    <row r="601" spans="1:51" ht="15.75" customHeight="1" x14ac:dyDescent="0.25">
      <c r="A601" s="271"/>
      <c r="B601" s="534"/>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c r="AL601" s="271"/>
      <c r="AM601" s="271"/>
      <c r="AN601" s="271"/>
      <c r="AO601" s="271"/>
      <c r="AP601" s="271"/>
      <c r="AQ601" s="271"/>
      <c r="AR601" s="271"/>
      <c r="AS601" s="271"/>
      <c r="AT601" s="271"/>
      <c r="AU601" s="271"/>
      <c r="AV601" s="271"/>
      <c r="AW601" s="271"/>
      <c r="AX601" s="271"/>
      <c r="AY601" s="271"/>
    </row>
    <row r="602" spans="1:51" ht="15.75" customHeight="1" x14ac:dyDescent="0.25">
      <c r="A602" s="271"/>
      <c r="B602" s="534"/>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c r="AL602" s="271"/>
      <c r="AM602" s="271"/>
      <c r="AN602" s="271"/>
      <c r="AO602" s="271"/>
      <c r="AP602" s="271"/>
      <c r="AQ602" s="271"/>
      <c r="AR602" s="271"/>
      <c r="AS602" s="271"/>
      <c r="AT602" s="271"/>
      <c r="AU602" s="271"/>
      <c r="AV602" s="271"/>
      <c r="AW602" s="271"/>
      <c r="AX602" s="271"/>
      <c r="AY602" s="271"/>
    </row>
    <row r="603" spans="1:51" ht="15.75" customHeight="1" x14ac:dyDescent="0.25">
      <c r="A603" s="271"/>
      <c r="B603" s="534"/>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c r="AL603" s="271"/>
      <c r="AM603" s="271"/>
      <c r="AN603" s="271"/>
      <c r="AO603" s="271"/>
      <c r="AP603" s="271"/>
      <c r="AQ603" s="271"/>
      <c r="AR603" s="271"/>
      <c r="AS603" s="271"/>
      <c r="AT603" s="271"/>
      <c r="AU603" s="271"/>
      <c r="AV603" s="271"/>
      <c r="AW603" s="271"/>
      <c r="AX603" s="271"/>
      <c r="AY603" s="271"/>
    </row>
    <row r="604" spans="1:51" ht="15.75" customHeight="1" x14ac:dyDescent="0.25">
      <c r="A604" s="271"/>
      <c r="B604" s="534"/>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c r="AL604" s="271"/>
      <c r="AM604" s="271"/>
      <c r="AN604" s="271"/>
      <c r="AO604" s="271"/>
      <c r="AP604" s="271"/>
      <c r="AQ604" s="271"/>
      <c r="AR604" s="271"/>
      <c r="AS604" s="271"/>
      <c r="AT604" s="271"/>
      <c r="AU604" s="271"/>
      <c r="AV604" s="271"/>
      <c r="AW604" s="271"/>
      <c r="AX604" s="271"/>
      <c r="AY604" s="271"/>
    </row>
    <row r="605" spans="1:51" ht="15.75" customHeight="1" x14ac:dyDescent="0.25">
      <c r="A605" s="271"/>
      <c r="B605" s="534"/>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c r="AL605" s="271"/>
      <c r="AM605" s="271"/>
      <c r="AN605" s="271"/>
      <c r="AO605" s="271"/>
      <c r="AP605" s="271"/>
      <c r="AQ605" s="271"/>
      <c r="AR605" s="271"/>
      <c r="AS605" s="271"/>
      <c r="AT605" s="271"/>
      <c r="AU605" s="271"/>
      <c r="AV605" s="271"/>
      <c r="AW605" s="271"/>
      <c r="AX605" s="271"/>
      <c r="AY605" s="271"/>
    </row>
    <row r="606" spans="1:51" ht="15.75" customHeight="1" x14ac:dyDescent="0.25">
      <c r="A606" s="271"/>
      <c r="B606" s="534"/>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c r="AL606" s="271"/>
      <c r="AM606" s="271"/>
      <c r="AN606" s="271"/>
      <c r="AO606" s="271"/>
      <c r="AP606" s="271"/>
      <c r="AQ606" s="271"/>
      <c r="AR606" s="271"/>
      <c r="AS606" s="271"/>
      <c r="AT606" s="271"/>
      <c r="AU606" s="271"/>
      <c r="AV606" s="271"/>
      <c r="AW606" s="271"/>
      <c r="AX606" s="271"/>
      <c r="AY606" s="271"/>
    </row>
    <row r="607" spans="1:51" ht="15.75" customHeight="1" x14ac:dyDescent="0.25">
      <c r="A607" s="271"/>
      <c r="B607" s="534"/>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c r="AL607" s="271"/>
      <c r="AM607" s="271"/>
      <c r="AN607" s="271"/>
      <c r="AO607" s="271"/>
      <c r="AP607" s="271"/>
      <c r="AQ607" s="271"/>
      <c r="AR607" s="271"/>
      <c r="AS607" s="271"/>
      <c r="AT607" s="271"/>
      <c r="AU607" s="271"/>
      <c r="AV607" s="271"/>
      <c r="AW607" s="271"/>
      <c r="AX607" s="271"/>
      <c r="AY607" s="271"/>
    </row>
    <row r="608" spans="1:51" ht="15.75" customHeight="1" x14ac:dyDescent="0.25">
      <c r="A608" s="271"/>
      <c r="B608" s="534"/>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c r="AL608" s="271"/>
      <c r="AM608" s="271"/>
      <c r="AN608" s="271"/>
      <c r="AO608" s="271"/>
      <c r="AP608" s="271"/>
      <c r="AQ608" s="271"/>
      <c r="AR608" s="271"/>
      <c r="AS608" s="271"/>
      <c r="AT608" s="271"/>
      <c r="AU608" s="271"/>
      <c r="AV608" s="271"/>
      <c r="AW608" s="271"/>
      <c r="AX608" s="271"/>
      <c r="AY608" s="271"/>
    </row>
    <row r="609" spans="1:51" ht="15.75" customHeight="1" x14ac:dyDescent="0.25">
      <c r="A609" s="271"/>
      <c r="B609" s="534"/>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c r="AL609" s="271"/>
      <c r="AM609" s="271"/>
      <c r="AN609" s="271"/>
      <c r="AO609" s="271"/>
      <c r="AP609" s="271"/>
      <c r="AQ609" s="271"/>
      <c r="AR609" s="271"/>
      <c r="AS609" s="271"/>
      <c r="AT609" s="271"/>
      <c r="AU609" s="271"/>
      <c r="AV609" s="271"/>
      <c r="AW609" s="271"/>
      <c r="AX609" s="271"/>
      <c r="AY609" s="271"/>
    </row>
    <row r="610" spans="1:51" ht="15.75" customHeight="1" x14ac:dyDescent="0.25">
      <c r="A610" s="271"/>
      <c r="B610" s="534"/>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c r="AL610" s="271"/>
      <c r="AM610" s="271"/>
      <c r="AN610" s="271"/>
      <c r="AO610" s="271"/>
      <c r="AP610" s="271"/>
      <c r="AQ610" s="271"/>
      <c r="AR610" s="271"/>
      <c r="AS610" s="271"/>
      <c r="AT610" s="271"/>
      <c r="AU610" s="271"/>
      <c r="AV610" s="271"/>
      <c r="AW610" s="271"/>
      <c r="AX610" s="271"/>
      <c r="AY610" s="271"/>
    </row>
    <row r="611" spans="1:51" ht="15.75" customHeight="1" x14ac:dyDescent="0.25">
      <c r="A611" s="271"/>
      <c r="B611" s="534"/>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c r="AL611" s="271"/>
      <c r="AM611" s="271"/>
      <c r="AN611" s="271"/>
      <c r="AO611" s="271"/>
      <c r="AP611" s="271"/>
      <c r="AQ611" s="271"/>
      <c r="AR611" s="271"/>
      <c r="AS611" s="271"/>
      <c r="AT611" s="271"/>
      <c r="AU611" s="271"/>
      <c r="AV611" s="271"/>
      <c r="AW611" s="271"/>
      <c r="AX611" s="271"/>
      <c r="AY611" s="271"/>
    </row>
    <row r="612" spans="1:51" ht="15.75" customHeight="1" x14ac:dyDescent="0.25">
      <c r="A612" s="271"/>
      <c r="B612" s="534"/>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c r="AL612" s="271"/>
      <c r="AM612" s="271"/>
      <c r="AN612" s="271"/>
      <c r="AO612" s="271"/>
      <c r="AP612" s="271"/>
      <c r="AQ612" s="271"/>
      <c r="AR612" s="271"/>
      <c r="AS612" s="271"/>
      <c r="AT612" s="271"/>
      <c r="AU612" s="271"/>
      <c r="AV612" s="271"/>
      <c r="AW612" s="271"/>
      <c r="AX612" s="271"/>
      <c r="AY612" s="271"/>
    </row>
    <row r="613" spans="1:51" ht="15.75" customHeight="1" x14ac:dyDescent="0.25">
      <c r="A613" s="271"/>
      <c r="B613" s="534"/>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c r="AL613" s="271"/>
      <c r="AM613" s="271"/>
      <c r="AN613" s="271"/>
      <c r="AO613" s="271"/>
      <c r="AP613" s="271"/>
      <c r="AQ613" s="271"/>
      <c r="AR613" s="271"/>
      <c r="AS613" s="271"/>
      <c r="AT613" s="271"/>
      <c r="AU613" s="271"/>
      <c r="AV613" s="271"/>
      <c r="AW613" s="271"/>
      <c r="AX613" s="271"/>
      <c r="AY613" s="271"/>
    </row>
    <row r="614" spans="1:51" ht="15.75" customHeight="1" x14ac:dyDescent="0.25">
      <c r="A614" s="271"/>
      <c r="B614" s="534"/>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c r="AL614" s="271"/>
      <c r="AM614" s="271"/>
      <c r="AN614" s="271"/>
      <c r="AO614" s="271"/>
      <c r="AP614" s="271"/>
      <c r="AQ614" s="271"/>
      <c r="AR614" s="271"/>
      <c r="AS614" s="271"/>
      <c r="AT614" s="271"/>
      <c r="AU614" s="271"/>
      <c r="AV614" s="271"/>
      <c r="AW614" s="271"/>
      <c r="AX614" s="271"/>
      <c r="AY614" s="271"/>
    </row>
    <row r="615" spans="1:51" ht="15.75" customHeight="1" x14ac:dyDescent="0.25">
      <c r="A615" s="271"/>
      <c r="B615" s="534"/>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c r="AL615" s="271"/>
      <c r="AM615" s="271"/>
      <c r="AN615" s="271"/>
      <c r="AO615" s="271"/>
      <c r="AP615" s="271"/>
      <c r="AQ615" s="271"/>
      <c r="AR615" s="271"/>
      <c r="AS615" s="271"/>
      <c r="AT615" s="271"/>
      <c r="AU615" s="271"/>
      <c r="AV615" s="271"/>
      <c r="AW615" s="271"/>
      <c r="AX615" s="271"/>
      <c r="AY615" s="271"/>
    </row>
    <row r="616" spans="1:51" ht="15.75" customHeight="1" x14ac:dyDescent="0.25">
      <c r="A616" s="271"/>
      <c r="B616" s="534"/>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c r="AL616" s="271"/>
      <c r="AM616" s="271"/>
      <c r="AN616" s="271"/>
      <c r="AO616" s="271"/>
      <c r="AP616" s="271"/>
      <c r="AQ616" s="271"/>
      <c r="AR616" s="271"/>
      <c r="AS616" s="271"/>
      <c r="AT616" s="271"/>
      <c r="AU616" s="271"/>
      <c r="AV616" s="271"/>
      <c r="AW616" s="271"/>
      <c r="AX616" s="271"/>
      <c r="AY616" s="271"/>
    </row>
    <row r="617" spans="1:51" ht="15.75" customHeight="1" x14ac:dyDescent="0.25">
      <c r="A617" s="271"/>
      <c r="B617" s="534"/>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c r="AL617" s="271"/>
      <c r="AM617" s="271"/>
      <c r="AN617" s="271"/>
      <c r="AO617" s="271"/>
      <c r="AP617" s="271"/>
      <c r="AQ617" s="271"/>
      <c r="AR617" s="271"/>
      <c r="AS617" s="271"/>
      <c r="AT617" s="271"/>
      <c r="AU617" s="271"/>
      <c r="AV617" s="271"/>
      <c r="AW617" s="271"/>
      <c r="AX617" s="271"/>
      <c r="AY617" s="271"/>
    </row>
    <row r="618" spans="1:51" ht="15.75" customHeight="1" x14ac:dyDescent="0.25">
      <c r="A618" s="271"/>
      <c r="B618" s="534"/>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c r="AL618" s="271"/>
      <c r="AM618" s="271"/>
      <c r="AN618" s="271"/>
      <c r="AO618" s="271"/>
      <c r="AP618" s="271"/>
      <c r="AQ618" s="271"/>
      <c r="AR618" s="271"/>
      <c r="AS618" s="271"/>
      <c r="AT618" s="271"/>
      <c r="AU618" s="271"/>
      <c r="AV618" s="271"/>
      <c r="AW618" s="271"/>
      <c r="AX618" s="271"/>
      <c r="AY618" s="271"/>
    </row>
    <row r="619" spans="1:51" ht="15.75" customHeight="1" x14ac:dyDescent="0.25">
      <c r="A619" s="271"/>
      <c r="B619" s="534"/>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c r="AL619" s="271"/>
      <c r="AM619" s="271"/>
      <c r="AN619" s="271"/>
      <c r="AO619" s="271"/>
      <c r="AP619" s="271"/>
      <c r="AQ619" s="271"/>
      <c r="AR619" s="271"/>
      <c r="AS619" s="271"/>
      <c r="AT619" s="271"/>
      <c r="AU619" s="271"/>
      <c r="AV619" s="271"/>
      <c r="AW619" s="271"/>
      <c r="AX619" s="271"/>
      <c r="AY619" s="271"/>
    </row>
    <row r="620" spans="1:51" ht="15.75" customHeight="1" x14ac:dyDescent="0.25">
      <c r="A620" s="271"/>
      <c r="B620" s="534"/>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c r="AL620" s="271"/>
      <c r="AM620" s="271"/>
      <c r="AN620" s="271"/>
      <c r="AO620" s="271"/>
      <c r="AP620" s="271"/>
      <c r="AQ620" s="271"/>
      <c r="AR620" s="271"/>
      <c r="AS620" s="271"/>
      <c r="AT620" s="271"/>
      <c r="AU620" s="271"/>
      <c r="AV620" s="271"/>
      <c r="AW620" s="271"/>
      <c r="AX620" s="271"/>
      <c r="AY620" s="271"/>
    </row>
    <row r="621" spans="1:51" ht="15.75" customHeight="1" x14ac:dyDescent="0.25">
      <c r="A621" s="271"/>
      <c r="B621" s="534"/>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c r="AL621" s="271"/>
      <c r="AM621" s="271"/>
      <c r="AN621" s="271"/>
      <c r="AO621" s="271"/>
      <c r="AP621" s="271"/>
      <c r="AQ621" s="271"/>
      <c r="AR621" s="271"/>
      <c r="AS621" s="271"/>
      <c r="AT621" s="271"/>
      <c r="AU621" s="271"/>
      <c r="AV621" s="271"/>
      <c r="AW621" s="271"/>
      <c r="AX621" s="271"/>
      <c r="AY621" s="271"/>
    </row>
    <row r="622" spans="1:51" ht="15.75" customHeight="1" x14ac:dyDescent="0.25">
      <c r="A622" s="271"/>
      <c r="B622" s="534"/>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c r="AL622" s="271"/>
      <c r="AM622" s="271"/>
      <c r="AN622" s="271"/>
      <c r="AO622" s="271"/>
      <c r="AP622" s="271"/>
      <c r="AQ622" s="271"/>
      <c r="AR622" s="271"/>
      <c r="AS622" s="271"/>
      <c r="AT622" s="271"/>
      <c r="AU622" s="271"/>
      <c r="AV622" s="271"/>
      <c r="AW622" s="271"/>
      <c r="AX622" s="271"/>
      <c r="AY622" s="271"/>
    </row>
    <row r="623" spans="1:51" ht="15.75" customHeight="1" x14ac:dyDescent="0.25">
      <c r="A623" s="271"/>
      <c r="B623" s="534"/>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c r="AL623" s="271"/>
      <c r="AM623" s="271"/>
      <c r="AN623" s="271"/>
      <c r="AO623" s="271"/>
      <c r="AP623" s="271"/>
      <c r="AQ623" s="271"/>
      <c r="AR623" s="271"/>
      <c r="AS623" s="271"/>
      <c r="AT623" s="271"/>
      <c r="AU623" s="271"/>
      <c r="AV623" s="271"/>
      <c r="AW623" s="271"/>
      <c r="AX623" s="271"/>
      <c r="AY623" s="271"/>
    </row>
    <row r="624" spans="1:51" ht="15.75" customHeight="1" x14ac:dyDescent="0.25">
      <c r="A624" s="271"/>
      <c r="B624" s="534"/>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c r="AL624" s="271"/>
      <c r="AM624" s="271"/>
      <c r="AN624" s="271"/>
      <c r="AO624" s="271"/>
      <c r="AP624" s="271"/>
      <c r="AQ624" s="271"/>
      <c r="AR624" s="271"/>
      <c r="AS624" s="271"/>
      <c r="AT624" s="271"/>
      <c r="AU624" s="271"/>
      <c r="AV624" s="271"/>
      <c r="AW624" s="271"/>
      <c r="AX624" s="271"/>
      <c r="AY624" s="271"/>
    </row>
    <row r="625" spans="1:51" ht="15.75" customHeight="1" x14ac:dyDescent="0.25">
      <c r="A625" s="271"/>
      <c r="B625" s="534"/>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c r="AL625" s="271"/>
      <c r="AM625" s="271"/>
      <c r="AN625" s="271"/>
      <c r="AO625" s="271"/>
      <c r="AP625" s="271"/>
      <c r="AQ625" s="271"/>
      <c r="AR625" s="271"/>
      <c r="AS625" s="271"/>
      <c r="AT625" s="271"/>
      <c r="AU625" s="271"/>
      <c r="AV625" s="271"/>
      <c r="AW625" s="271"/>
      <c r="AX625" s="271"/>
      <c r="AY625" s="271"/>
    </row>
    <row r="626" spans="1:51" ht="15.75" customHeight="1" x14ac:dyDescent="0.25">
      <c r="A626" s="271"/>
      <c r="B626" s="534"/>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c r="AL626" s="271"/>
      <c r="AM626" s="271"/>
      <c r="AN626" s="271"/>
      <c r="AO626" s="271"/>
      <c r="AP626" s="271"/>
      <c r="AQ626" s="271"/>
      <c r="AR626" s="271"/>
      <c r="AS626" s="271"/>
      <c r="AT626" s="271"/>
      <c r="AU626" s="271"/>
      <c r="AV626" s="271"/>
      <c r="AW626" s="271"/>
      <c r="AX626" s="271"/>
      <c r="AY626" s="271"/>
    </row>
    <row r="627" spans="1:51" ht="15.75" customHeight="1" x14ac:dyDescent="0.25">
      <c r="A627" s="271"/>
      <c r="B627" s="534"/>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c r="AL627" s="271"/>
      <c r="AM627" s="271"/>
      <c r="AN627" s="271"/>
      <c r="AO627" s="271"/>
      <c r="AP627" s="271"/>
      <c r="AQ627" s="271"/>
      <c r="AR627" s="271"/>
      <c r="AS627" s="271"/>
      <c r="AT627" s="271"/>
      <c r="AU627" s="271"/>
      <c r="AV627" s="271"/>
      <c r="AW627" s="271"/>
      <c r="AX627" s="271"/>
      <c r="AY627" s="271"/>
    </row>
    <row r="628" spans="1:51" ht="15.75" customHeight="1" x14ac:dyDescent="0.25">
      <c r="A628" s="271"/>
      <c r="B628" s="534"/>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c r="AL628" s="271"/>
      <c r="AM628" s="271"/>
      <c r="AN628" s="271"/>
      <c r="AO628" s="271"/>
      <c r="AP628" s="271"/>
      <c r="AQ628" s="271"/>
      <c r="AR628" s="271"/>
      <c r="AS628" s="271"/>
      <c r="AT628" s="271"/>
      <c r="AU628" s="271"/>
      <c r="AV628" s="271"/>
      <c r="AW628" s="271"/>
      <c r="AX628" s="271"/>
      <c r="AY628" s="271"/>
    </row>
    <row r="629" spans="1:51" ht="15.75" customHeight="1" x14ac:dyDescent="0.25">
      <c r="A629" s="271"/>
      <c r="B629" s="534"/>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c r="AL629" s="271"/>
      <c r="AM629" s="271"/>
      <c r="AN629" s="271"/>
      <c r="AO629" s="271"/>
      <c r="AP629" s="271"/>
      <c r="AQ629" s="271"/>
      <c r="AR629" s="271"/>
      <c r="AS629" s="271"/>
      <c r="AT629" s="271"/>
      <c r="AU629" s="271"/>
      <c r="AV629" s="271"/>
      <c r="AW629" s="271"/>
      <c r="AX629" s="271"/>
      <c r="AY629" s="271"/>
    </row>
    <row r="630" spans="1:51" ht="15.75" customHeight="1" x14ac:dyDescent="0.25">
      <c r="A630" s="271"/>
      <c r="B630" s="534"/>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c r="AL630" s="271"/>
      <c r="AM630" s="271"/>
      <c r="AN630" s="271"/>
      <c r="AO630" s="271"/>
      <c r="AP630" s="271"/>
      <c r="AQ630" s="271"/>
      <c r="AR630" s="271"/>
      <c r="AS630" s="271"/>
      <c r="AT630" s="271"/>
      <c r="AU630" s="271"/>
      <c r="AV630" s="271"/>
      <c r="AW630" s="271"/>
      <c r="AX630" s="271"/>
      <c r="AY630" s="271"/>
    </row>
    <row r="631" spans="1:51" ht="15.75" customHeight="1" x14ac:dyDescent="0.25">
      <c r="A631" s="271"/>
      <c r="B631" s="534"/>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c r="AL631" s="271"/>
      <c r="AM631" s="271"/>
      <c r="AN631" s="271"/>
      <c r="AO631" s="271"/>
      <c r="AP631" s="271"/>
      <c r="AQ631" s="271"/>
      <c r="AR631" s="271"/>
      <c r="AS631" s="271"/>
      <c r="AT631" s="271"/>
      <c r="AU631" s="271"/>
      <c r="AV631" s="271"/>
      <c r="AW631" s="271"/>
      <c r="AX631" s="271"/>
      <c r="AY631" s="271"/>
    </row>
    <row r="632" spans="1:51" ht="15.75" customHeight="1" x14ac:dyDescent="0.25">
      <c r="A632" s="271"/>
      <c r="B632" s="534"/>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c r="AL632" s="271"/>
      <c r="AM632" s="271"/>
      <c r="AN632" s="271"/>
      <c r="AO632" s="271"/>
      <c r="AP632" s="271"/>
      <c r="AQ632" s="271"/>
      <c r="AR632" s="271"/>
      <c r="AS632" s="271"/>
      <c r="AT632" s="271"/>
      <c r="AU632" s="271"/>
      <c r="AV632" s="271"/>
      <c r="AW632" s="271"/>
      <c r="AX632" s="271"/>
      <c r="AY632" s="271"/>
    </row>
    <row r="633" spans="1:51" ht="15.75" customHeight="1" x14ac:dyDescent="0.25">
      <c r="A633" s="271"/>
      <c r="B633" s="534"/>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c r="AL633" s="271"/>
      <c r="AM633" s="271"/>
      <c r="AN633" s="271"/>
      <c r="AO633" s="271"/>
      <c r="AP633" s="271"/>
      <c r="AQ633" s="271"/>
      <c r="AR633" s="271"/>
      <c r="AS633" s="271"/>
      <c r="AT633" s="271"/>
      <c r="AU633" s="271"/>
      <c r="AV633" s="271"/>
      <c r="AW633" s="271"/>
      <c r="AX633" s="271"/>
      <c r="AY633" s="271"/>
    </row>
    <row r="634" spans="1:51" ht="15.75" customHeight="1" x14ac:dyDescent="0.25">
      <c r="A634" s="271"/>
      <c r="B634" s="534"/>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c r="AL634" s="271"/>
      <c r="AM634" s="271"/>
      <c r="AN634" s="271"/>
      <c r="AO634" s="271"/>
      <c r="AP634" s="271"/>
      <c r="AQ634" s="271"/>
      <c r="AR634" s="271"/>
      <c r="AS634" s="271"/>
      <c r="AT634" s="271"/>
      <c r="AU634" s="271"/>
      <c r="AV634" s="271"/>
      <c r="AW634" s="271"/>
      <c r="AX634" s="271"/>
      <c r="AY634" s="271"/>
    </row>
    <row r="635" spans="1:51" ht="15.75" customHeight="1" x14ac:dyDescent="0.25">
      <c r="A635" s="271"/>
      <c r="B635" s="534"/>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c r="AL635" s="271"/>
      <c r="AM635" s="271"/>
      <c r="AN635" s="271"/>
      <c r="AO635" s="271"/>
      <c r="AP635" s="271"/>
      <c r="AQ635" s="271"/>
      <c r="AR635" s="271"/>
      <c r="AS635" s="271"/>
      <c r="AT635" s="271"/>
      <c r="AU635" s="271"/>
      <c r="AV635" s="271"/>
      <c r="AW635" s="271"/>
      <c r="AX635" s="271"/>
      <c r="AY635" s="271"/>
    </row>
    <row r="636" spans="1:51" ht="15.75" customHeight="1" x14ac:dyDescent="0.25">
      <c r="A636" s="271"/>
      <c r="B636" s="534"/>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c r="AL636" s="271"/>
      <c r="AM636" s="271"/>
      <c r="AN636" s="271"/>
      <c r="AO636" s="271"/>
      <c r="AP636" s="271"/>
      <c r="AQ636" s="271"/>
      <c r="AR636" s="271"/>
      <c r="AS636" s="271"/>
      <c r="AT636" s="271"/>
      <c r="AU636" s="271"/>
      <c r="AV636" s="271"/>
      <c r="AW636" s="271"/>
      <c r="AX636" s="271"/>
      <c r="AY636" s="271"/>
    </row>
    <row r="637" spans="1:51" ht="15.75" customHeight="1" x14ac:dyDescent="0.25">
      <c r="A637" s="271"/>
      <c r="B637" s="534"/>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c r="AL637" s="271"/>
      <c r="AM637" s="271"/>
      <c r="AN637" s="271"/>
      <c r="AO637" s="271"/>
      <c r="AP637" s="271"/>
      <c r="AQ637" s="271"/>
      <c r="AR637" s="271"/>
      <c r="AS637" s="271"/>
      <c r="AT637" s="271"/>
      <c r="AU637" s="271"/>
      <c r="AV637" s="271"/>
      <c r="AW637" s="271"/>
      <c r="AX637" s="271"/>
      <c r="AY637" s="271"/>
    </row>
    <row r="638" spans="1:51" ht="15.75" customHeight="1" x14ac:dyDescent="0.25">
      <c r="A638" s="271"/>
      <c r="B638" s="534"/>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c r="AL638" s="271"/>
      <c r="AM638" s="271"/>
      <c r="AN638" s="271"/>
      <c r="AO638" s="271"/>
      <c r="AP638" s="271"/>
      <c r="AQ638" s="271"/>
      <c r="AR638" s="271"/>
      <c r="AS638" s="271"/>
      <c r="AT638" s="271"/>
      <c r="AU638" s="271"/>
      <c r="AV638" s="271"/>
      <c r="AW638" s="271"/>
      <c r="AX638" s="271"/>
      <c r="AY638" s="271"/>
    </row>
    <row r="639" spans="1:51" ht="15.75" customHeight="1" x14ac:dyDescent="0.25">
      <c r="A639" s="271"/>
      <c r="B639" s="534"/>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c r="AL639" s="271"/>
      <c r="AM639" s="271"/>
      <c r="AN639" s="271"/>
      <c r="AO639" s="271"/>
      <c r="AP639" s="271"/>
      <c r="AQ639" s="271"/>
      <c r="AR639" s="271"/>
      <c r="AS639" s="271"/>
      <c r="AT639" s="271"/>
      <c r="AU639" s="271"/>
      <c r="AV639" s="271"/>
      <c r="AW639" s="271"/>
      <c r="AX639" s="271"/>
      <c r="AY639" s="271"/>
    </row>
    <row r="640" spans="1:51" ht="15.75" customHeight="1" x14ac:dyDescent="0.25">
      <c r="A640" s="271"/>
      <c r="B640" s="534"/>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c r="AL640" s="271"/>
      <c r="AM640" s="271"/>
      <c r="AN640" s="271"/>
      <c r="AO640" s="271"/>
      <c r="AP640" s="271"/>
      <c r="AQ640" s="271"/>
      <c r="AR640" s="271"/>
      <c r="AS640" s="271"/>
      <c r="AT640" s="271"/>
      <c r="AU640" s="271"/>
      <c r="AV640" s="271"/>
      <c r="AW640" s="271"/>
      <c r="AX640" s="271"/>
      <c r="AY640" s="271"/>
    </row>
    <row r="641" spans="1:51" ht="15.75" customHeight="1" x14ac:dyDescent="0.25">
      <c r="A641" s="271"/>
      <c r="B641" s="534"/>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c r="AL641" s="271"/>
      <c r="AM641" s="271"/>
      <c r="AN641" s="271"/>
      <c r="AO641" s="271"/>
      <c r="AP641" s="271"/>
      <c r="AQ641" s="271"/>
      <c r="AR641" s="271"/>
      <c r="AS641" s="271"/>
      <c r="AT641" s="271"/>
      <c r="AU641" s="271"/>
      <c r="AV641" s="271"/>
      <c r="AW641" s="271"/>
      <c r="AX641" s="271"/>
      <c r="AY641" s="271"/>
    </row>
    <row r="642" spans="1:51" ht="15.75" customHeight="1" x14ac:dyDescent="0.25">
      <c r="A642" s="271"/>
      <c r="B642" s="534"/>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c r="AL642" s="271"/>
      <c r="AM642" s="271"/>
      <c r="AN642" s="271"/>
      <c r="AO642" s="271"/>
      <c r="AP642" s="271"/>
      <c r="AQ642" s="271"/>
      <c r="AR642" s="271"/>
      <c r="AS642" s="271"/>
      <c r="AT642" s="271"/>
      <c r="AU642" s="271"/>
      <c r="AV642" s="271"/>
      <c r="AW642" s="271"/>
      <c r="AX642" s="271"/>
      <c r="AY642" s="271"/>
    </row>
    <row r="643" spans="1:51" ht="15.75" customHeight="1" x14ac:dyDescent="0.25">
      <c r="A643" s="271"/>
      <c r="B643" s="534"/>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c r="AL643" s="271"/>
      <c r="AM643" s="271"/>
      <c r="AN643" s="271"/>
      <c r="AO643" s="271"/>
      <c r="AP643" s="271"/>
      <c r="AQ643" s="271"/>
      <c r="AR643" s="271"/>
      <c r="AS643" s="271"/>
      <c r="AT643" s="271"/>
      <c r="AU643" s="271"/>
      <c r="AV643" s="271"/>
      <c r="AW643" s="271"/>
      <c r="AX643" s="271"/>
      <c r="AY643" s="271"/>
    </row>
    <row r="644" spans="1:51" ht="15.75" customHeight="1" x14ac:dyDescent="0.25">
      <c r="A644" s="271"/>
      <c r="B644" s="534"/>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c r="AL644" s="271"/>
      <c r="AM644" s="271"/>
      <c r="AN644" s="271"/>
      <c r="AO644" s="271"/>
      <c r="AP644" s="271"/>
      <c r="AQ644" s="271"/>
      <c r="AR644" s="271"/>
      <c r="AS644" s="271"/>
      <c r="AT644" s="271"/>
      <c r="AU644" s="271"/>
      <c r="AV644" s="271"/>
      <c r="AW644" s="271"/>
      <c r="AX644" s="271"/>
      <c r="AY644" s="271"/>
    </row>
    <row r="645" spans="1:51" ht="15.75" customHeight="1" x14ac:dyDescent="0.25">
      <c r="A645" s="271"/>
      <c r="B645" s="534"/>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c r="AL645" s="271"/>
      <c r="AM645" s="271"/>
      <c r="AN645" s="271"/>
      <c r="AO645" s="271"/>
      <c r="AP645" s="271"/>
      <c r="AQ645" s="271"/>
      <c r="AR645" s="271"/>
      <c r="AS645" s="271"/>
      <c r="AT645" s="271"/>
      <c r="AU645" s="271"/>
      <c r="AV645" s="271"/>
      <c r="AW645" s="271"/>
      <c r="AX645" s="271"/>
      <c r="AY645" s="271"/>
    </row>
    <row r="646" spans="1:51" ht="15.75" customHeight="1" x14ac:dyDescent="0.25">
      <c r="A646" s="271"/>
      <c r="B646" s="534"/>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c r="AL646" s="271"/>
      <c r="AM646" s="271"/>
      <c r="AN646" s="271"/>
      <c r="AO646" s="271"/>
      <c r="AP646" s="271"/>
      <c r="AQ646" s="271"/>
      <c r="AR646" s="271"/>
      <c r="AS646" s="271"/>
      <c r="AT646" s="271"/>
      <c r="AU646" s="271"/>
      <c r="AV646" s="271"/>
      <c r="AW646" s="271"/>
      <c r="AX646" s="271"/>
      <c r="AY646" s="271"/>
    </row>
    <row r="647" spans="1:51" ht="15.75" customHeight="1" x14ac:dyDescent="0.25">
      <c r="A647" s="271"/>
      <c r="B647" s="534"/>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c r="AL647" s="271"/>
      <c r="AM647" s="271"/>
      <c r="AN647" s="271"/>
      <c r="AO647" s="271"/>
      <c r="AP647" s="271"/>
      <c r="AQ647" s="271"/>
      <c r="AR647" s="271"/>
      <c r="AS647" s="271"/>
      <c r="AT647" s="271"/>
      <c r="AU647" s="271"/>
      <c r="AV647" s="271"/>
      <c r="AW647" s="271"/>
      <c r="AX647" s="271"/>
      <c r="AY647" s="271"/>
    </row>
    <row r="648" spans="1:51" ht="15.75" customHeight="1" x14ac:dyDescent="0.25">
      <c r="A648" s="271"/>
      <c r="B648" s="534"/>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c r="AL648" s="271"/>
      <c r="AM648" s="271"/>
      <c r="AN648" s="271"/>
      <c r="AO648" s="271"/>
      <c r="AP648" s="271"/>
      <c r="AQ648" s="271"/>
      <c r="AR648" s="271"/>
      <c r="AS648" s="271"/>
      <c r="AT648" s="271"/>
      <c r="AU648" s="271"/>
      <c r="AV648" s="271"/>
      <c r="AW648" s="271"/>
      <c r="AX648" s="271"/>
      <c r="AY648" s="271"/>
    </row>
    <row r="649" spans="1:51" ht="15.75" customHeight="1" x14ac:dyDescent="0.25">
      <c r="A649" s="271"/>
      <c r="B649" s="534"/>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c r="AL649" s="271"/>
      <c r="AM649" s="271"/>
      <c r="AN649" s="271"/>
      <c r="AO649" s="271"/>
      <c r="AP649" s="271"/>
      <c r="AQ649" s="271"/>
      <c r="AR649" s="271"/>
      <c r="AS649" s="271"/>
      <c r="AT649" s="271"/>
      <c r="AU649" s="271"/>
      <c r="AV649" s="271"/>
      <c r="AW649" s="271"/>
      <c r="AX649" s="271"/>
      <c r="AY649" s="271"/>
    </row>
    <row r="650" spans="1:51" ht="15.75" customHeight="1" x14ac:dyDescent="0.25">
      <c r="A650" s="271"/>
      <c r="B650" s="534"/>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c r="AL650" s="271"/>
      <c r="AM650" s="271"/>
      <c r="AN650" s="271"/>
      <c r="AO650" s="271"/>
      <c r="AP650" s="271"/>
      <c r="AQ650" s="271"/>
      <c r="AR650" s="271"/>
      <c r="AS650" s="271"/>
      <c r="AT650" s="271"/>
      <c r="AU650" s="271"/>
      <c r="AV650" s="271"/>
      <c r="AW650" s="271"/>
      <c r="AX650" s="271"/>
      <c r="AY650" s="271"/>
    </row>
    <row r="651" spans="1:51" ht="15.75" customHeight="1" x14ac:dyDescent="0.25">
      <c r="A651" s="271"/>
      <c r="B651" s="534"/>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c r="AL651" s="271"/>
      <c r="AM651" s="271"/>
      <c r="AN651" s="271"/>
      <c r="AO651" s="271"/>
      <c r="AP651" s="271"/>
      <c r="AQ651" s="271"/>
      <c r="AR651" s="271"/>
      <c r="AS651" s="271"/>
      <c r="AT651" s="271"/>
      <c r="AU651" s="271"/>
      <c r="AV651" s="271"/>
      <c r="AW651" s="271"/>
      <c r="AX651" s="271"/>
      <c r="AY651" s="271"/>
    </row>
    <row r="652" spans="1:51" ht="15.75" customHeight="1" x14ac:dyDescent="0.25">
      <c r="A652" s="271"/>
      <c r="B652" s="534"/>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c r="AL652" s="271"/>
      <c r="AM652" s="271"/>
      <c r="AN652" s="271"/>
      <c r="AO652" s="271"/>
      <c r="AP652" s="271"/>
      <c r="AQ652" s="271"/>
      <c r="AR652" s="271"/>
      <c r="AS652" s="271"/>
      <c r="AT652" s="271"/>
      <c r="AU652" s="271"/>
      <c r="AV652" s="271"/>
      <c r="AW652" s="271"/>
      <c r="AX652" s="271"/>
      <c r="AY652" s="271"/>
    </row>
    <row r="653" spans="1:51" ht="15.75" customHeight="1" x14ac:dyDescent="0.25">
      <c r="A653" s="271"/>
      <c r="B653" s="534"/>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c r="AL653" s="271"/>
      <c r="AM653" s="271"/>
      <c r="AN653" s="271"/>
      <c r="AO653" s="271"/>
      <c r="AP653" s="271"/>
      <c r="AQ653" s="271"/>
      <c r="AR653" s="271"/>
      <c r="AS653" s="271"/>
      <c r="AT653" s="271"/>
      <c r="AU653" s="271"/>
      <c r="AV653" s="271"/>
      <c r="AW653" s="271"/>
      <c r="AX653" s="271"/>
      <c r="AY653" s="271"/>
    </row>
    <row r="654" spans="1:51" ht="15.75" customHeight="1" x14ac:dyDescent="0.25">
      <c r="A654" s="271"/>
      <c r="B654" s="534"/>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c r="AL654" s="271"/>
      <c r="AM654" s="271"/>
      <c r="AN654" s="271"/>
      <c r="AO654" s="271"/>
      <c r="AP654" s="271"/>
      <c r="AQ654" s="271"/>
      <c r="AR654" s="271"/>
      <c r="AS654" s="271"/>
      <c r="AT654" s="271"/>
      <c r="AU654" s="271"/>
      <c r="AV654" s="271"/>
      <c r="AW654" s="271"/>
      <c r="AX654" s="271"/>
      <c r="AY654" s="271"/>
    </row>
    <row r="655" spans="1:51" ht="15.75" customHeight="1" x14ac:dyDescent="0.25">
      <c r="A655" s="271"/>
      <c r="B655" s="534"/>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c r="AL655" s="271"/>
      <c r="AM655" s="271"/>
      <c r="AN655" s="271"/>
      <c r="AO655" s="271"/>
      <c r="AP655" s="271"/>
      <c r="AQ655" s="271"/>
      <c r="AR655" s="271"/>
      <c r="AS655" s="271"/>
      <c r="AT655" s="271"/>
      <c r="AU655" s="271"/>
      <c r="AV655" s="271"/>
      <c r="AW655" s="271"/>
      <c r="AX655" s="271"/>
      <c r="AY655" s="271"/>
    </row>
    <row r="656" spans="1:51" ht="15.75" customHeight="1" x14ac:dyDescent="0.25">
      <c r="A656" s="271"/>
      <c r="B656" s="534"/>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c r="AL656" s="271"/>
      <c r="AM656" s="271"/>
      <c r="AN656" s="271"/>
      <c r="AO656" s="271"/>
      <c r="AP656" s="271"/>
      <c r="AQ656" s="271"/>
      <c r="AR656" s="271"/>
      <c r="AS656" s="271"/>
      <c r="AT656" s="271"/>
      <c r="AU656" s="271"/>
      <c r="AV656" s="271"/>
      <c r="AW656" s="271"/>
      <c r="AX656" s="271"/>
      <c r="AY656" s="271"/>
    </row>
    <row r="657" spans="1:51" ht="15.75" customHeight="1" x14ac:dyDescent="0.25">
      <c r="A657" s="271"/>
      <c r="B657" s="534"/>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c r="AL657" s="271"/>
      <c r="AM657" s="271"/>
      <c r="AN657" s="271"/>
      <c r="AO657" s="271"/>
      <c r="AP657" s="271"/>
      <c r="AQ657" s="271"/>
      <c r="AR657" s="271"/>
      <c r="AS657" s="271"/>
      <c r="AT657" s="271"/>
      <c r="AU657" s="271"/>
      <c r="AV657" s="271"/>
      <c r="AW657" s="271"/>
      <c r="AX657" s="271"/>
      <c r="AY657" s="271"/>
    </row>
    <row r="658" spans="1:51" ht="15.75" customHeight="1" x14ac:dyDescent="0.25">
      <c r="A658" s="271"/>
      <c r="B658" s="534"/>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c r="AL658" s="271"/>
      <c r="AM658" s="271"/>
      <c r="AN658" s="271"/>
      <c r="AO658" s="271"/>
      <c r="AP658" s="271"/>
      <c r="AQ658" s="271"/>
      <c r="AR658" s="271"/>
      <c r="AS658" s="271"/>
      <c r="AT658" s="271"/>
      <c r="AU658" s="271"/>
      <c r="AV658" s="271"/>
      <c r="AW658" s="271"/>
      <c r="AX658" s="271"/>
      <c r="AY658" s="271"/>
    </row>
    <row r="659" spans="1:51" ht="15.75" customHeight="1" x14ac:dyDescent="0.25">
      <c r="A659" s="271"/>
      <c r="B659" s="534"/>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c r="AL659" s="271"/>
      <c r="AM659" s="271"/>
      <c r="AN659" s="271"/>
      <c r="AO659" s="271"/>
      <c r="AP659" s="271"/>
      <c r="AQ659" s="271"/>
      <c r="AR659" s="271"/>
      <c r="AS659" s="271"/>
      <c r="AT659" s="271"/>
      <c r="AU659" s="271"/>
      <c r="AV659" s="271"/>
      <c r="AW659" s="271"/>
      <c r="AX659" s="271"/>
      <c r="AY659" s="271"/>
    </row>
    <row r="660" spans="1:51" ht="15.75" customHeight="1" x14ac:dyDescent="0.25">
      <c r="A660" s="271"/>
      <c r="B660" s="534"/>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c r="AL660" s="271"/>
      <c r="AM660" s="271"/>
      <c r="AN660" s="271"/>
      <c r="AO660" s="271"/>
      <c r="AP660" s="271"/>
      <c r="AQ660" s="271"/>
      <c r="AR660" s="271"/>
      <c r="AS660" s="271"/>
      <c r="AT660" s="271"/>
      <c r="AU660" s="271"/>
      <c r="AV660" s="271"/>
      <c r="AW660" s="271"/>
      <c r="AX660" s="271"/>
      <c r="AY660" s="271"/>
    </row>
    <row r="661" spans="1:51" ht="15.75" customHeight="1" x14ac:dyDescent="0.25">
      <c r="A661" s="271"/>
      <c r="B661" s="534"/>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c r="AL661" s="271"/>
      <c r="AM661" s="271"/>
      <c r="AN661" s="271"/>
      <c r="AO661" s="271"/>
      <c r="AP661" s="271"/>
      <c r="AQ661" s="271"/>
      <c r="AR661" s="271"/>
      <c r="AS661" s="271"/>
      <c r="AT661" s="271"/>
      <c r="AU661" s="271"/>
      <c r="AV661" s="271"/>
      <c r="AW661" s="271"/>
      <c r="AX661" s="271"/>
      <c r="AY661" s="271"/>
    </row>
    <row r="662" spans="1:51" ht="15.75" customHeight="1" x14ac:dyDescent="0.25">
      <c r="A662" s="271"/>
      <c r="B662" s="534"/>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c r="AL662" s="271"/>
      <c r="AM662" s="271"/>
      <c r="AN662" s="271"/>
      <c r="AO662" s="271"/>
      <c r="AP662" s="271"/>
      <c r="AQ662" s="271"/>
      <c r="AR662" s="271"/>
      <c r="AS662" s="271"/>
      <c r="AT662" s="271"/>
      <c r="AU662" s="271"/>
      <c r="AV662" s="271"/>
      <c r="AW662" s="271"/>
      <c r="AX662" s="271"/>
      <c r="AY662" s="271"/>
    </row>
    <row r="663" spans="1:51" ht="15.75" customHeight="1" x14ac:dyDescent="0.25">
      <c r="A663" s="271"/>
      <c r="B663" s="534"/>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c r="AL663" s="271"/>
      <c r="AM663" s="271"/>
      <c r="AN663" s="271"/>
      <c r="AO663" s="271"/>
      <c r="AP663" s="271"/>
      <c r="AQ663" s="271"/>
      <c r="AR663" s="271"/>
      <c r="AS663" s="271"/>
      <c r="AT663" s="271"/>
      <c r="AU663" s="271"/>
      <c r="AV663" s="271"/>
      <c r="AW663" s="271"/>
      <c r="AX663" s="271"/>
      <c r="AY663" s="271"/>
    </row>
    <row r="664" spans="1:51" ht="15.75" customHeight="1" x14ac:dyDescent="0.25">
      <c r="A664" s="271"/>
      <c r="B664" s="534"/>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c r="AL664" s="271"/>
      <c r="AM664" s="271"/>
      <c r="AN664" s="271"/>
      <c r="AO664" s="271"/>
      <c r="AP664" s="271"/>
      <c r="AQ664" s="271"/>
      <c r="AR664" s="271"/>
      <c r="AS664" s="271"/>
      <c r="AT664" s="271"/>
      <c r="AU664" s="271"/>
      <c r="AV664" s="271"/>
      <c r="AW664" s="271"/>
      <c r="AX664" s="271"/>
      <c r="AY664" s="271"/>
    </row>
    <row r="665" spans="1:51" ht="15.75" customHeight="1" x14ac:dyDescent="0.25">
      <c r="A665" s="271"/>
      <c r="B665" s="534"/>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c r="AL665" s="271"/>
      <c r="AM665" s="271"/>
      <c r="AN665" s="271"/>
      <c r="AO665" s="271"/>
      <c r="AP665" s="271"/>
      <c r="AQ665" s="271"/>
      <c r="AR665" s="271"/>
      <c r="AS665" s="271"/>
      <c r="AT665" s="271"/>
      <c r="AU665" s="271"/>
      <c r="AV665" s="271"/>
      <c r="AW665" s="271"/>
      <c r="AX665" s="271"/>
      <c r="AY665" s="271"/>
    </row>
    <row r="666" spans="1:51" ht="15.75" customHeight="1" x14ac:dyDescent="0.25">
      <c r="A666" s="271"/>
      <c r="B666" s="534"/>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c r="AL666" s="271"/>
      <c r="AM666" s="271"/>
      <c r="AN666" s="271"/>
      <c r="AO666" s="271"/>
      <c r="AP666" s="271"/>
      <c r="AQ666" s="271"/>
      <c r="AR666" s="271"/>
      <c r="AS666" s="271"/>
      <c r="AT666" s="271"/>
      <c r="AU666" s="271"/>
      <c r="AV666" s="271"/>
      <c r="AW666" s="271"/>
      <c r="AX666" s="271"/>
      <c r="AY666" s="271"/>
    </row>
    <row r="667" spans="1:51" ht="15.75" customHeight="1" x14ac:dyDescent="0.25">
      <c r="A667" s="271"/>
      <c r="B667" s="534"/>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c r="AL667" s="271"/>
      <c r="AM667" s="271"/>
      <c r="AN667" s="271"/>
      <c r="AO667" s="271"/>
      <c r="AP667" s="271"/>
      <c r="AQ667" s="271"/>
      <c r="AR667" s="271"/>
      <c r="AS667" s="271"/>
      <c r="AT667" s="271"/>
      <c r="AU667" s="271"/>
      <c r="AV667" s="271"/>
      <c r="AW667" s="271"/>
      <c r="AX667" s="271"/>
      <c r="AY667" s="271"/>
    </row>
    <row r="668" spans="1:51" ht="15.75" customHeight="1" x14ac:dyDescent="0.25">
      <c r="A668" s="271"/>
      <c r="B668" s="534"/>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c r="AL668" s="271"/>
      <c r="AM668" s="271"/>
      <c r="AN668" s="271"/>
      <c r="AO668" s="271"/>
      <c r="AP668" s="271"/>
      <c r="AQ668" s="271"/>
      <c r="AR668" s="271"/>
      <c r="AS668" s="271"/>
      <c r="AT668" s="271"/>
      <c r="AU668" s="271"/>
      <c r="AV668" s="271"/>
      <c r="AW668" s="271"/>
      <c r="AX668" s="271"/>
      <c r="AY668" s="271"/>
    </row>
    <row r="669" spans="1:51" ht="15.75" customHeight="1" x14ac:dyDescent="0.25">
      <c r="A669" s="271"/>
      <c r="B669" s="534"/>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c r="AL669" s="271"/>
      <c r="AM669" s="271"/>
      <c r="AN669" s="271"/>
      <c r="AO669" s="271"/>
      <c r="AP669" s="271"/>
      <c r="AQ669" s="271"/>
      <c r="AR669" s="271"/>
      <c r="AS669" s="271"/>
      <c r="AT669" s="271"/>
      <c r="AU669" s="271"/>
      <c r="AV669" s="271"/>
      <c r="AW669" s="271"/>
      <c r="AX669" s="271"/>
      <c r="AY669" s="271"/>
    </row>
    <row r="670" spans="1:51" ht="15.75" customHeight="1" x14ac:dyDescent="0.25">
      <c r="A670" s="271"/>
      <c r="B670" s="534"/>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c r="AL670" s="271"/>
      <c r="AM670" s="271"/>
      <c r="AN670" s="271"/>
      <c r="AO670" s="271"/>
      <c r="AP670" s="271"/>
      <c r="AQ670" s="271"/>
      <c r="AR670" s="271"/>
      <c r="AS670" s="271"/>
      <c r="AT670" s="271"/>
      <c r="AU670" s="271"/>
      <c r="AV670" s="271"/>
      <c r="AW670" s="271"/>
      <c r="AX670" s="271"/>
      <c r="AY670" s="271"/>
    </row>
    <row r="671" spans="1:51" ht="15.75" customHeight="1" x14ac:dyDescent="0.25">
      <c r="A671" s="271"/>
      <c r="B671" s="534"/>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c r="AL671" s="271"/>
      <c r="AM671" s="271"/>
      <c r="AN671" s="271"/>
      <c r="AO671" s="271"/>
      <c r="AP671" s="271"/>
      <c r="AQ671" s="271"/>
      <c r="AR671" s="271"/>
      <c r="AS671" s="271"/>
      <c r="AT671" s="271"/>
      <c r="AU671" s="271"/>
      <c r="AV671" s="271"/>
      <c r="AW671" s="271"/>
      <c r="AX671" s="271"/>
      <c r="AY671" s="271"/>
    </row>
    <row r="672" spans="1:51" ht="15.75" customHeight="1" x14ac:dyDescent="0.25">
      <c r="A672" s="271"/>
      <c r="B672" s="534"/>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c r="AL672" s="271"/>
      <c r="AM672" s="271"/>
      <c r="AN672" s="271"/>
      <c r="AO672" s="271"/>
      <c r="AP672" s="271"/>
      <c r="AQ672" s="271"/>
      <c r="AR672" s="271"/>
      <c r="AS672" s="271"/>
      <c r="AT672" s="271"/>
      <c r="AU672" s="271"/>
      <c r="AV672" s="271"/>
      <c r="AW672" s="271"/>
      <c r="AX672" s="271"/>
      <c r="AY672" s="271"/>
    </row>
    <row r="673" spans="1:51" ht="15.75" customHeight="1" x14ac:dyDescent="0.25">
      <c r="A673" s="271"/>
      <c r="B673" s="534"/>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c r="AL673" s="271"/>
      <c r="AM673" s="271"/>
      <c r="AN673" s="271"/>
      <c r="AO673" s="271"/>
      <c r="AP673" s="271"/>
      <c r="AQ673" s="271"/>
      <c r="AR673" s="271"/>
      <c r="AS673" s="271"/>
      <c r="AT673" s="271"/>
      <c r="AU673" s="271"/>
      <c r="AV673" s="271"/>
      <c r="AW673" s="271"/>
      <c r="AX673" s="271"/>
      <c r="AY673" s="271"/>
    </row>
    <row r="674" spans="1:51" ht="15.75" customHeight="1" x14ac:dyDescent="0.25">
      <c r="A674" s="271"/>
      <c r="B674" s="534"/>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c r="AL674" s="271"/>
      <c r="AM674" s="271"/>
      <c r="AN674" s="271"/>
      <c r="AO674" s="271"/>
      <c r="AP674" s="271"/>
      <c r="AQ674" s="271"/>
      <c r="AR674" s="271"/>
      <c r="AS674" s="271"/>
      <c r="AT674" s="271"/>
      <c r="AU674" s="271"/>
      <c r="AV674" s="271"/>
      <c r="AW674" s="271"/>
      <c r="AX674" s="271"/>
      <c r="AY674" s="271"/>
    </row>
    <row r="675" spans="1:51" ht="15.75" customHeight="1" x14ac:dyDescent="0.25">
      <c r="A675" s="271"/>
      <c r="B675" s="534"/>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c r="AL675" s="271"/>
      <c r="AM675" s="271"/>
      <c r="AN675" s="271"/>
      <c r="AO675" s="271"/>
      <c r="AP675" s="271"/>
      <c r="AQ675" s="271"/>
      <c r="AR675" s="271"/>
      <c r="AS675" s="271"/>
      <c r="AT675" s="271"/>
      <c r="AU675" s="271"/>
      <c r="AV675" s="271"/>
      <c r="AW675" s="271"/>
      <c r="AX675" s="271"/>
      <c r="AY675" s="271"/>
    </row>
    <row r="676" spans="1:51" ht="15.75" customHeight="1" x14ac:dyDescent="0.25">
      <c r="A676" s="271"/>
      <c r="B676" s="534"/>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c r="AL676" s="271"/>
      <c r="AM676" s="271"/>
      <c r="AN676" s="271"/>
      <c r="AO676" s="271"/>
      <c r="AP676" s="271"/>
      <c r="AQ676" s="271"/>
      <c r="AR676" s="271"/>
      <c r="AS676" s="271"/>
      <c r="AT676" s="271"/>
      <c r="AU676" s="271"/>
      <c r="AV676" s="271"/>
      <c r="AW676" s="271"/>
      <c r="AX676" s="271"/>
      <c r="AY676" s="271"/>
    </row>
    <row r="677" spans="1:51" ht="15.75" customHeight="1" x14ac:dyDescent="0.25">
      <c r="A677" s="271"/>
      <c r="B677" s="534"/>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c r="AL677" s="271"/>
      <c r="AM677" s="271"/>
      <c r="AN677" s="271"/>
      <c r="AO677" s="271"/>
      <c r="AP677" s="271"/>
      <c r="AQ677" s="271"/>
      <c r="AR677" s="271"/>
      <c r="AS677" s="271"/>
      <c r="AT677" s="271"/>
      <c r="AU677" s="271"/>
      <c r="AV677" s="271"/>
      <c r="AW677" s="271"/>
      <c r="AX677" s="271"/>
      <c r="AY677" s="271"/>
    </row>
    <row r="678" spans="1:51" ht="15.75" customHeight="1" x14ac:dyDescent="0.25">
      <c r="A678" s="271"/>
      <c r="B678" s="534"/>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c r="AL678" s="271"/>
      <c r="AM678" s="271"/>
      <c r="AN678" s="271"/>
      <c r="AO678" s="271"/>
      <c r="AP678" s="271"/>
      <c r="AQ678" s="271"/>
      <c r="AR678" s="271"/>
      <c r="AS678" s="271"/>
      <c r="AT678" s="271"/>
      <c r="AU678" s="271"/>
      <c r="AV678" s="271"/>
      <c r="AW678" s="271"/>
      <c r="AX678" s="271"/>
      <c r="AY678" s="271"/>
    </row>
    <row r="679" spans="1:51" ht="15.75" customHeight="1" x14ac:dyDescent="0.25">
      <c r="A679" s="271"/>
      <c r="B679" s="534"/>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c r="AL679" s="271"/>
      <c r="AM679" s="271"/>
      <c r="AN679" s="271"/>
      <c r="AO679" s="271"/>
      <c r="AP679" s="271"/>
      <c r="AQ679" s="271"/>
      <c r="AR679" s="271"/>
      <c r="AS679" s="271"/>
      <c r="AT679" s="271"/>
      <c r="AU679" s="271"/>
      <c r="AV679" s="271"/>
      <c r="AW679" s="271"/>
      <c r="AX679" s="271"/>
      <c r="AY679" s="271"/>
    </row>
    <row r="680" spans="1:51" ht="15.75" customHeight="1" x14ac:dyDescent="0.25">
      <c r="A680" s="271"/>
      <c r="B680" s="534"/>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c r="AL680" s="271"/>
      <c r="AM680" s="271"/>
      <c r="AN680" s="271"/>
      <c r="AO680" s="271"/>
      <c r="AP680" s="271"/>
      <c r="AQ680" s="271"/>
      <c r="AR680" s="271"/>
      <c r="AS680" s="271"/>
      <c r="AT680" s="271"/>
      <c r="AU680" s="271"/>
      <c r="AV680" s="271"/>
      <c r="AW680" s="271"/>
      <c r="AX680" s="271"/>
      <c r="AY680" s="271"/>
    </row>
    <row r="681" spans="1:51" ht="15.75" customHeight="1" x14ac:dyDescent="0.25">
      <c r="A681" s="271"/>
      <c r="B681" s="534"/>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c r="AL681" s="271"/>
      <c r="AM681" s="271"/>
      <c r="AN681" s="271"/>
      <c r="AO681" s="271"/>
      <c r="AP681" s="271"/>
      <c r="AQ681" s="271"/>
      <c r="AR681" s="271"/>
      <c r="AS681" s="271"/>
      <c r="AT681" s="271"/>
      <c r="AU681" s="271"/>
      <c r="AV681" s="271"/>
      <c r="AW681" s="271"/>
      <c r="AX681" s="271"/>
      <c r="AY681" s="271"/>
    </row>
    <row r="682" spans="1:51" ht="15.75" customHeight="1" x14ac:dyDescent="0.25">
      <c r="A682" s="271"/>
      <c r="B682" s="534"/>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c r="AL682" s="271"/>
      <c r="AM682" s="271"/>
      <c r="AN682" s="271"/>
      <c r="AO682" s="271"/>
      <c r="AP682" s="271"/>
      <c r="AQ682" s="271"/>
      <c r="AR682" s="271"/>
      <c r="AS682" s="271"/>
      <c r="AT682" s="271"/>
      <c r="AU682" s="271"/>
      <c r="AV682" s="271"/>
      <c r="AW682" s="271"/>
      <c r="AX682" s="271"/>
      <c r="AY682" s="271"/>
    </row>
    <row r="683" spans="1:51" ht="15.75" customHeight="1" x14ac:dyDescent="0.25">
      <c r="A683" s="271"/>
      <c r="B683" s="534"/>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c r="AL683" s="271"/>
      <c r="AM683" s="271"/>
      <c r="AN683" s="271"/>
      <c r="AO683" s="271"/>
      <c r="AP683" s="271"/>
      <c r="AQ683" s="271"/>
      <c r="AR683" s="271"/>
      <c r="AS683" s="271"/>
      <c r="AT683" s="271"/>
      <c r="AU683" s="271"/>
      <c r="AV683" s="271"/>
      <c r="AW683" s="271"/>
      <c r="AX683" s="271"/>
      <c r="AY683" s="271"/>
    </row>
    <row r="684" spans="1:51" ht="15.75" customHeight="1" x14ac:dyDescent="0.25">
      <c r="A684" s="271"/>
      <c r="B684" s="534"/>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c r="AL684" s="271"/>
      <c r="AM684" s="271"/>
      <c r="AN684" s="271"/>
      <c r="AO684" s="271"/>
      <c r="AP684" s="271"/>
      <c r="AQ684" s="271"/>
      <c r="AR684" s="271"/>
      <c r="AS684" s="271"/>
      <c r="AT684" s="271"/>
      <c r="AU684" s="271"/>
      <c r="AV684" s="271"/>
      <c r="AW684" s="271"/>
      <c r="AX684" s="271"/>
      <c r="AY684" s="271"/>
    </row>
    <row r="685" spans="1:51" ht="15.75" customHeight="1" x14ac:dyDescent="0.25">
      <c r="A685" s="271"/>
      <c r="B685" s="534"/>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c r="AL685" s="271"/>
      <c r="AM685" s="271"/>
      <c r="AN685" s="271"/>
      <c r="AO685" s="271"/>
      <c r="AP685" s="271"/>
      <c r="AQ685" s="271"/>
      <c r="AR685" s="271"/>
      <c r="AS685" s="271"/>
      <c r="AT685" s="271"/>
      <c r="AU685" s="271"/>
      <c r="AV685" s="271"/>
      <c r="AW685" s="271"/>
      <c r="AX685" s="271"/>
      <c r="AY685" s="271"/>
    </row>
    <row r="686" spans="1:51" ht="15.75" customHeight="1" x14ac:dyDescent="0.25">
      <c r="A686" s="271"/>
      <c r="B686" s="534"/>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c r="AL686" s="271"/>
      <c r="AM686" s="271"/>
      <c r="AN686" s="271"/>
      <c r="AO686" s="271"/>
      <c r="AP686" s="271"/>
      <c r="AQ686" s="271"/>
      <c r="AR686" s="271"/>
      <c r="AS686" s="271"/>
      <c r="AT686" s="271"/>
      <c r="AU686" s="271"/>
      <c r="AV686" s="271"/>
      <c r="AW686" s="271"/>
      <c r="AX686" s="271"/>
      <c r="AY686" s="271"/>
    </row>
    <row r="687" spans="1:51" ht="15.75" customHeight="1" x14ac:dyDescent="0.25">
      <c r="A687" s="271"/>
      <c r="B687" s="534"/>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c r="AL687" s="271"/>
      <c r="AM687" s="271"/>
      <c r="AN687" s="271"/>
      <c r="AO687" s="271"/>
      <c r="AP687" s="271"/>
      <c r="AQ687" s="271"/>
      <c r="AR687" s="271"/>
      <c r="AS687" s="271"/>
      <c r="AT687" s="271"/>
      <c r="AU687" s="271"/>
      <c r="AV687" s="271"/>
      <c r="AW687" s="271"/>
      <c r="AX687" s="271"/>
      <c r="AY687" s="271"/>
    </row>
    <row r="688" spans="1:51" ht="15.75" customHeight="1" x14ac:dyDescent="0.25">
      <c r="A688" s="271"/>
      <c r="B688" s="534"/>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c r="AL688" s="271"/>
      <c r="AM688" s="271"/>
      <c r="AN688" s="271"/>
      <c r="AO688" s="271"/>
      <c r="AP688" s="271"/>
      <c r="AQ688" s="271"/>
      <c r="AR688" s="271"/>
      <c r="AS688" s="271"/>
      <c r="AT688" s="271"/>
      <c r="AU688" s="271"/>
      <c r="AV688" s="271"/>
      <c r="AW688" s="271"/>
      <c r="AX688" s="271"/>
      <c r="AY688" s="271"/>
    </row>
    <row r="689" spans="1:51" ht="15.75" customHeight="1" x14ac:dyDescent="0.25">
      <c r="A689" s="271"/>
      <c r="B689" s="534"/>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c r="AL689" s="271"/>
      <c r="AM689" s="271"/>
      <c r="AN689" s="271"/>
      <c r="AO689" s="271"/>
      <c r="AP689" s="271"/>
      <c r="AQ689" s="271"/>
      <c r="AR689" s="271"/>
      <c r="AS689" s="271"/>
      <c r="AT689" s="271"/>
      <c r="AU689" s="271"/>
      <c r="AV689" s="271"/>
      <c r="AW689" s="271"/>
      <c r="AX689" s="271"/>
      <c r="AY689" s="271"/>
    </row>
    <row r="690" spans="1:51" ht="15.75" customHeight="1" x14ac:dyDescent="0.25">
      <c r="A690" s="271"/>
      <c r="B690" s="534"/>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c r="AL690" s="271"/>
      <c r="AM690" s="271"/>
      <c r="AN690" s="271"/>
      <c r="AO690" s="271"/>
      <c r="AP690" s="271"/>
      <c r="AQ690" s="271"/>
      <c r="AR690" s="271"/>
      <c r="AS690" s="271"/>
      <c r="AT690" s="271"/>
      <c r="AU690" s="271"/>
      <c r="AV690" s="271"/>
      <c r="AW690" s="271"/>
      <c r="AX690" s="271"/>
      <c r="AY690" s="271"/>
    </row>
    <row r="691" spans="1:51" ht="15.75" customHeight="1" x14ac:dyDescent="0.25">
      <c r="A691" s="271"/>
      <c r="B691" s="534"/>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c r="AL691" s="271"/>
      <c r="AM691" s="271"/>
      <c r="AN691" s="271"/>
      <c r="AO691" s="271"/>
      <c r="AP691" s="271"/>
      <c r="AQ691" s="271"/>
      <c r="AR691" s="271"/>
      <c r="AS691" s="271"/>
      <c r="AT691" s="271"/>
      <c r="AU691" s="271"/>
      <c r="AV691" s="271"/>
      <c r="AW691" s="271"/>
      <c r="AX691" s="271"/>
      <c r="AY691" s="271"/>
    </row>
    <row r="692" spans="1:51" ht="15.75" customHeight="1" x14ac:dyDescent="0.25">
      <c r="A692" s="271"/>
      <c r="B692" s="534"/>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c r="AL692" s="271"/>
      <c r="AM692" s="271"/>
      <c r="AN692" s="271"/>
      <c r="AO692" s="271"/>
      <c r="AP692" s="271"/>
      <c r="AQ692" s="271"/>
      <c r="AR692" s="271"/>
      <c r="AS692" s="271"/>
      <c r="AT692" s="271"/>
      <c r="AU692" s="271"/>
      <c r="AV692" s="271"/>
      <c r="AW692" s="271"/>
      <c r="AX692" s="271"/>
      <c r="AY692" s="271"/>
    </row>
    <row r="693" spans="1:51" ht="15.75" customHeight="1" x14ac:dyDescent="0.25">
      <c r="A693" s="271"/>
      <c r="B693" s="534"/>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c r="AL693" s="271"/>
      <c r="AM693" s="271"/>
      <c r="AN693" s="271"/>
      <c r="AO693" s="271"/>
      <c r="AP693" s="271"/>
      <c r="AQ693" s="271"/>
      <c r="AR693" s="271"/>
      <c r="AS693" s="271"/>
      <c r="AT693" s="271"/>
      <c r="AU693" s="271"/>
      <c r="AV693" s="271"/>
      <c r="AW693" s="271"/>
      <c r="AX693" s="271"/>
      <c r="AY693" s="271"/>
    </row>
    <row r="694" spans="1:51" ht="15.75" customHeight="1" x14ac:dyDescent="0.25">
      <c r="A694" s="271"/>
      <c r="B694" s="534"/>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c r="AL694" s="271"/>
      <c r="AM694" s="271"/>
      <c r="AN694" s="271"/>
      <c r="AO694" s="271"/>
      <c r="AP694" s="271"/>
      <c r="AQ694" s="271"/>
      <c r="AR694" s="271"/>
      <c r="AS694" s="271"/>
      <c r="AT694" s="271"/>
      <c r="AU694" s="271"/>
      <c r="AV694" s="271"/>
      <c r="AW694" s="271"/>
      <c r="AX694" s="271"/>
      <c r="AY694" s="271"/>
    </row>
    <row r="695" spans="1:51" ht="15.75" customHeight="1" x14ac:dyDescent="0.25">
      <c r="A695" s="271"/>
      <c r="B695" s="534"/>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c r="AL695" s="271"/>
      <c r="AM695" s="271"/>
      <c r="AN695" s="271"/>
      <c r="AO695" s="271"/>
      <c r="AP695" s="271"/>
      <c r="AQ695" s="271"/>
      <c r="AR695" s="271"/>
      <c r="AS695" s="271"/>
      <c r="AT695" s="271"/>
      <c r="AU695" s="271"/>
      <c r="AV695" s="271"/>
      <c r="AW695" s="271"/>
      <c r="AX695" s="271"/>
      <c r="AY695" s="271"/>
    </row>
    <row r="696" spans="1:51" ht="15.75" customHeight="1" x14ac:dyDescent="0.25">
      <c r="A696" s="271"/>
      <c r="B696" s="534"/>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c r="AL696" s="271"/>
      <c r="AM696" s="271"/>
      <c r="AN696" s="271"/>
      <c r="AO696" s="271"/>
      <c r="AP696" s="271"/>
      <c r="AQ696" s="271"/>
      <c r="AR696" s="271"/>
      <c r="AS696" s="271"/>
      <c r="AT696" s="271"/>
      <c r="AU696" s="271"/>
      <c r="AV696" s="271"/>
      <c r="AW696" s="271"/>
      <c r="AX696" s="271"/>
      <c r="AY696" s="271"/>
    </row>
    <row r="697" spans="1:51" ht="15.75" customHeight="1" x14ac:dyDescent="0.25">
      <c r="A697" s="271"/>
      <c r="B697" s="534"/>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c r="AL697" s="271"/>
      <c r="AM697" s="271"/>
      <c r="AN697" s="271"/>
      <c r="AO697" s="271"/>
      <c r="AP697" s="271"/>
      <c r="AQ697" s="271"/>
      <c r="AR697" s="271"/>
      <c r="AS697" s="271"/>
      <c r="AT697" s="271"/>
      <c r="AU697" s="271"/>
      <c r="AV697" s="271"/>
      <c r="AW697" s="271"/>
      <c r="AX697" s="271"/>
      <c r="AY697" s="271"/>
    </row>
    <row r="698" spans="1:51" ht="15.75" customHeight="1" x14ac:dyDescent="0.25">
      <c r="A698" s="271"/>
      <c r="B698" s="534"/>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c r="AL698" s="271"/>
      <c r="AM698" s="271"/>
      <c r="AN698" s="271"/>
      <c r="AO698" s="271"/>
      <c r="AP698" s="271"/>
      <c r="AQ698" s="271"/>
      <c r="AR698" s="271"/>
      <c r="AS698" s="271"/>
      <c r="AT698" s="271"/>
      <c r="AU698" s="271"/>
      <c r="AV698" s="271"/>
      <c r="AW698" s="271"/>
      <c r="AX698" s="271"/>
      <c r="AY698" s="271"/>
    </row>
    <row r="699" spans="1:51" ht="15.75" customHeight="1" x14ac:dyDescent="0.25">
      <c r="A699" s="271"/>
      <c r="B699" s="534"/>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c r="AL699" s="271"/>
      <c r="AM699" s="271"/>
      <c r="AN699" s="271"/>
      <c r="AO699" s="271"/>
      <c r="AP699" s="271"/>
      <c r="AQ699" s="271"/>
      <c r="AR699" s="271"/>
      <c r="AS699" s="271"/>
      <c r="AT699" s="271"/>
      <c r="AU699" s="271"/>
      <c r="AV699" s="271"/>
      <c r="AW699" s="271"/>
      <c r="AX699" s="271"/>
      <c r="AY699" s="271"/>
    </row>
    <row r="700" spans="1:51" ht="15.75" customHeight="1" x14ac:dyDescent="0.25">
      <c r="A700" s="271"/>
      <c r="B700" s="534"/>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c r="AL700" s="271"/>
      <c r="AM700" s="271"/>
      <c r="AN700" s="271"/>
      <c r="AO700" s="271"/>
      <c r="AP700" s="271"/>
      <c r="AQ700" s="271"/>
      <c r="AR700" s="271"/>
      <c r="AS700" s="271"/>
      <c r="AT700" s="271"/>
      <c r="AU700" s="271"/>
      <c r="AV700" s="271"/>
      <c r="AW700" s="271"/>
      <c r="AX700" s="271"/>
      <c r="AY700" s="271"/>
    </row>
    <row r="701" spans="1:51" ht="15.75" customHeight="1" x14ac:dyDescent="0.25">
      <c r="A701" s="271"/>
      <c r="B701" s="534"/>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c r="AL701" s="271"/>
      <c r="AM701" s="271"/>
      <c r="AN701" s="271"/>
      <c r="AO701" s="271"/>
      <c r="AP701" s="271"/>
      <c r="AQ701" s="271"/>
      <c r="AR701" s="271"/>
      <c r="AS701" s="271"/>
      <c r="AT701" s="271"/>
      <c r="AU701" s="271"/>
      <c r="AV701" s="271"/>
      <c r="AW701" s="271"/>
      <c r="AX701" s="271"/>
      <c r="AY701" s="271"/>
    </row>
    <row r="702" spans="1:51" ht="15.75" customHeight="1" x14ac:dyDescent="0.25">
      <c r="A702" s="271"/>
      <c r="B702" s="534"/>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c r="AL702" s="271"/>
      <c r="AM702" s="271"/>
      <c r="AN702" s="271"/>
      <c r="AO702" s="271"/>
      <c r="AP702" s="271"/>
      <c r="AQ702" s="271"/>
      <c r="AR702" s="271"/>
      <c r="AS702" s="271"/>
      <c r="AT702" s="271"/>
      <c r="AU702" s="271"/>
      <c r="AV702" s="271"/>
      <c r="AW702" s="271"/>
      <c r="AX702" s="271"/>
      <c r="AY702" s="271"/>
    </row>
    <row r="703" spans="1:51" ht="15.75" customHeight="1" x14ac:dyDescent="0.25">
      <c r="A703" s="271"/>
      <c r="B703" s="534"/>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c r="AL703" s="271"/>
      <c r="AM703" s="271"/>
      <c r="AN703" s="271"/>
      <c r="AO703" s="271"/>
      <c r="AP703" s="271"/>
      <c r="AQ703" s="271"/>
      <c r="AR703" s="271"/>
      <c r="AS703" s="271"/>
      <c r="AT703" s="271"/>
      <c r="AU703" s="271"/>
      <c r="AV703" s="271"/>
      <c r="AW703" s="271"/>
      <c r="AX703" s="271"/>
      <c r="AY703" s="271"/>
    </row>
    <row r="704" spans="1:51" ht="15.75" customHeight="1" x14ac:dyDescent="0.25">
      <c r="A704" s="271"/>
      <c r="B704" s="534"/>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c r="AL704" s="271"/>
      <c r="AM704" s="271"/>
      <c r="AN704" s="271"/>
      <c r="AO704" s="271"/>
      <c r="AP704" s="271"/>
      <c r="AQ704" s="271"/>
      <c r="AR704" s="271"/>
      <c r="AS704" s="271"/>
      <c r="AT704" s="271"/>
      <c r="AU704" s="271"/>
      <c r="AV704" s="271"/>
      <c r="AW704" s="271"/>
      <c r="AX704" s="271"/>
      <c r="AY704" s="271"/>
    </row>
    <row r="705" spans="1:51" ht="15.75" customHeight="1" x14ac:dyDescent="0.25">
      <c r="A705" s="271"/>
      <c r="B705" s="534"/>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c r="AL705" s="271"/>
      <c r="AM705" s="271"/>
      <c r="AN705" s="271"/>
      <c r="AO705" s="271"/>
      <c r="AP705" s="271"/>
      <c r="AQ705" s="271"/>
      <c r="AR705" s="271"/>
      <c r="AS705" s="271"/>
      <c r="AT705" s="271"/>
      <c r="AU705" s="271"/>
      <c r="AV705" s="271"/>
      <c r="AW705" s="271"/>
      <c r="AX705" s="271"/>
      <c r="AY705" s="271"/>
    </row>
    <row r="706" spans="1:51" ht="15.75" customHeight="1" x14ac:dyDescent="0.25">
      <c r="A706" s="271"/>
      <c r="B706" s="534"/>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c r="AL706" s="271"/>
      <c r="AM706" s="271"/>
      <c r="AN706" s="271"/>
      <c r="AO706" s="271"/>
      <c r="AP706" s="271"/>
      <c r="AQ706" s="271"/>
      <c r="AR706" s="271"/>
      <c r="AS706" s="271"/>
      <c r="AT706" s="271"/>
      <c r="AU706" s="271"/>
      <c r="AV706" s="271"/>
      <c r="AW706" s="271"/>
      <c r="AX706" s="271"/>
      <c r="AY706" s="271"/>
    </row>
    <row r="707" spans="1:51" ht="15.75" customHeight="1" x14ac:dyDescent="0.25">
      <c r="A707" s="271"/>
      <c r="B707" s="534"/>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c r="AL707" s="271"/>
      <c r="AM707" s="271"/>
      <c r="AN707" s="271"/>
      <c r="AO707" s="271"/>
      <c r="AP707" s="271"/>
      <c r="AQ707" s="271"/>
      <c r="AR707" s="271"/>
      <c r="AS707" s="271"/>
      <c r="AT707" s="271"/>
      <c r="AU707" s="271"/>
      <c r="AV707" s="271"/>
      <c r="AW707" s="271"/>
      <c r="AX707" s="271"/>
      <c r="AY707" s="271"/>
    </row>
    <row r="708" spans="1:51" ht="15.75" customHeight="1" x14ac:dyDescent="0.25">
      <c r="A708" s="271"/>
      <c r="B708" s="534"/>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c r="AL708" s="271"/>
      <c r="AM708" s="271"/>
      <c r="AN708" s="271"/>
      <c r="AO708" s="271"/>
      <c r="AP708" s="271"/>
      <c r="AQ708" s="271"/>
      <c r="AR708" s="271"/>
      <c r="AS708" s="271"/>
      <c r="AT708" s="271"/>
      <c r="AU708" s="271"/>
      <c r="AV708" s="271"/>
      <c r="AW708" s="271"/>
      <c r="AX708" s="271"/>
      <c r="AY708" s="271"/>
    </row>
    <row r="709" spans="1:51" ht="15.75" customHeight="1" x14ac:dyDescent="0.25">
      <c r="A709" s="271"/>
      <c r="B709" s="534"/>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c r="AL709" s="271"/>
      <c r="AM709" s="271"/>
      <c r="AN709" s="271"/>
      <c r="AO709" s="271"/>
      <c r="AP709" s="271"/>
      <c r="AQ709" s="271"/>
      <c r="AR709" s="271"/>
      <c r="AS709" s="271"/>
      <c r="AT709" s="271"/>
      <c r="AU709" s="271"/>
      <c r="AV709" s="271"/>
      <c r="AW709" s="271"/>
      <c r="AX709" s="271"/>
      <c r="AY709" s="271"/>
    </row>
    <row r="710" spans="1:51" ht="15.75" customHeight="1" x14ac:dyDescent="0.25">
      <c r="A710" s="271"/>
      <c r="B710" s="534"/>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c r="AL710" s="271"/>
      <c r="AM710" s="271"/>
      <c r="AN710" s="271"/>
      <c r="AO710" s="271"/>
      <c r="AP710" s="271"/>
      <c r="AQ710" s="271"/>
      <c r="AR710" s="271"/>
      <c r="AS710" s="271"/>
      <c r="AT710" s="271"/>
      <c r="AU710" s="271"/>
      <c r="AV710" s="271"/>
      <c r="AW710" s="271"/>
      <c r="AX710" s="271"/>
      <c r="AY710" s="271"/>
    </row>
    <row r="711" spans="1:51" ht="15.75" customHeight="1" x14ac:dyDescent="0.25">
      <c r="A711" s="271"/>
      <c r="B711" s="534"/>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c r="AL711" s="271"/>
      <c r="AM711" s="271"/>
      <c r="AN711" s="271"/>
      <c r="AO711" s="271"/>
      <c r="AP711" s="271"/>
      <c r="AQ711" s="271"/>
      <c r="AR711" s="271"/>
      <c r="AS711" s="271"/>
      <c r="AT711" s="271"/>
      <c r="AU711" s="271"/>
      <c r="AV711" s="271"/>
      <c r="AW711" s="271"/>
      <c r="AX711" s="271"/>
      <c r="AY711" s="271"/>
    </row>
    <row r="712" spans="1:51" ht="15.75" customHeight="1" x14ac:dyDescent="0.25">
      <c r="A712" s="271"/>
      <c r="B712" s="534"/>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c r="AL712" s="271"/>
      <c r="AM712" s="271"/>
      <c r="AN712" s="271"/>
      <c r="AO712" s="271"/>
      <c r="AP712" s="271"/>
      <c r="AQ712" s="271"/>
      <c r="AR712" s="271"/>
      <c r="AS712" s="271"/>
      <c r="AT712" s="271"/>
      <c r="AU712" s="271"/>
      <c r="AV712" s="271"/>
      <c r="AW712" s="271"/>
      <c r="AX712" s="271"/>
      <c r="AY712" s="271"/>
    </row>
    <row r="713" spans="1:51" ht="15.75" customHeight="1" x14ac:dyDescent="0.25">
      <c r="A713" s="271"/>
      <c r="B713" s="534"/>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c r="AL713" s="271"/>
      <c r="AM713" s="271"/>
      <c r="AN713" s="271"/>
      <c r="AO713" s="271"/>
      <c r="AP713" s="271"/>
      <c r="AQ713" s="271"/>
      <c r="AR713" s="271"/>
      <c r="AS713" s="271"/>
      <c r="AT713" s="271"/>
      <c r="AU713" s="271"/>
      <c r="AV713" s="271"/>
      <c r="AW713" s="271"/>
      <c r="AX713" s="271"/>
      <c r="AY713" s="271"/>
    </row>
    <row r="714" spans="1:51" ht="15.75" customHeight="1" x14ac:dyDescent="0.25">
      <c r="A714" s="271"/>
      <c r="B714" s="534"/>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c r="AL714" s="271"/>
      <c r="AM714" s="271"/>
      <c r="AN714" s="271"/>
      <c r="AO714" s="271"/>
      <c r="AP714" s="271"/>
      <c r="AQ714" s="271"/>
      <c r="AR714" s="271"/>
      <c r="AS714" s="271"/>
      <c r="AT714" s="271"/>
      <c r="AU714" s="271"/>
      <c r="AV714" s="271"/>
      <c r="AW714" s="271"/>
      <c r="AX714" s="271"/>
      <c r="AY714" s="271"/>
    </row>
    <row r="715" spans="1:51" ht="15.75" customHeight="1" x14ac:dyDescent="0.25">
      <c r="A715" s="271"/>
      <c r="B715" s="534"/>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c r="AL715" s="271"/>
      <c r="AM715" s="271"/>
      <c r="AN715" s="271"/>
      <c r="AO715" s="271"/>
      <c r="AP715" s="271"/>
      <c r="AQ715" s="271"/>
      <c r="AR715" s="271"/>
      <c r="AS715" s="271"/>
      <c r="AT715" s="271"/>
      <c r="AU715" s="271"/>
      <c r="AV715" s="271"/>
      <c r="AW715" s="271"/>
      <c r="AX715" s="271"/>
      <c r="AY715" s="271"/>
    </row>
    <row r="716" spans="1:51" ht="15.75" customHeight="1" x14ac:dyDescent="0.25">
      <c r="A716" s="271"/>
      <c r="B716" s="534"/>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c r="AL716" s="271"/>
      <c r="AM716" s="271"/>
      <c r="AN716" s="271"/>
      <c r="AO716" s="271"/>
      <c r="AP716" s="271"/>
      <c r="AQ716" s="271"/>
      <c r="AR716" s="271"/>
      <c r="AS716" s="271"/>
      <c r="AT716" s="271"/>
      <c r="AU716" s="271"/>
      <c r="AV716" s="271"/>
      <c r="AW716" s="271"/>
      <c r="AX716" s="271"/>
      <c r="AY716" s="271"/>
    </row>
    <row r="717" spans="1:51" ht="15.75" customHeight="1" x14ac:dyDescent="0.25">
      <c r="A717" s="271"/>
      <c r="B717" s="534"/>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c r="AL717" s="271"/>
      <c r="AM717" s="271"/>
      <c r="AN717" s="271"/>
      <c r="AO717" s="271"/>
      <c r="AP717" s="271"/>
      <c r="AQ717" s="271"/>
      <c r="AR717" s="271"/>
      <c r="AS717" s="271"/>
      <c r="AT717" s="271"/>
      <c r="AU717" s="271"/>
      <c r="AV717" s="271"/>
      <c r="AW717" s="271"/>
      <c r="AX717" s="271"/>
      <c r="AY717" s="271"/>
    </row>
    <row r="718" spans="1:51" ht="15.75" customHeight="1" x14ac:dyDescent="0.25">
      <c r="A718" s="271"/>
      <c r="B718" s="534"/>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c r="AL718" s="271"/>
      <c r="AM718" s="271"/>
      <c r="AN718" s="271"/>
      <c r="AO718" s="271"/>
      <c r="AP718" s="271"/>
      <c r="AQ718" s="271"/>
      <c r="AR718" s="271"/>
      <c r="AS718" s="271"/>
      <c r="AT718" s="271"/>
      <c r="AU718" s="271"/>
      <c r="AV718" s="271"/>
      <c r="AW718" s="271"/>
      <c r="AX718" s="271"/>
      <c r="AY718" s="271"/>
    </row>
    <row r="719" spans="1:51" ht="15.75" customHeight="1" x14ac:dyDescent="0.25">
      <c r="A719" s="271"/>
      <c r="B719" s="534"/>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c r="AL719" s="271"/>
      <c r="AM719" s="271"/>
      <c r="AN719" s="271"/>
      <c r="AO719" s="271"/>
      <c r="AP719" s="271"/>
      <c r="AQ719" s="271"/>
      <c r="AR719" s="271"/>
      <c r="AS719" s="271"/>
      <c r="AT719" s="271"/>
      <c r="AU719" s="271"/>
      <c r="AV719" s="271"/>
      <c r="AW719" s="271"/>
      <c r="AX719" s="271"/>
      <c r="AY719" s="271"/>
    </row>
    <row r="720" spans="1:51" ht="15.75" customHeight="1" x14ac:dyDescent="0.25">
      <c r="A720" s="271"/>
      <c r="B720" s="534"/>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c r="AL720" s="271"/>
      <c r="AM720" s="271"/>
      <c r="AN720" s="271"/>
      <c r="AO720" s="271"/>
      <c r="AP720" s="271"/>
      <c r="AQ720" s="271"/>
      <c r="AR720" s="271"/>
      <c r="AS720" s="271"/>
      <c r="AT720" s="271"/>
      <c r="AU720" s="271"/>
      <c r="AV720" s="271"/>
      <c r="AW720" s="271"/>
      <c r="AX720" s="271"/>
      <c r="AY720" s="271"/>
    </row>
    <row r="721" spans="1:51" ht="15.75" customHeight="1" x14ac:dyDescent="0.25">
      <c r="A721" s="271"/>
      <c r="B721" s="534"/>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c r="AL721" s="271"/>
      <c r="AM721" s="271"/>
      <c r="AN721" s="271"/>
      <c r="AO721" s="271"/>
      <c r="AP721" s="271"/>
      <c r="AQ721" s="271"/>
      <c r="AR721" s="271"/>
      <c r="AS721" s="271"/>
      <c r="AT721" s="271"/>
      <c r="AU721" s="271"/>
      <c r="AV721" s="271"/>
      <c r="AW721" s="271"/>
      <c r="AX721" s="271"/>
      <c r="AY721" s="271"/>
    </row>
    <row r="722" spans="1:51" ht="15.75" customHeight="1" x14ac:dyDescent="0.25">
      <c r="A722" s="271"/>
      <c r="B722" s="534"/>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c r="AL722" s="271"/>
      <c r="AM722" s="271"/>
      <c r="AN722" s="271"/>
      <c r="AO722" s="271"/>
      <c r="AP722" s="271"/>
      <c r="AQ722" s="271"/>
      <c r="AR722" s="271"/>
      <c r="AS722" s="271"/>
      <c r="AT722" s="271"/>
      <c r="AU722" s="271"/>
      <c r="AV722" s="271"/>
      <c r="AW722" s="271"/>
      <c r="AX722" s="271"/>
      <c r="AY722" s="271"/>
    </row>
    <row r="723" spans="1:51" ht="15.75" customHeight="1" x14ac:dyDescent="0.25">
      <c r="A723" s="271"/>
      <c r="B723" s="534"/>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c r="AL723" s="271"/>
      <c r="AM723" s="271"/>
      <c r="AN723" s="271"/>
      <c r="AO723" s="271"/>
      <c r="AP723" s="271"/>
      <c r="AQ723" s="271"/>
      <c r="AR723" s="271"/>
      <c r="AS723" s="271"/>
      <c r="AT723" s="271"/>
      <c r="AU723" s="271"/>
      <c r="AV723" s="271"/>
      <c r="AW723" s="271"/>
      <c r="AX723" s="271"/>
      <c r="AY723" s="271"/>
    </row>
    <row r="724" spans="1:51" ht="15.75" customHeight="1" x14ac:dyDescent="0.25">
      <c r="A724" s="271"/>
      <c r="B724" s="534"/>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c r="AL724" s="271"/>
      <c r="AM724" s="271"/>
      <c r="AN724" s="271"/>
      <c r="AO724" s="271"/>
      <c r="AP724" s="271"/>
      <c r="AQ724" s="271"/>
      <c r="AR724" s="271"/>
      <c r="AS724" s="271"/>
      <c r="AT724" s="271"/>
      <c r="AU724" s="271"/>
      <c r="AV724" s="271"/>
      <c r="AW724" s="271"/>
      <c r="AX724" s="271"/>
      <c r="AY724" s="271"/>
    </row>
    <row r="725" spans="1:51" ht="15.75" customHeight="1" x14ac:dyDescent="0.25">
      <c r="A725" s="271"/>
      <c r="B725" s="534"/>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c r="AL725" s="271"/>
      <c r="AM725" s="271"/>
      <c r="AN725" s="271"/>
      <c r="AO725" s="271"/>
      <c r="AP725" s="271"/>
      <c r="AQ725" s="271"/>
      <c r="AR725" s="271"/>
      <c r="AS725" s="271"/>
      <c r="AT725" s="271"/>
      <c r="AU725" s="271"/>
      <c r="AV725" s="271"/>
      <c r="AW725" s="271"/>
      <c r="AX725" s="271"/>
      <c r="AY725" s="271"/>
    </row>
    <row r="726" spans="1:51" ht="15.75" customHeight="1" x14ac:dyDescent="0.25">
      <c r="A726" s="271"/>
      <c r="B726" s="534"/>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c r="AL726" s="271"/>
      <c r="AM726" s="271"/>
      <c r="AN726" s="271"/>
      <c r="AO726" s="271"/>
      <c r="AP726" s="271"/>
      <c r="AQ726" s="271"/>
      <c r="AR726" s="271"/>
      <c r="AS726" s="271"/>
      <c r="AT726" s="271"/>
      <c r="AU726" s="271"/>
      <c r="AV726" s="271"/>
      <c r="AW726" s="271"/>
      <c r="AX726" s="271"/>
      <c r="AY726" s="271"/>
    </row>
    <row r="727" spans="1:51" ht="15.75" customHeight="1" x14ac:dyDescent="0.25">
      <c r="A727" s="271"/>
      <c r="B727" s="534"/>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c r="AL727" s="271"/>
      <c r="AM727" s="271"/>
      <c r="AN727" s="271"/>
      <c r="AO727" s="271"/>
      <c r="AP727" s="271"/>
      <c r="AQ727" s="271"/>
      <c r="AR727" s="271"/>
      <c r="AS727" s="271"/>
      <c r="AT727" s="271"/>
      <c r="AU727" s="271"/>
      <c r="AV727" s="271"/>
      <c r="AW727" s="271"/>
      <c r="AX727" s="271"/>
      <c r="AY727" s="271"/>
    </row>
    <row r="728" spans="1:51" ht="15.75" customHeight="1" x14ac:dyDescent="0.25">
      <c r="A728" s="271"/>
      <c r="B728" s="534"/>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c r="AL728" s="271"/>
      <c r="AM728" s="271"/>
      <c r="AN728" s="271"/>
      <c r="AO728" s="271"/>
      <c r="AP728" s="271"/>
      <c r="AQ728" s="271"/>
      <c r="AR728" s="271"/>
      <c r="AS728" s="271"/>
      <c r="AT728" s="271"/>
      <c r="AU728" s="271"/>
      <c r="AV728" s="271"/>
      <c r="AW728" s="271"/>
      <c r="AX728" s="271"/>
      <c r="AY728" s="271"/>
    </row>
    <row r="729" spans="1:51" ht="15.75" customHeight="1" x14ac:dyDescent="0.25">
      <c r="A729" s="271"/>
      <c r="B729" s="534"/>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c r="AL729" s="271"/>
      <c r="AM729" s="271"/>
      <c r="AN729" s="271"/>
      <c r="AO729" s="271"/>
      <c r="AP729" s="271"/>
      <c r="AQ729" s="271"/>
      <c r="AR729" s="271"/>
      <c r="AS729" s="271"/>
      <c r="AT729" s="271"/>
      <c r="AU729" s="271"/>
      <c r="AV729" s="271"/>
      <c r="AW729" s="271"/>
      <c r="AX729" s="271"/>
      <c r="AY729" s="271"/>
    </row>
    <row r="730" spans="1:51" ht="15.75" customHeight="1" x14ac:dyDescent="0.25">
      <c r="A730" s="271"/>
      <c r="B730" s="534"/>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c r="AL730" s="271"/>
      <c r="AM730" s="271"/>
      <c r="AN730" s="271"/>
      <c r="AO730" s="271"/>
      <c r="AP730" s="271"/>
      <c r="AQ730" s="271"/>
      <c r="AR730" s="271"/>
      <c r="AS730" s="271"/>
      <c r="AT730" s="271"/>
      <c r="AU730" s="271"/>
      <c r="AV730" s="271"/>
      <c r="AW730" s="271"/>
      <c r="AX730" s="271"/>
      <c r="AY730" s="271"/>
    </row>
    <row r="731" spans="1:51" ht="15.75" customHeight="1" x14ac:dyDescent="0.25">
      <c r="A731" s="271"/>
      <c r="B731" s="534"/>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c r="AL731" s="271"/>
      <c r="AM731" s="271"/>
      <c r="AN731" s="271"/>
      <c r="AO731" s="271"/>
      <c r="AP731" s="271"/>
      <c r="AQ731" s="271"/>
      <c r="AR731" s="271"/>
      <c r="AS731" s="271"/>
      <c r="AT731" s="271"/>
      <c r="AU731" s="271"/>
      <c r="AV731" s="271"/>
      <c r="AW731" s="271"/>
      <c r="AX731" s="271"/>
      <c r="AY731" s="271"/>
    </row>
    <row r="732" spans="1:51" ht="15.75" customHeight="1" x14ac:dyDescent="0.25">
      <c r="A732" s="271"/>
      <c r="B732" s="534"/>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c r="AL732" s="271"/>
      <c r="AM732" s="271"/>
      <c r="AN732" s="271"/>
      <c r="AO732" s="271"/>
      <c r="AP732" s="271"/>
      <c r="AQ732" s="271"/>
      <c r="AR732" s="271"/>
      <c r="AS732" s="271"/>
      <c r="AT732" s="271"/>
      <c r="AU732" s="271"/>
      <c r="AV732" s="271"/>
      <c r="AW732" s="271"/>
      <c r="AX732" s="271"/>
      <c r="AY732" s="271"/>
    </row>
    <row r="733" spans="1:51" ht="15.75" customHeight="1" x14ac:dyDescent="0.25">
      <c r="A733" s="271"/>
      <c r="B733" s="534"/>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c r="AL733" s="271"/>
      <c r="AM733" s="271"/>
      <c r="AN733" s="271"/>
      <c r="AO733" s="271"/>
      <c r="AP733" s="271"/>
      <c r="AQ733" s="271"/>
      <c r="AR733" s="271"/>
      <c r="AS733" s="271"/>
      <c r="AT733" s="271"/>
      <c r="AU733" s="271"/>
      <c r="AV733" s="271"/>
      <c r="AW733" s="271"/>
      <c r="AX733" s="271"/>
      <c r="AY733" s="271"/>
    </row>
    <row r="734" spans="1:51" ht="15.75" customHeight="1" x14ac:dyDescent="0.25">
      <c r="A734" s="271"/>
      <c r="B734" s="534"/>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c r="AL734" s="271"/>
      <c r="AM734" s="271"/>
      <c r="AN734" s="271"/>
      <c r="AO734" s="271"/>
      <c r="AP734" s="271"/>
      <c r="AQ734" s="271"/>
      <c r="AR734" s="271"/>
      <c r="AS734" s="271"/>
      <c r="AT734" s="271"/>
      <c r="AU734" s="271"/>
      <c r="AV734" s="271"/>
      <c r="AW734" s="271"/>
      <c r="AX734" s="271"/>
      <c r="AY734" s="271"/>
    </row>
    <row r="735" spans="1:51" ht="15.75" customHeight="1" x14ac:dyDescent="0.25">
      <c r="A735" s="271"/>
      <c r="B735" s="534"/>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c r="AL735" s="271"/>
      <c r="AM735" s="271"/>
      <c r="AN735" s="271"/>
      <c r="AO735" s="271"/>
      <c r="AP735" s="271"/>
      <c r="AQ735" s="271"/>
      <c r="AR735" s="271"/>
      <c r="AS735" s="271"/>
      <c r="AT735" s="271"/>
      <c r="AU735" s="271"/>
      <c r="AV735" s="271"/>
      <c r="AW735" s="271"/>
      <c r="AX735" s="271"/>
      <c r="AY735" s="271"/>
    </row>
    <row r="736" spans="1:51" ht="15.75" customHeight="1" x14ac:dyDescent="0.25">
      <c r="A736" s="271"/>
      <c r="B736" s="534"/>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c r="AL736" s="271"/>
      <c r="AM736" s="271"/>
      <c r="AN736" s="271"/>
      <c r="AO736" s="271"/>
      <c r="AP736" s="271"/>
      <c r="AQ736" s="271"/>
      <c r="AR736" s="271"/>
      <c r="AS736" s="271"/>
      <c r="AT736" s="271"/>
      <c r="AU736" s="271"/>
      <c r="AV736" s="271"/>
      <c r="AW736" s="271"/>
      <c r="AX736" s="271"/>
      <c r="AY736" s="271"/>
    </row>
    <row r="737" spans="1:51" ht="15.75" customHeight="1" x14ac:dyDescent="0.25">
      <c r="A737" s="271"/>
      <c r="B737" s="534"/>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c r="AL737" s="271"/>
      <c r="AM737" s="271"/>
      <c r="AN737" s="271"/>
      <c r="AO737" s="271"/>
      <c r="AP737" s="271"/>
      <c r="AQ737" s="271"/>
      <c r="AR737" s="271"/>
      <c r="AS737" s="271"/>
      <c r="AT737" s="271"/>
      <c r="AU737" s="271"/>
      <c r="AV737" s="271"/>
      <c r="AW737" s="271"/>
      <c r="AX737" s="271"/>
      <c r="AY737" s="271"/>
    </row>
    <row r="738" spans="1:51" ht="15.75" customHeight="1" x14ac:dyDescent="0.25">
      <c r="A738" s="271"/>
      <c r="B738" s="534"/>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c r="AL738" s="271"/>
      <c r="AM738" s="271"/>
      <c r="AN738" s="271"/>
      <c r="AO738" s="271"/>
      <c r="AP738" s="271"/>
      <c r="AQ738" s="271"/>
      <c r="AR738" s="271"/>
      <c r="AS738" s="271"/>
      <c r="AT738" s="271"/>
      <c r="AU738" s="271"/>
      <c r="AV738" s="271"/>
      <c r="AW738" s="271"/>
      <c r="AX738" s="271"/>
      <c r="AY738" s="271"/>
    </row>
    <row r="739" spans="1:51" ht="15.75" customHeight="1" x14ac:dyDescent="0.25">
      <c r="A739" s="271"/>
      <c r="B739" s="534"/>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c r="AL739" s="271"/>
      <c r="AM739" s="271"/>
      <c r="AN739" s="271"/>
      <c r="AO739" s="271"/>
      <c r="AP739" s="271"/>
      <c r="AQ739" s="271"/>
      <c r="AR739" s="271"/>
      <c r="AS739" s="271"/>
      <c r="AT739" s="271"/>
      <c r="AU739" s="271"/>
      <c r="AV739" s="271"/>
      <c r="AW739" s="271"/>
      <c r="AX739" s="271"/>
      <c r="AY739" s="271"/>
    </row>
    <row r="740" spans="1:51" ht="15.75" customHeight="1" x14ac:dyDescent="0.25">
      <c r="A740" s="271"/>
      <c r="B740" s="534"/>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c r="AL740" s="271"/>
      <c r="AM740" s="271"/>
      <c r="AN740" s="271"/>
      <c r="AO740" s="271"/>
      <c r="AP740" s="271"/>
      <c r="AQ740" s="271"/>
      <c r="AR740" s="271"/>
      <c r="AS740" s="271"/>
      <c r="AT740" s="271"/>
      <c r="AU740" s="271"/>
      <c r="AV740" s="271"/>
      <c r="AW740" s="271"/>
      <c r="AX740" s="271"/>
      <c r="AY740" s="271"/>
    </row>
    <row r="741" spans="1:51" ht="15.75" customHeight="1" x14ac:dyDescent="0.25">
      <c r="A741" s="271"/>
      <c r="B741" s="534"/>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c r="AL741" s="271"/>
      <c r="AM741" s="271"/>
      <c r="AN741" s="271"/>
      <c r="AO741" s="271"/>
      <c r="AP741" s="271"/>
      <c r="AQ741" s="271"/>
      <c r="AR741" s="271"/>
      <c r="AS741" s="271"/>
      <c r="AT741" s="271"/>
      <c r="AU741" s="271"/>
      <c r="AV741" s="271"/>
      <c r="AW741" s="271"/>
      <c r="AX741" s="271"/>
      <c r="AY741" s="271"/>
    </row>
    <row r="742" spans="1:51" ht="15.75" customHeight="1" x14ac:dyDescent="0.25">
      <c r="A742" s="271"/>
      <c r="B742" s="534"/>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c r="AL742" s="271"/>
      <c r="AM742" s="271"/>
      <c r="AN742" s="271"/>
      <c r="AO742" s="271"/>
      <c r="AP742" s="271"/>
      <c r="AQ742" s="271"/>
      <c r="AR742" s="271"/>
      <c r="AS742" s="271"/>
      <c r="AT742" s="271"/>
      <c r="AU742" s="271"/>
      <c r="AV742" s="271"/>
      <c r="AW742" s="271"/>
      <c r="AX742" s="271"/>
      <c r="AY742" s="271"/>
    </row>
    <row r="743" spans="1:51" ht="15.75" customHeight="1" x14ac:dyDescent="0.25">
      <c r="A743" s="271"/>
      <c r="B743" s="534"/>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c r="AL743" s="271"/>
      <c r="AM743" s="271"/>
      <c r="AN743" s="271"/>
      <c r="AO743" s="271"/>
      <c r="AP743" s="271"/>
      <c r="AQ743" s="271"/>
      <c r="AR743" s="271"/>
      <c r="AS743" s="271"/>
      <c r="AT743" s="271"/>
      <c r="AU743" s="271"/>
      <c r="AV743" s="271"/>
      <c r="AW743" s="271"/>
      <c r="AX743" s="271"/>
      <c r="AY743" s="271"/>
    </row>
    <row r="744" spans="1:51" ht="15.75" customHeight="1" x14ac:dyDescent="0.25">
      <c r="A744" s="271"/>
      <c r="B744" s="534"/>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c r="AL744" s="271"/>
      <c r="AM744" s="271"/>
      <c r="AN744" s="271"/>
      <c r="AO744" s="271"/>
      <c r="AP744" s="271"/>
      <c r="AQ744" s="271"/>
      <c r="AR744" s="271"/>
      <c r="AS744" s="271"/>
      <c r="AT744" s="271"/>
      <c r="AU744" s="271"/>
      <c r="AV744" s="271"/>
      <c r="AW744" s="271"/>
      <c r="AX744" s="271"/>
      <c r="AY744" s="271"/>
    </row>
    <row r="745" spans="1:51" ht="15.75" customHeight="1" x14ac:dyDescent="0.25">
      <c r="A745" s="271"/>
      <c r="B745" s="534"/>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c r="AL745" s="271"/>
      <c r="AM745" s="271"/>
      <c r="AN745" s="271"/>
      <c r="AO745" s="271"/>
      <c r="AP745" s="271"/>
      <c r="AQ745" s="271"/>
      <c r="AR745" s="271"/>
      <c r="AS745" s="271"/>
      <c r="AT745" s="271"/>
      <c r="AU745" s="271"/>
      <c r="AV745" s="271"/>
      <c r="AW745" s="271"/>
      <c r="AX745" s="271"/>
      <c r="AY745" s="271"/>
    </row>
    <row r="746" spans="1:51" ht="15.75" customHeight="1" x14ac:dyDescent="0.25">
      <c r="A746" s="271"/>
      <c r="B746" s="534"/>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c r="AL746" s="271"/>
      <c r="AM746" s="271"/>
      <c r="AN746" s="271"/>
      <c r="AO746" s="271"/>
      <c r="AP746" s="271"/>
      <c r="AQ746" s="271"/>
      <c r="AR746" s="271"/>
      <c r="AS746" s="271"/>
      <c r="AT746" s="271"/>
      <c r="AU746" s="271"/>
      <c r="AV746" s="271"/>
      <c r="AW746" s="271"/>
      <c r="AX746" s="271"/>
      <c r="AY746" s="271"/>
    </row>
    <row r="747" spans="1:51" ht="15.75" customHeight="1" x14ac:dyDescent="0.25">
      <c r="A747" s="271"/>
      <c r="B747" s="534"/>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c r="AL747" s="271"/>
      <c r="AM747" s="271"/>
      <c r="AN747" s="271"/>
      <c r="AO747" s="271"/>
      <c r="AP747" s="271"/>
      <c r="AQ747" s="271"/>
      <c r="AR747" s="271"/>
      <c r="AS747" s="271"/>
      <c r="AT747" s="271"/>
      <c r="AU747" s="271"/>
      <c r="AV747" s="271"/>
      <c r="AW747" s="271"/>
      <c r="AX747" s="271"/>
      <c r="AY747" s="271"/>
    </row>
    <row r="748" spans="1:51" ht="15.75" customHeight="1" x14ac:dyDescent="0.25">
      <c r="A748" s="271"/>
      <c r="B748" s="534"/>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c r="AL748" s="271"/>
      <c r="AM748" s="271"/>
      <c r="AN748" s="271"/>
      <c r="AO748" s="271"/>
      <c r="AP748" s="271"/>
      <c r="AQ748" s="271"/>
      <c r="AR748" s="271"/>
      <c r="AS748" s="271"/>
      <c r="AT748" s="271"/>
      <c r="AU748" s="271"/>
      <c r="AV748" s="271"/>
      <c r="AW748" s="271"/>
      <c r="AX748" s="271"/>
      <c r="AY748" s="271"/>
    </row>
    <row r="749" spans="1:51" ht="15.75" customHeight="1" x14ac:dyDescent="0.25">
      <c r="A749" s="271"/>
      <c r="B749" s="534"/>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c r="AL749" s="271"/>
      <c r="AM749" s="271"/>
      <c r="AN749" s="271"/>
      <c r="AO749" s="271"/>
      <c r="AP749" s="271"/>
      <c r="AQ749" s="271"/>
      <c r="AR749" s="271"/>
      <c r="AS749" s="271"/>
      <c r="AT749" s="271"/>
      <c r="AU749" s="271"/>
      <c r="AV749" s="271"/>
      <c r="AW749" s="271"/>
      <c r="AX749" s="271"/>
      <c r="AY749" s="271"/>
    </row>
    <row r="750" spans="1:51" ht="15.75" customHeight="1" x14ac:dyDescent="0.25">
      <c r="A750" s="271"/>
      <c r="B750" s="534"/>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c r="AL750" s="271"/>
      <c r="AM750" s="271"/>
      <c r="AN750" s="271"/>
      <c r="AO750" s="271"/>
      <c r="AP750" s="271"/>
      <c r="AQ750" s="271"/>
      <c r="AR750" s="271"/>
      <c r="AS750" s="271"/>
      <c r="AT750" s="271"/>
      <c r="AU750" s="271"/>
      <c r="AV750" s="271"/>
      <c r="AW750" s="271"/>
      <c r="AX750" s="271"/>
      <c r="AY750" s="271"/>
    </row>
    <row r="751" spans="1:51" ht="15.75" customHeight="1" x14ac:dyDescent="0.25">
      <c r="A751" s="271"/>
      <c r="B751" s="534"/>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c r="AL751" s="271"/>
      <c r="AM751" s="271"/>
      <c r="AN751" s="271"/>
      <c r="AO751" s="271"/>
      <c r="AP751" s="271"/>
      <c r="AQ751" s="271"/>
      <c r="AR751" s="271"/>
      <c r="AS751" s="271"/>
      <c r="AT751" s="271"/>
      <c r="AU751" s="271"/>
      <c r="AV751" s="271"/>
      <c r="AW751" s="271"/>
      <c r="AX751" s="271"/>
      <c r="AY751" s="271"/>
    </row>
    <row r="752" spans="1:51" ht="15.75" customHeight="1" x14ac:dyDescent="0.25">
      <c r="A752" s="271"/>
      <c r="B752" s="534"/>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c r="AL752" s="271"/>
      <c r="AM752" s="271"/>
      <c r="AN752" s="271"/>
      <c r="AO752" s="271"/>
      <c r="AP752" s="271"/>
      <c r="AQ752" s="271"/>
      <c r="AR752" s="271"/>
      <c r="AS752" s="271"/>
      <c r="AT752" s="271"/>
      <c r="AU752" s="271"/>
      <c r="AV752" s="271"/>
      <c r="AW752" s="271"/>
      <c r="AX752" s="271"/>
      <c r="AY752" s="271"/>
    </row>
    <row r="753" spans="1:51" ht="15.75" customHeight="1" x14ac:dyDescent="0.25">
      <c r="A753" s="271"/>
      <c r="B753" s="534"/>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c r="AL753" s="271"/>
      <c r="AM753" s="271"/>
      <c r="AN753" s="271"/>
      <c r="AO753" s="271"/>
      <c r="AP753" s="271"/>
      <c r="AQ753" s="271"/>
      <c r="AR753" s="271"/>
      <c r="AS753" s="271"/>
      <c r="AT753" s="271"/>
      <c r="AU753" s="271"/>
      <c r="AV753" s="271"/>
      <c r="AW753" s="271"/>
      <c r="AX753" s="271"/>
      <c r="AY753" s="271"/>
    </row>
    <row r="754" spans="1:51" ht="15.75" customHeight="1" x14ac:dyDescent="0.25">
      <c r="A754" s="271"/>
      <c r="B754" s="534"/>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c r="AL754" s="271"/>
      <c r="AM754" s="271"/>
      <c r="AN754" s="271"/>
      <c r="AO754" s="271"/>
      <c r="AP754" s="271"/>
      <c r="AQ754" s="271"/>
      <c r="AR754" s="271"/>
      <c r="AS754" s="271"/>
      <c r="AT754" s="271"/>
      <c r="AU754" s="271"/>
      <c r="AV754" s="271"/>
      <c r="AW754" s="271"/>
      <c r="AX754" s="271"/>
      <c r="AY754" s="271"/>
    </row>
    <row r="755" spans="1:51" ht="15.75" customHeight="1" x14ac:dyDescent="0.25">
      <c r="A755" s="271"/>
      <c r="B755" s="534"/>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c r="AL755" s="271"/>
      <c r="AM755" s="271"/>
      <c r="AN755" s="271"/>
      <c r="AO755" s="271"/>
      <c r="AP755" s="271"/>
      <c r="AQ755" s="271"/>
      <c r="AR755" s="271"/>
      <c r="AS755" s="271"/>
      <c r="AT755" s="271"/>
      <c r="AU755" s="271"/>
      <c r="AV755" s="271"/>
      <c r="AW755" s="271"/>
      <c r="AX755" s="271"/>
      <c r="AY755" s="271"/>
    </row>
    <row r="756" spans="1:51" ht="15.75" customHeight="1" x14ac:dyDescent="0.25">
      <c r="A756" s="271"/>
      <c r="B756" s="534"/>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c r="AL756" s="271"/>
      <c r="AM756" s="271"/>
      <c r="AN756" s="271"/>
      <c r="AO756" s="271"/>
      <c r="AP756" s="271"/>
      <c r="AQ756" s="271"/>
      <c r="AR756" s="271"/>
      <c r="AS756" s="271"/>
      <c r="AT756" s="271"/>
      <c r="AU756" s="271"/>
      <c r="AV756" s="271"/>
      <c r="AW756" s="271"/>
      <c r="AX756" s="271"/>
      <c r="AY756" s="271"/>
    </row>
    <row r="757" spans="1:51" ht="15.75" customHeight="1" x14ac:dyDescent="0.25">
      <c r="A757" s="271"/>
      <c r="B757" s="534"/>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c r="AL757" s="271"/>
      <c r="AM757" s="271"/>
      <c r="AN757" s="271"/>
      <c r="AO757" s="271"/>
      <c r="AP757" s="271"/>
      <c r="AQ757" s="271"/>
      <c r="AR757" s="271"/>
      <c r="AS757" s="271"/>
      <c r="AT757" s="271"/>
      <c r="AU757" s="271"/>
      <c r="AV757" s="271"/>
      <c r="AW757" s="271"/>
      <c r="AX757" s="271"/>
      <c r="AY757" s="271"/>
    </row>
    <row r="758" spans="1:51" ht="15.75" customHeight="1" x14ac:dyDescent="0.25">
      <c r="A758" s="271"/>
      <c r="B758" s="534"/>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c r="AL758" s="271"/>
      <c r="AM758" s="271"/>
      <c r="AN758" s="271"/>
      <c r="AO758" s="271"/>
      <c r="AP758" s="271"/>
      <c r="AQ758" s="271"/>
      <c r="AR758" s="271"/>
      <c r="AS758" s="271"/>
      <c r="AT758" s="271"/>
      <c r="AU758" s="271"/>
      <c r="AV758" s="271"/>
      <c r="AW758" s="271"/>
      <c r="AX758" s="271"/>
      <c r="AY758" s="271"/>
    </row>
    <row r="759" spans="1:51" ht="15.75" customHeight="1" x14ac:dyDescent="0.25">
      <c r="A759" s="271"/>
      <c r="B759" s="534"/>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c r="AL759" s="271"/>
      <c r="AM759" s="271"/>
      <c r="AN759" s="271"/>
      <c r="AO759" s="271"/>
      <c r="AP759" s="271"/>
      <c r="AQ759" s="271"/>
      <c r="AR759" s="271"/>
      <c r="AS759" s="271"/>
      <c r="AT759" s="271"/>
      <c r="AU759" s="271"/>
      <c r="AV759" s="271"/>
      <c r="AW759" s="271"/>
      <c r="AX759" s="271"/>
      <c r="AY759" s="271"/>
    </row>
    <row r="760" spans="1:51" ht="15.75" customHeight="1" x14ac:dyDescent="0.25">
      <c r="A760" s="271"/>
      <c r="B760" s="534"/>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c r="AL760" s="271"/>
      <c r="AM760" s="271"/>
      <c r="AN760" s="271"/>
      <c r="AO760" s="271"/>
      <c r="AP760" s="271"/>
      <c r="AQ760" s="271"/>
      <c r="AR760" s="271"/>
      <c r="AS760" s="271"/>
      <c r="AT760" s="271"/>
      <c r="AU760" s="271"/>
      <c r="AV760" s="271"/>
      <c r="AW760" s="271"/>
      <c r="AX760" s="271"/>
      <c r="AY760" s="271"/>
    </row>
    <row r="761" spans="1:51" ht="15.75" customHeight="1" x14ac:dyDescent="0.25">
      <c r="A761" s="271"/>
      <c r="B761" s="534"/>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c r="AL761" s="271"/>
      <c r="AM761" s="271"/>
      <c r="AN761" s="271"/>
      <c r="AO761" s="271"/>
      <c r="AP761" s="271"/>
      <c r="AQ761" s="271"/>
      <c r="AR761" s="271"/>
      <c r="AS761" s="271"/>
      <c r="AT761" s="271"/>
      <c r="AU761" s="271"/>
      <c r="AV761" s="271"/>
      <c r="AW761" s="271"/>
      <c r="AX761" s="271"/>
      <c r="AY761" s="271"/>
    </row>
    <row r="762" spans="1:51" ht="15.75" customHeight="1" x14ac:dyDescent="0.25">
      <c r="A762" s="271"/>
      <c r="B762" s="534"/>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c r="AL762" s="271"/>
      <c r="AM762" s="271"/>
      <c r="AN762" s="271"/>
      <c r="AO762" s="271"/>
      <c r="AP762" s="271"/>
      <c r="AQ762" s="271"/>
      <c r="AR762" s="271"/>
      <c r="AS762" s="271"/>
      <c r="AT762" s="271"/>
      <c r="AU762" s="271"/>
      <c r="AV762" s="271"/>
      <c r="AW762" s="271"/>
      <c r="AX762" s="271"/>
      <c r="AY762" s="271"/>
    </row>
    <row r="763" spans="1:51" ht="15.75" customHeight="1" x14ac:dyDescent="0.25">
      <c r="A763" s="271"/>
      <c r="B763" s="534"/>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c r="AL763" s="271"/>
      <c r="AM763" s="271"/>
      <c r="AN763" s="271"/>
      <c r="AO763" s="271"/>
      <c r="AP763" s="271"/>
      <c r="AQ763" s="271"/>
      <c r="AR763" s="271"/>
      <c r="AS763" s="271"/>
      <c r="AT763" s="271"/>
      <c r="AU763" s="271"/>
      <c r="AV763" s="271"/>
      <c r="AW763" s="271"/>
      <c r="AX763" s="271"/>
      <c r="AY763" s="271"/>
    </row>
    <row r="764" spans="1:51" ht="15.75" customHeight="1" x14ac:dyDescent="0.25">
      <c r="A764" s="271"/>
      <c r="B764" s="534"/>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c r="AL764" s="271"/>
      <c r="AM764" s="271"/>
      <c r="AN764" s="271"/>
      <c r="AO764" s="271"/>
      <c r="AP764" s="271"/>
      <c r="AQ764" s="271"/>
      <c r="AR764" s="271"/>
      <c r="AS764" s="271"/>
      <c r="AT764" s="271"/>
      <c r="AU764" s="271"/>
      <c r="AV764" s="271"/>
      <c r="AW764" s="271"/>
      <c r="AX764" s="271"/>
      <c r="AY764" s="271"/>
    </row>
    <row r="765" spans="1:51" ht="15.75" customHeight="1" x14ac:dyDescent="0.25">
      <c r="A765" s="271"/>
      <c r="B765" s="534"/>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c r="AL765" s="271"/>
      <c r="AM765" s="271"/>
      <c r="AN765" s="271"/>
      <c r="AO765" s="271"/>
      <c r="AP765" s="271"/>
      <c r="AQ765" s="271"/>
      <c r="AR765" s="271"/>
      <c r="AS765" s="271"/>
      <c r="AT765" s="271"/>
      <c r="AU765" s="271"/>
      <c r="AV765" s="271"/>
      <c r="AW765" s="271"/>
      <c r="AX765" s="271"/>
      <c r="AY765" s="271"/>
    </row>
    <row r="766" spans="1:51" ht="15.75" customHeight="1" x14ac:dyDescent="0.25">
      <c r="A766" s="271"/>
      <c r="B766" s="534"/>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c r="AL766" s="271"/>
      <c r="AM766" s="271"/>
      <c r="AN766" s="271"/>
      <c r="AO766" s="271"/>
      <c r="AP766" s="271"/>
      <c r="AQ766" s="271"/>
      <c r="AR766" s="271"/>
      <c r="AS766" s="271"/>
      <c r="AT766" s="271"/>
      <c r="AU766" s="271"/>
      <c r="AV766" s="271"/>
      <c r="AW766" s="271"/>
      <c r="AX766" s="271"/>
      <c r="AY766" s="271"/>
    </row>
    <row r="767" spans="1:51" ht="15.75" customHeight="1" x14ac:dyDescent="0.25">
      <c r="A767" s="271"/>
      <c r="B767" s="534"/>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c r="AL767" s="271"/>
      <c r="AM767" s="271"/>
      <c r="AN767" s="271"/>
      <c r="AO767" s="271"/>
      <c r="AP767" s="271"/>
      <c r="AQ767" s="271"/>
      <c r="AR767" s="271"/>
      <c r="AS767" s="271"/>
      <c r="AT767" s="271"/>
      <c r="AU767" s="271"/>
      <c r="AV767" s="271"/>
      <c r="AW767" s="271"/>
      <c r="AX767" s="271"/>
      <c r="AY767" s="271"/>
    </row>
    <row r="768" spans="1:51" ht="15.75" customHeight="1" x14ac:dyDescent="0.25">
      <c r="A768" s="271"/>
      <c r="B768" s="534"/>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c r="AL768" s="271"/>
      <c r="AM768" s="271"/>
      <c r="AN768" s="271"/>
      <c r="AO768" s="271"/>
      <c r="AP768" s="271"/>
      <c r="AQ768" s="271"/>
      <c r="AR768" s="271"/>
      <c r="AS768" s="271"/>
      <c r="AT768" s="271"/>
      <c r="AU768" s="271"/>
      <c r="AV768" s="271"/>
      <c r="AW768" s="271"/>
      <c r="AX768" s="271"/>
      <c r="AY768" s="271"/>
    </row>
    <row r="769" spans="1:51" ht="15.75" customHeight="1" x14ac:dyDescent="0.25">
      <c r="A769" s="271"/>
      <c r="B769" s="534"/>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c r="AL769" s="271"/>
      <c r="AM769" s="271"/>
      <c r="AN769" s="271"/>
      <c r="AO769" s="271"/>
      <c r="AP769" s="271"/>
      <c r="AQ769" s="271"/>
      <c r="AR769" s="271"/>
      <c r="AS769" s="271"/>
      <c r="AT769" s="271"/>
      <c r="AU769" s="271"/>
      <c r="AV769" s="271"/>
      <c r="AW769" s="271"/>
      <c r="AX769" s="271"/>
      <c r="AY769" s="271"/>
    </row>
    <row r="770" spans="1:51" ht="15.75" customHeight="1" x14ac:dyDescent="0.25">
      <c r="A770" s="271"/>
      <c r="B770" s="534"/>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c r="AL770" s="271"/>
      <c r="AM770" s="271"/>
      <c r="AN770" s="271"/>
      <c r="AO770" s="271"/>
      <c r="AP770" s="271"/>
      <c r="AQ770" s="271"/>
      <c r="AR770" s="271"/>
      <c r="AS770" s="271"/>
      <c r="AT770" s="271"/>
      <c r="AU770" s="271"/>
      <c r="AV770" s="271"/>
      <c r="AW770" s="271"/>
      <c r="AX770" s="271"/>
      <c r="AY770" s="271"/>
    </row>
    <row r="771" spans="1:51" ht="15.75" customHeight="1" x14ac:dyDescent="0.25">
      <c r="A771" s="271"/>
      <c r="B771" s="534"/>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c r="AL771" s="271"/>
      <c r="AM771" s="271"/>
      <c r="AN771" s="271"/>
      <c r="AO771" s="271"/>
      <c r="AP771" s="271"/>
      <c r="AQ771" s="271"/>
      <c r="AR771" s="271"/>
      <c r="AS771" s="271"/>
      <c r="AT771" s="271"/>
      <c r="AU771" s="271"/>
      <c r="AV771" s="271"/>
      <c r="AW771" s="271"/>
      <c r="AX771" s="271"/>
      <c r="AY771" s="271"/>
    </row>
    <row r="772" spans="1:51" ht="15.75" customHeight="1" x14ac:dyDescent="0.25">
      <c r="A772" s="271"/>
      <c r="B772" s="534"/>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c r="AL772" s="271"/>
      <c r="AM772" s="271"/>
      <c r="AN772" s="271"/>
      <c r="AO772" s="271"/>
      <c r="AP772" s="271"/>
      <c r="AQ772" s="271"/>
      <c r="AR772" s="271"/>
      <c r="AS772" s="271"/>
      <c r="AT772" s="271"/>
      <c r="AU772" s="271"/>
      <c r="AV772" s="271"/>
      <c r="AW772" s="271"/>
      <c r="AX772" s="271"/>
      <c r="AY772" s="271"/>
    </row>
    <row r="773" spans="1:51" ht="15.75" customHeight="1" x14ac:dyDescent="0.25">
      <c r="A773" s="271"/>
      <c r="B773" s="534"/>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c r="AL773" s="271"/>
      <c r="AM773" s="271"/>
      <c r="AN773" s="271"/>
      <c r="AO773" s="271"/>
      <c r="AP773" s="271"/>
      <c r="AQ773" s="271"/>
      <c r="AR773" s="271"/>
      <c r="AS773" s="271"/>
      <c r="AT773" s="271"/>
      <c r="AU773" s="271"/>
      <c r="AV773" s="271"/>
      <c r="AW773" s="271"/>
      <c r="AX773" s="271"/>
      <c r="AY773" s="271"/>
    </row>
    <row r="774" spans="1:51" ht="15.75" customHeight="1" x14ac:dyDescent="0.25">
      <c r="A774" s="271"/>
      <c r="B774" s="534"/>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c r="AL774" s="271"/>
      <c r="AM774" s="271"/>
      <c r="AN774" s="271"/>
      <c r="AO774" s="271"/>
      <c r="AP774" s="271"/>
      <c r="AQ774" s="271"/>
      <c r="AR774" s="271"/>
      <c r="AS774" s="271"/>
      <c r="AT774" s="271"/>
      <c r="AU774" s="271"/>
      <c r="AV774" s="271"/>
      <c r="AW774" s="271"/>
      <c r="AX774" s="271"/>
      <c r="AY774" s="271"/>
    </row>
    <row r="775" spans="1:51" ht="15.75" customHeight="1" x14ac:dyDescent="0.25">
      <c r="A775" s="271"/>
      <c r="B775" s="534"/>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c r="AL775" s="271"/>
      <c r="AM775" s="271"/>
      <c r="AN775" s="271"/>
      <c r="AO775" s="271"/>
      <c r="AP775" s="271"/>
      <c r="AQ775" s="271"/>
      <c r="AR775" s="271"/>
      <c r="AS775" s="271"/>
      <c r="AT775" s="271"/>
      <c r="AU775" s="271"/>
      <c r="AV775" s="271"/>
      <c r="AW775" s="271"/>
      <c r="AX775" s="271"/>
      <c r="AY775" s="271"/>
    </row>
    <row r="776" spans="1:51" ht="15.75" customHeight="1" x14ac:dyDescent="0.25">
      <c r="A776" s="271"/>
      <c r="B776" s="534"/>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c r="AL776" s="271"/>
      <c r="AM776" s="271"/>
      <c r="AN776" s="271"/>
      <c r="AO776" s="271"/>
      <c r="AP776" s="271"/>
      <c r="AQ776" s="271"/>
      <c r="AR776" s="271"/>
      <c r="AS776" s="271"/>
      <c r="AT776" s="271"/>
      <c r="AU776" s="271"/>
      <c r="AV776" s="271"/>
      <c r="AW776" s="271"/>
      <c r="AX776" s="271"/>
      <c r="AY776" s="271"/>
    </row>
    <row r="777" spans="1:51" ht="15.75" customHeight="1" x14ac:dyDescent="0.25">
      <c r="A777" s="271"/>
      <c r="B777" s="534"/>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c r="AL777" s="271"/>
      <c r="AM777" s="271"/>
      <c r="AN777" s="271"/>
      <c r="AO777" s="271"/>
      <c r="AP777" s="271"/>
      <c r="AQ777" s="271"/>
      <c r="AR777" s="271"/>
      <c r="AS777" s="271"/>
      <c r="AT777" s="271"/>
      <c r="AU777" s="271"/>
      <c r="AV777" s="271"/>
      <c r="AW777" s="271"/>
      <c r="AX777" s="271"/>
      <c r="AY777" s="271"/>
    </row>
    <row r="778" spans="1:51" ht="15.75" customHeight="1" x14ac:dyDescent="0.25">
      <c r="A778" s="271"/>
      <c r="B778" s="534"/>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c r="AL778" s="271"/>
      <c r="AM778" s="271"/>
      <c r="AN778" s="271"/>
      <c r="AO778" s="271"/>
      <c r="AP778" s="271"/>
      <c r="AQ778" s="271"/>
      <c r="AR778" s="271"/>
      <c r="AS778" s="271"/>
      <c r="AT778" s="271"/>
      <c r="AU778" s="271"/>
      <c r="AV778" s="271"/>
      <c r="AW778" s="271"/>
      <c r="AX778" s="271"/>
      <c r="AY778" s="271"/>
    </row>
    <row r="779" spans="1:51" ht="15.75" customHeight="1" x14ac:dyDescent="0.25">
      <c r="A779" s="271"/>
      <c r="B779" s="534"/>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c r="AL779" s="271"/>
      <c r="AM779" s="271"/>
      <c r="AN779" s="271"/>
      <c r="AO779" s="271"/>
      <c r="AP779" s="271"/>
      <c r="AQ779" s="271"/>
      <c r="AR779" s="271"/>
      <c r="AS779" s="271"/>
      <c r="AT779" s="271"/>
      <c r="AU779" s="271"/>
      <c r="AV779" s="271"/>
      <c r="AW779" s="271"/>
      <c r="AX779" s="271"/>
      <c r="AY779" s="271"/>
    </row>
    <row r="780" spans="1:51" ht="15.75" customHeight="1" x14ac:dyDescent="0.25">
      <c r="A780" s="271"/>
      <c r="B780" s="534"/>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c r="AL780" s="271"/>
      <c r="AM780" s="271"/>
      <c r="AN780" s="271"/>
      <c r="AO780" s="271"/>
      <c r="AP780" s="271"/>
      <c r="AQ780" s="271"/>
      <c r="AR780" s="271"/>
      <c r="AS780" s="271"/>
      <c r="AT780" s="271"/>
      <c r="AU780" s="271"/>
      <c r="AV780" s="271"/>
      <c r="AW780" s="271"/>
      <c r="AX780" s="271"/>
      <c r="AY780" s="271"/>
    </row>
    <row r="781" spans="1:51" ht="15.75" customHeight="1" x14ac:dyDescent="0.25">
      <c r="A781" s="271"/>
      <c r="B781" s="534"/>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c r="AL781" s="271"/>
      <c r="AM781" s="271"/>
      <c r="AN781" s="271"/>
      <c r="AO781" s="271"/>
      <c r="AP781" s="271"/>
      <c r="AQ781" s="271"/>
      <c r="AR781" s="271"/>
      <c r="AS781" s="271"/>
      <c r="AT781" s="271"/>
      <c r="AU781" s="271"/>
      <c r="AV781" s="271"/>
      <c r="AW781" s="271"/>
      <c r="AX781" s="271"/>
      <c r="AY781" s="271"/>
    </row>
    <row r="782" spans="1:51" ht="15.75" customHeight="1" x14ac:dyDescent="0.25">
      <c r="A782" s="271"/>
      <c r="B782" s="534"/>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c r="AL782" s="271"/>
      <c r="AM782" s="271"/>
      <c r="AN782" s="271"/>
      <c r="AO782" s="271"/>
      <c r="AP782" s="271"/>
      <c r="AQ782" s="271"/>
      <c r="AR782" s="271"/>
      <c r="AS782" s="271"/>
      <c r="AT782" s="271"/>
      <c r="AU782" s="271"/>
      <c r="AV782" s="271"/>
      <c r="AW782" s="271"/>
      <c r="AX782" s="271"/>
      <c r="AY782" s="271"/>
    </row>
    <row r="783" spans="1:51" ht="15.75" customHeight="1" x14ac:dyDescent="0.25">
      <c r="A783" s="271"/>
      <c r="B783" s="534"/>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c r="AL783" s="271"/>
      <c r="AM783" s="271"/>
      <c r="AN783" s="271"/>
      <c r="AO783" s="271"/>
      <c r="AP783" s="271"/>
      <c r="AQ783" s="271"/>
      <c r="AR783" s="271"/>
      <c r="AS783" s="271"/>
      <c r="AT783" s="271"/>
      <c r="AU783" s="271"/>
      <c r="AV783" s="271"/>
      <c r="AW783" s="271"/>
      <c r="AX783" s="271"/>
      <c r="AY783" s="271"/>
    </row>
    <row r="784" spans="1:51" ht="15.75" customHeight="1" x14ac:dyDescent="0.25">
      <c r="A784" s="271"/>
      <c r="B784" s="534"/>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c r="AL784" s="271"/>
      <c r="AM784" s="271"/>
      <c r="AN784" s="271"/>
      <c r="AO784" s="271"/>
      <c r="AP784" s="271"/>
      <c r="AQ784" s="271"/>
      <c r="AR784" s="271"/>
      <c r="AS784" s="271"/>
      <c r="AT784" s="271"/>
      <c r="AU784" s="271"/>
      <c r="AV784" s="271"/>
      <c r="AW784" s="271"/>
      <c r="AX784" s="271"/>
      <c r="AY784" s="271"/>
    </row>
    <row r="785" spans="1:51" ht="15.75" customHeight="1" x14ac:dyDescent="0.25">
      <c r="A785" s="271"/>
      <c r="B785" s="534"/>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c r="AL785" s="271"/>
      <c r="AM785" s="271"/>
      <c r="AN785" s="271"/>
      <c r="AO785" s="271"/>
      <c r="AP785" s="271"/>
      <c r="AQ785" s="271"/>
      <c r="AR785" s="271"/>
      <c r="AS785" s="271"/>
      <c r="AT785" s="271"/>
      <c r="AU785" s="271"/>
      <c r="AV785" s="271"/>
      <c r="AW785" s="271"/>
      <c r="AX785" s="271"/>
      <c r="AY785" s="271"/>
    </row>
    <row r="786" spans="1:51" ht="15.75" customHeight="1" x14ac:dyDescent="0.25">
      <c r="A786" s="271"/>
      <c r="B786" s="534"/>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c r="AL786" s="271"/>
      <c r="AM786" s="271"/>
      <c r="AN786" s="271"/>
      <c r="AO786" s="271"/>
      <c r="AP786" s="271"/>
      <c r="AQ786" s="271"/>
      <c r="AR786" s="271"/>
      <c r="AS786" s="271"/>
      <c r="AT786" s="271"/>
      <c r="AU786" s="271"/>
      <c r="AV786" s="271"/>
      <c r="AW786" s="271"/>
      <c r="AX786" s="271"/>
      <c r="AY786" s="271"/>
    </row>
    <row r="787" spans="1:51" ht="15.75" customHeight="1" x14ac:dyDescent="0.25">
      <c r="A787" s="271"/>
      <c r="B787" s="534"/>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c r="AL787" s="271"/>
      <c r="AM787" s="271"/>
      <c r="AN787" s="271"/>
      <c r="AO787" s="271"/>
      <c r="AP787" s="271"/>
      <c r="AQ787" s="271"/>
      <c r="AR787" s="271"/>
      <c r="AS787" s="271"/>
      <c r="AT787" s="271"/>
      <c r="AU787" s="271"/>
      <c r="AV787" s="271"/>
      <c r="AW787" s="271"/>
      <c r="AX787" s="271"/>
      <c r="AY787" s="271"/>
    </row>
    <row r="788" spans="1:51" ht="15.75" customHeight="1" x14ac:dyDescent="0.25">
      <c r="A788" s="271"/>
      <c r="B788" s="534"/>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c r="AL788" s="271"/>
      <c r="AM788" s="271"/>
      <c r="AN788" s="271"/>
      <c r="AO788" s="271"/>
      <c r="AP788" s="271"/>
      <c r="AQ788" s="271"/>
      <c r="AR788" s="271"/>
      <c r="AS788" s="271"/>
      <c r="AT788" s="271"/>
      <c r="AU788" s="271"/>
      <c r="AV788" s="271"/>
      <c r="AW788" s="271"/>
      <c r="AX788" s="271"/>
      <c r="AY788" s="271"/>
    </row>
    <row r="789" spans="1:51" ht="15.75" customHeight="1" x14ac:dyDescent="0.25">
      <c r="A789" s="271"/>
      <c r="B789" s="534"/>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c r="AL789" s="271"/>
      <c r="AM789" s="271"/>
      <c r="AN789" s="271"/>
      <c r="AO789" s="271"/>
      <c r="AP789" s="271"/>
      <c r="AQ789" s="271"/>
      <c r="AR789" s="271"/>
      <c r="AS789" s="271"/>
      <c r="AT789" s="271"/>
      <c r="AU789" s="271"/>
      <c r="AV789" s="271"/>
      <c r="AW789" s="271"/>
      <c r="AX789" s="271"/>
      <c r="AY789" s="271"/>
    </row>
    <row r="790" spans="1:51" ht="15.75" customHeight="1" x14ac:dyDescent="0.25">
      <c r="A790" s="271"/>
      <c r="B790" s="534"/>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c r="AL790" s="271"/>
      <c r="AM790" s="271"/>
      <c r="AN790" s="271"/>
      <c r="AO790" s="271"/>
      <c r="AP790" s="271"/>
      <c r="AQ790" s="271"/>
      <c r="AR790" s="271"/>
      <c r="AS790" s="271"/>
      <c r="AT790" s="271"/>
      <c r="AU790" s="271"/>
      <c r="AV790" s="271"/>
      <c r="AW790" s="271"/>
      <c r="AX790" s="271"/>
      <c r="AY790" s="271"/>
    </row>
    <row r="791" spans="1:51" ht="15.75" customHeight="1" x14ac:dyDescent="0.25">
      <c r="A791" s="271"/>
      <c r="B791" s="534"/>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c r="AL791" s="271"/>
      <c r="AM791" s="271"/>
      <c r="AN791" s="271"/>
      <c r="AO791" s="271"/>
      <c r="AP791" s="271"/>
      <c r="AQ791" s="271"/>
      <c r="AR791" s="271"/>
      <c r="AS791" s="271"/>
      <c r="AT791" s="271"/>
      <c r="AU791" s="271"/>
      <c r="AV791" s="271"/>
      <c r="AW791" s="271"/>
      <c r="AX791" s="271"/>
      <c r="AY791" s="271"/>
    </row>
    <row r="792" spans="1:51" ht="15.75" customHeight="1" x14ac:dyDescent="0.25">
      <c r="A792" s="271"/>
      <c r="B792" s="534"/>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c r="AL792" s="271"/>
      <c r="AM792" s="271"/>
      <c r="AN792" s="271"/>
      <c r="AO792" s="271"/>
      <c r="AP792" s="271"/>
      <c r="AQ792" s="271"/>
      <c r="AR792" s="271"/>
      <c r="AS792" s="271"/>
      <c r="AT792" s="271"/>
      <c r="AU792" s="271"/>
      <c r="AV792" s="271"/>
      <c r="AW792" s="271"/>
      <c r="AX792" s="271"/>
      <c r="AY792" s="271"/>
    </row>
    <row r="793" spans="1:51" ht="15.75" customHeight="1" x14ac:dyDescent="0.25">
      <c r="A793" s="271"/>
      <c r="B793" s="534"/>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c r="AL793" s="271"/>
      <c r="AM793" s="271"/>
      <c r="AN793" s="271"/>
      <c r="AO793" s="271"/>
      <c r="AP793" s="271"/>
      <c r="AQ793" s="271"/>
      <c r="AR793" s="271"/>
      <c r="AS793" s="271"/>
      <c r="AT793" s="271"/>
      <c r="AU793" s="271"/>
      <c r="AV793" s="271"/>
      <c r="AW793" s="271"/>
      <c r="AX793" s="271"/>
      <c r="AY793" s="271"/>
    </row>
    <row r="794" spans="1:51" ht="15.75" customHeight="1" x14ac:dyDescent="0.25">
      <c r="A794" s="271"/>
      <c r="B794" s="534"/>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c r="AL794" s="271"/>
      <c r="AM794" s="271"/>
      <c r="AN794" s="271"/>
      <c r="AO794" s="271"/>
      <c r="AP794" s="271"/>
      <c r="AQ794" s="271"/>
      <c r="AR794" s="271"/>
      <c r="AS794" s="271"/>
      <c r="AT794" s="271"/>
      <c r="AU794" s="271"/>
      <c r="AV794" s="271"/>
      <c r="AW794" s="271"/>
      <c r="AX794" s="271"/>
      <c r="AY794" s="271"/>
    </row>
    <row r="795" spans="1:51" ht="15.75" customHeight="1" x14ac:dyDescent="0.25">
      <c r="A795" s="271"/>
      <c r="B795" s="534"/>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c r="AL795" s="271"/>
      <c r="AM795" s="271"/>
      <c r="AN795" s="271"/>
      <c r="AO795" s="271"/>
      <c r="AP795" s="271"/>
      <c r="AQ795" s="271"/>
      <c r="AR795" s="271"/>
      <c r="AS795" s="271"/>
      <c r="AT795" s="271"/>
      <c r="AU795" s="271"/>
      <c r="AV795" s="271"/>
      <c r="AW795" s="271"/>
      <c r="AX795" s="271"/>
      <c r="AY795" s="271"/>
    </row>
    <row r="796" spans="1:51" ht="15.75" customHeight="1" x14ac:dyDescent="0.25">
      <c r="A796" s="271"/>
      <c r="B796" s="534"/>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c r="AL796" s="271"/>
      <c r="AM796" s="271"/>
      <c r="AN796" s="271"/>
      <c r="AO796" s="271"/>
      <c r="AP796" s="271"/>
      <c r="AQ796" s="271"/>
      <c r="AR796" s="271"/>
      <c r="AS796" s="271"/>
      <c r="AT796" s="271"/>
      <c r="AU796" s="271"/>
      <c r="AV796" s="271"/>
      <c r="AW796" s="271"/>
      <c r="AX796" s="271"/>
      <c r="AY796" s="271"/>
    </row>
    <row r="797" spans="1:51" ht="15.75" customHeight="1" x14ac:dyDescent="0.25">
      <c r="A797" s="271"/>
      <c r="B797" s="534"/>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c r="AL797" s="271"/>
      <c r="AM797" s="271"/>
      <c r="AN797" s="271"/>
      <c r="AO797" s="271"/>
      <c r="AP797" s="271"/>
      <c r="AQ797" s="271"/>
      <c r="AR797" s="271"/>
      <c r="AS797" s="271"/>
      <c r="AT797" s="271"/>
      <c r="AU797" s="271"/>
      <c r="AV797" s="271"/>
      <c r="AW797" s="271"/>
      <c r="AX797" s="271"/>
      <c r="AY797" s="271"/>
    </row>
    <row r="798" spans="1:51" ht="15.75" customHeight="1" x14ac:dyDescent="0.25">
      <c r="A798" s="271"/>
      <c r="B798" s="534"/>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c r="AL798" s="271"/>
      <c r="AM798" s="271"/>
      <c r="AN798" s="271"/>
      <c r="AO798" s="271"/>
      <c r="AP798" s="271"/>
      <c r="AQ798" s="271"/>
      <c r="AR798" s="271"/>
      <c r="AS798" s="271"/>
      <c r="AT798" s="271"/>
      <c r="AU798" s="271"/>
      <c r="AV798" s="271"/>
      <c r="AW798" s="271"/>
      <c r="AX798" s="271"/>
      <c r="AY798" s="271"/>
    </row>
    <row r="799" spans="1:51" ht="15.75" customHeight="1" x14ac:dyDescent="0.25">
      <c r="A799" s="271"/>
      <c r="B799" s="534"/>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c r="AL799" s="271"/>
      <c r="AM799" s="271"/>
      <c r="AN799" s="271"/>
      <c r="AO799" s="271"/>
      <c r="AP799" s="271"/>
      <c r="AQ799" s="271"/>
      <c r="AR799" s="271"/>
      <c r="AS799" s="271"/>
      <c r="AT799" s="271"/>
      <c r="AU799" s="271"/>
      <c r="AV799" s="271"/>
      <c r="AW799" s="271"/>
      <c r="AX799" s="271"/>
      <c r="AY799" s="271"/>
    </row>
    <row r="800" spans="1:51" ht="15.75" customHeight="1" x14ac:dyDescent="0.25">
      <c r="A800" s="271"/>
      <c r="B800" s="534"/>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c r="AL800" s="271"/>
      <c r="AM800" s="271"/>
      <c r="AN800" s="271"/>
      <c r="AO800" s="271"/>
      <c r="AP800" s="271"/>
      <c r="AQ800" s="271"/>
      <c r="AR800" s="271"/>
      <c r="AS800" s="271"/>
      <c r="AT800" s="271"/>
      <c r="AU800" s="271"/>
      <c r="AV800" s="271"/>
      <c r="AW800" s="271"/>
      <c r="AX800" s="271"/>
      <c r="AY800" s="271"/>
    </row>
    <row r="801" spans="1:51" ht="15.75" customHeight="1" x14ac:dyDescent="0.25">
      <c r="A801" s="271"/>
      <c r="B801" s="534"/>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c r="AL801" s="271"/>
      <c r="AM801" s="271"/>
      <c r="AN801" s="271"/>
      <c r="AO801" s="271"/>
      <c r="AP801" s="271"/>
      <c r="AQ801" s="271"/>
      <c r="AR801" s="271"/>
      <c r="AS801" s="271"/>
      <c r="AT801" s="271"/>
      <c r="AU801" s="271"/>
      <c r="AV801" s="271"/>
      <c r="AW801" s="271"/>
      <c r="AX801" s="271"/>
      <c r="AY801" s="271"/>
    </row>
    <row r="802" spans="1:51" ht="15.75" customHeight="1" x14ac:dyDescent="0.25">
      <c r="A802" s="271"/>
      <c r="B802" s="534"/>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c r="AL802" s="271"/>
      <c r="AM802" s="271"/>
      <c r="AN802" s="271"/>
      <c r="AO802" s="271"/>
      <c r="AP802" s="271"/>
      <c r="AQ802" s="271"/>
      <c r="AR802" s="271"/>
      <c r="AS802" s="271"/>
      <c r="AT802" s="271"/>
      <c r="AU802" s="271"/>
      <c r="AV802" s="271"/>
      <c r="AW802" s="271"/>
      <c r="AX802" s="271"/>
      <c r="AY802" s="271"/>
    </row>
    <row r="803" spans="1:51" ht="15.75" customHeight="1" x14ac:dyDescent="0.25">
      <c r="A803" s="271"/>
      <c r="B803" s="534"/>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c r="AL803" s="271"/>
      <c r="AM803" s="271"/>
      <c r="AN803" s="271"/>
      <c r="AO803" s="271"/>
      <c r="AP803" s="271"/>
      <c r="AQ803" s="271"/>
      <c r="AR803" s="271"/>
      <c r="AS803" s="271"/>
      <c r="AT803" s="271"/>
      <c r="AU803" s="271"/>
      <c r="AV803" s="271"/>
      <c r="AW803" s="271"/>
      <c r="AX803" s="271"/>
      <c r="AY803" s="271"/>
    </row>
    <row r="804" spans="1:51" ht="15.75" customHeight="1" x14ac:dyDescent="0.25">
      <c r="A804" s="271"/>
      <c r="B804" s="534"/>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c r="AL804" s="271"/>
      <c r="AM804" s="271"/>
      <c r="AN804" s="271"/>
      <c r="AO804" s="271"/>
      <c r="AP804" s="271"/>
      <c r="AQ804" s="271"/>
      <c r="AR804" s="271"/>
      <c r="AS804" s="271"/>
      <c r="AT804" s="271"/>
      <c r="AU804" s="271"/>
      <c r="AV804" s="271"/>
      <c r="AW804" s="271"/>
      <c r="AX804" s="271"/>
      <c r="AY804" s="271"/>
    </row>
    <row r="805" spans="1:51" ht="15.75" customHeight="1" x14ac:dyDescent="0.25">
      <c r="A805" s="271"/>
      <c r="B805" s="534"/>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c r="AL805" s="271"/>
      <c r="AM805" s="271"/>
      <c r="AN805" s="271"/>
      <c r="AO805" s="271"/>
      <c r="AP805" s="271"/>
      <c r="AQ805" s="271"/>
      <c r="AR805" s="271"/>
      <c r="AS805" s="271"/>
      <c r="AT805" s="271"/>
      <c r="AU805" s="271"/>
      <c r="AV805" s="271"/>
      <c r="AW805" s="271"/>
      <c r="AX805" s="271"/>
      <c r="AY805" s="271"/>
    </row>
    <row r="806" spans="1:51" ht="15.75" customHeight="1" x14ac:dyDescent="0.25">
      <c r="A806" s="271"/>
      <c r="B806" s="534"/>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c r="AL806" s="271"/>
      <c r="AM806" s="271"/>
      <c r="AN806" s="271"/>
      <c r="AO806" s="271"/>
      <c r="AP806" s="271"/>
      <c r="AQ806" s="271"/>
      <c r="AR806" s="271"/>
      <c r="AS806" s="271"/>
      <c r="AT806" s="271"/>
      <c r="AU806" s="271"/>
      <c r="AV806" s="271"/>
      <c r="AW806" s="271"/>
      <c r="AX806" s="271"/>
      <c r="AY806" s="271"/>
    </row>
    <row r="807" spans="1:51" ht="15.75" customHeight="1" x14ac:dyDescent="0.25">
      <c r="A807" s="271"/>
      <c r="B807" s="534"/>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c r="AL807" s="271"/>
      <c r="AM807" s="271"/>
      <c r="AN807" s="271"/>
      <c r="AO807" s="271"/>
      <c r="AP807" s="271"/>
      <c r="AQ807" s="271"/>
      <c r="AR807" s="271"/>
      <c r="AS807" s="271"/>
      <c r="AT807" s="271"/>
      <c r="AU807" s="271"/>
      <c r="AV807" s="271"/>
      <c r="AW807" s="271"/>
      <c r="AX807" s="271"/>
      <c r="AY807" s="271"/>
    </row>
    <row r="808" spans="1:51" ht="15.75" customHeight="1" x14ac:dyDescent="0.25">
      <c r="A808" s="271"/>
      <c r="B808" s="534"/>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c r="AL808" s="271"/>
      <c r="AM808" s="271"/>
      <c r="AN808" s="271"/>
      <c r="AO808" s="271"/>
      <c r="AP808" s="271"/>
      <c r="AQ808" s="271"/>
      <c r="AR808" s="271"/>
      <c r="AS808" s="271"/>
      <c r="AT808" s="271"/>
      <c r="AU808" s="271"/>
      <c r="AV808" s="271"/>
      <c r="AW808" s="271"/>
      <c r="AX808" s="271"/>
      <c r="AY808" s="271"/>
    </row>
    <row r="809" spans="1:51" ht="15.75" customHeight="1" x14ac:dyDescent="0.25">
      <c r="A809" s="271"/>
      <c r="B809" s="534"/>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c r="AL809" s="271"/>
      <c r="AM809" s="271"/>
      <c r="AN809" s="271"/>
      <c r="AO809" s="271"/>
      <c r="AP809" s="271"/>
      <c r="AQ809" s="271"/>
      <c r="AR809" s="271"/>
      <c r="AS809" s="271"/>
      <c r="AT809" s="271"/>
      <c r="AU809" s="271"/>
      <c r="AV809" s="271"/>
      <c r="AW809" s="271"/>
      <c r="AX809" s="271"/>
      <c r="AY809" s="271"/>
    </row>
    <row r="810" spans="1:51" ht="15.75" customHeight="1" x14ac:dyDescent="0.25">
      <c r="A810" s="271"/>
      <c r="B810" s="534"/>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c r="AL810" s="271"/>
      <c r="AM810" s="271"/>
      <c r="AN810" s="271"/>
      <c r="AO810" s="271"/>
      <c r="AP810" s="271"/>
      <c r="AQ810" s="271"/>
      <c r="AR810" s="271"/>
      <c r="AS810" s="271"/>
      <c r="AT810" s="271"/>
      <c r="AU810" s="271"/>
      <c r="AV810" s="271"/>
      <c r="AW810" s="271"/>
      <c r="AX810" s="271"/>
      <c r="AY810" s="271"/>
    </row>
    <row r="811" spans="1:51" ht="15.75" customHeight="1" x14ac:dyDescent="0.25">
      <c r="A811" s="271"/>
      <c r="B811" s="534"/>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c r="AL811" s="271"/>
      <c r="AM811" s="271"/>
      <c r="AN811" s="271"/>
      <c r="AO811" s="271"/>
      <c r="AP811" s="271"/>
      <c r="AQ811" s="271"/>
      <c r="AR811" s="271"/>
      <c r="AS811" s="271"/>
      <c r="AT811" s="271"/>
      <c r="AU811" s="271"/>
      <c r="AV811" s="271"/>
      <c r="AW811" s="271"/>
      <c r="AX811" s="271"/>
      <c r="AY811" s="271"/>
    </row>
    <row r="812" spans="1:51" ht="15.75" customHeight="1" x14ac:dyDescent="0.25">
      <c r="A812" s="271"/>
      <c r="B812" s="534"/>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c r="AL812" s="271"/>
      <c r="AM812" s="271"/>
      <c r="AN812" s="271"/>
      <c r="AO812" s="271"/>
      <c r="AP812" s="271"/>
      <c r="AQ812" s="271"/>
      <c r="AR812" s="271"/>
      <c r="AS812" s="271"/>
      <c r="AT812" s="271"/>
      <c r="AU812" s="271"/>
      <c r="AV812" s="271"/>
      <c r="AW812" s="271"/>
      <c r="AX812" s="271"/>
      <c r="AY812" s="271"/>
    </row>
    <row r="813" spans="1:51" ht="15.75" customHeight="1" x14ac:dyDescent="0.25">
      <c r="A813" s="271"/>
      <c r="B813" s="534"/>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c r="AL813" s="271"/>
      <c r="AM813" s="271"/>
      <c r="AN813" s="271"/>
      <c r="AO813" s="271"/>
      <c r="AP813" s="271"/>
      <c r="AQ813" s="271"/>
      <c r="AR813" s="271"/>
      <c r="AS813" s="271"/>
      <c r="AT813" s="271"/>
      <c r="AU813" s="271"/>
      <c r="AV813" s="271"/>
      <c r="AW813" s="271"/>
      <c r="AX813" s="271"/>
      <c r="AY813" s="271"/>
    </row>
    <row r="814" spans="1:51" ht="15.75" customHeight="1" x14ac:dyDescent="0.25">
      <c r="A814" s="271"/>
      <c r="B814" s="534"/>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c r="AL814" s="271"/>
      <c r="AM814" s="271"/>
      <c r="AN814" s="271"/>
      <c r="AO814" s="271"/>
      <c r="AP814" s="271"/>
      <c r="AQ814" s="271"/>
      <c r="AR814" s="271"/>
      <c r="AS814" s="271"/>
      <c r="AT814" s="271"/>
      <c r="AU814" s="271"/>
      <c r="AV814" s="271"/>
      <c r="AW814" s="271"/>
      <c r="AX814" s="271"/>
      <c r="AY814" s="271"/>
    </row>
    <row r="815" spans="1:51" ht="15.75" customHeight="1" x14ac:dyDescent="0.25">
      <c r="A815" s="271"/>
      <c r="B815" s="534"/>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c r="AL815" s="271"/>
      <c r="AM815" s="271"/>
      <c r="AN815" s="271"/>
      <c r="AO815" s="271"/>
      <c r="AP815" s="271"/>
      <c r="AQ815" s="271"/>
      <c r="AR815" s="271"/>
      <c r="AS815" s="271"/>
      <c r="AT815" s="271"/>
      <c r="AU815" s="271"/>
      <c r="AV815" s="271"/>
      <c r="AW815" s="271"/>
      <c r="AX815" s="271"/>
      <c r="AY815" s="271"/>
    </row>
    <row r="816" spans="1:51" ht="15.75" customHeight="1" x14ac:dyDescent="0.25">
      <c r="A816" s="271"/>
      <c r="B816" s="534"/>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c r="AL816" s="271"/>
      <c r="AM816" s="271"/>
      <c r="AN816" s="271"/>
      <c r="AO816" s="271"/>
      <c r="AP816" s="271"/>
      <c r="AQ816" s="271"/>
      <c r="AR816" s="271"/>
      <c r="AS816" s="271"/>
      <c r="AT816" s="271"/>
      <c r="AU816" s="271"/>
      <c r="AV816" s="271"/>
      <c r="AW816" s="271"/>
      <c r="AX816" s="271"/>
      <c r="AY816" s="271"/>
    </row>
    <row r="817" spans="1:51" ht="15.75" customHeight="1" x14ac:dyDescent="0.25">
      <c r="A817" s="271"/>
      <c r="B817" s="534"/>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c r="AL817" s="271"/>
      <c r="AM817" s="271"/>
      <c r="AN817" s="271"/>
      <c r="AO817" s="271"/>
      <c r="AP817" s="271"/>
      <c r="AQ817" s="271"/>
      <c r="AR817" s="271"/>
      <c r="AS817" s="271"/>
      <c r="AT817" s="271"/>
      <c r="AU817" s="271"/>
      <c r="AV817" s="271"/>
      <c r="AW817" s="271"/>
      <c r="AX817" s="271"/>
      <c r="AY817" s="271"/>
    </row>
    <row r="818" spans="1:51" ht="15.75" customHeight="1" x14ac:dyDescent="0.25">
      <c r="A818" s="271"/>
      <c r="B818" s="534"/>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c r="AL818" s="271"/>
      <c r="AM818" s="271"/>
      <c r="AN818" s="271"/>
      <c r="AO818" s="271"/>
      <c r="AP818" s="271"/>
      <c r="AQ818" s="271"/>
      <c r="AR818" s="271"/>
      <c r="AS818" s="271"/>
      <c r="AT818" s="271"/>
      <c r="AU818" s="271"/>
      <c r="AV818" s="271"/>
      <c r="AW818" s="271"/>
      <c r="AX818" s="271"/>
      <c r="AY818" s="271"/>
    </row>
    <row r="819" spans="1:51" ht="15.75" customHeight="1" x14ac:dyDescent="0.25">
      <c r="A819" s="271"/>
      <c r="B819" s="534"/>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c r="AL819" s="271"/>
      <c r="AM819" s="271"/>
      <c r="AN819" s="271"/>
      <c r="AO819" s="271"/>
      <c r="AP819" s="271"/>
      <c r="AQ819" s="271"/>
      <c r="AR819" s="271"/>
      <c r="AS819" s="271"/>
      <c r="AT819" s="271"/>
      <c r="AU819" s="271"/>
      <c r="AV819" s="271"/>
      <c r="AW819" s="271"/>
      <c r="AX819" s="271"/>
      <c r="AY819" s="271"/>
    </row>
    <row r="820" spans="1:51" ht="15.75" customHeight="1" x14ac:dyDescent="0.25">
      <c r="A820" s="271"/>
      <c r="B820" s="534"/>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c r="AL820" s="271"/>
      <c r="AM820" s="271"/>
      <c r="AN820" s="271"/>
      <c r="AO820" s="271"/>
      <c r="AP820" s="271"/>
      <c r="AQ820" s="271"/>
      <c r="AR820" s="271"/>
      <c r="AS820" s="271"/>
      <c r="AT820" s="271"/>
      <c r="AU820" s="271"/>
      <c r="AV820" s="271"/>
      <c r="AW820" s="271"/>
      <c r="AX820" s="271"/>
      <c r="AY820" s="271"/>
    </row>
    <row r="821" spans="1:51" ht="15.75" customHeight="1" x14ac:dyDescent="0.25">
      <c r="A821" s="271"/>
      <c r="B821" s="534"/>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c r="AL821" s="271"/>
      <c r="AM821" s="271"/>
      <c r="AN821" s="271"/>
      <c r="AO821" s="271"/>
      <c r="AP821" s="271"/>
      <c r="AQ821" s="271"/>
      <c r="AR821" s="271"/>
      <c r="AS821" s="271"/>
      <c r="AT821" s="271"/>
      <c r="AU821" s="271"/>
      <c r="AV821" s="271"/>
      <c r="AW821" s="271"/>
      <c r="AX821" s="271"/>
      <c r="AY821" s="271"/>
    </row>
    <row r="822" spans="1:51" ht="15.75" customHeight="1" x14ac:dyDescent="0.25">
      <c r="A822" s="271"/>
      <c r="B822" s="534"/>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c r="AL822" s="271"/>
      <c r="AM822" s="271"/>
      <c r="AN822" s="271"/>
      <c r="AO822" s="271"/>
      <c r="AP822" s="271"/>
      <c r="AQ822" s="271"/>
      <c r="AR822" s="271"/>
      <c r="AS822" s="271"/>
      <c r="AT822" s="271"/>
      <c r="AU822" s="271"/>
      <c r="AV822" s="271"/>
      <c r="AW822" s="271"/>
      <c r="AX822" s="271"/>
      <c r="AY822" s="271"/>
    </row>
    <row r="823" spans="1:51" ht="15.75" customHeight="1" x14ac:dyDescent="0.25">
      <c r="A823" s="271"/>
      <c r="B823" s="534"/>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c r="AL823" s="271"/>
      <c r="AM823" s="271"/>
      <c r="AN823" s="271"/>
      <c r="AO823" s="271"/>
      <c r="AP823" s="271"/>
      <c r="AQ823" s="271"/>
      <c r="AR823" s="271"/>
      <c r="AS823" s="271"/>
      <c r="AT823" s="271"/>
      <c r="AU823" s="271"/>
      <c r="AV823" s="271"/>
      <c r="AW823" s="271"/>
      <c r="AX823" s="271"/>
      <c r="AY823" s="271"/>
    </row>
    <row r="824" spans="1:51" ht="15.75" customHeight="1" x14ac:dyDescent="0.25">
      <c r="A824" s="271"/>
      <c r="B824" s="534"/>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c r="AL824" s="271"/>
      <c r="AM824" s="271"/>
      <c r="AN824" s="271"/>
      <c r="AO824" s="271"/>
      <c r="AP824" s="271"/>
      <c r="AQ824" s="271"/>
      <c r="AR824" s="271"/>
      <c r="AS824" s="271"/>
      <c r="AT824" s="271"/>
      <c r="AU824" s="271"/>
      <c r="AV824" s="271"/>
      <c r="AW824" s="271"/>
      <c r="AX824" s="271"/>
      <c r="AY824" s="271"/>
    </row>
    <row r="825" spans="1:51" ht="15.75" customHeight="1" x14ac:dyDescent="0.25">
      <c r="A825" s="271"/>
      <c r="B825" s="534"/>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c r="AL825" s="271"/>
      <c r="AM825" s="271"/>
      <c r="AN825" s="271"/>
      <c r="AO825" s="271"/>
      <c r="AP825" s="271"/>
      <c r="AQ825" s="271"/>
      <c r="AR825" s="271"/>
      <c r="AS825" s="271"/>
      <c r="AT825" s="271"/>
      <c r="AU825" s="271"/>
      <c r="AV825" s="271"/>
      <c r="AW825" s="271"/>
      <c r="AX825" s="271"/>
      <c r="AY825" s="271"/>
    </row>
    <row r="826" spans="1:51" ht="15.75" customHeight="1" x14ac:dyDescent="0.25">
      <c r="A826" s="271"/>
      <c r="B826" s="534"/>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c r="AL826" s="271"/>
      <c r="AM826" s="271"/>
      <c r="AN826" s="271"/>
      <c r="AO826" s="271"/>
      <c r="AP826" s="271"/>
      <c r="AQ826" s="271"/>
      <c r="AR826" s="271"/>
      <c r="AS826" s="271"/>
      <c r="AT826" s="271"/>
      <c r="AU826" s="271"/>
      <c r="AV826" s="271"/>
      <c r="AW826" s="271"/>
      <c r="AX826" s="271"/>
      <c r="AY826" s="271"/>
    </row>
    <row r="827" spans="1:51" ht="15.75" customHeight="1" x14ac:dyDescent="0.25">
      <c r="A827" s="271"/>
      <c r="B827" s="534"/>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c r="AL827" s="271"/>
      <c r="AM827" s="271"/>
      <c r="AN827" s="271"/>
      <c r="AO827" s="271"/>
      <c r="AP827" s="271"/>
      <c r="AQ827" s="271"/>
      <c r="AR827" s="271"/>
      <c r="AS827" s="271"/>
      <c r="AT827" s="271"/>
      <c r="AU827" s="271"/>
      <c r="AV827" s="271"/>
      <c r="AW827" s="271"/>
      <c r="AX827" s="271"/>
      <c r="AY827" s="271"/>
    </row>
    <row r="828" spans="1:51" ht="15.75" customHeight="1" x14ac:dyDescent="0.25">
      <c r="A828" s="271"/>
      <c r="B828" s="534"/>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c r="AL828" s="271"/>
      <c r="AM828" s="271"/>
      <c r="AN828" s="271"/>
      <c r="AO828" s="271"/>
      <c r="AP828" s="271"/>
      <c r="AQ828" s="271"/>
      <c r="AR828" s="271"/>
      <c r="AS828" s="271"/>
      <c r="AT828" s="271"/>
      <c r="AU828" s="271"/>
      <c r="AV828" s="271"/>
      <c r="AW828" s="271"/>
      <c r="AX828" s="271"/>
      <c r="AY828" s="271"/>
    </row>
    <row r="829" spans="1:51" ht="15.75" customHeight="1" x14ac:dyDescent="0.25">
      <c r="A829" s="271"/>
      <c r="B829" s="534"/>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c r="AL829" s="271"/>
      <c r="AM829" s="271"/>
      <c r="AN829" s="271"/>
      <c r="AO829" s="271"/>
      <c r="AP829" s="271"/>
      <c r="AQ829" s="271"/>
      <c r="AR829" s="271"/>
      <c r="AS829" s="271"/>
      <c r="AT829" s="271"/>
      <c r="AU829" s="271"/>
      <c r="AV829" s="271"/>
      <c r="AW829" s="271"/>
      <c r="AX829" s="271"/>
      <c r="AY829" s="271"/>
    </row>
    <row r="830" spans="1:51" ht="15.75" customHeight="1" x14ac:dyDescent="0.25">
      <c r="A830" s="271"/>
      <c r="B830" s="534"/>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c r="AL830" s="271"/>
      <c r="AM830" s="271"/>
      <c r="AN830" s="271"/>
      <c r="AO830" s="271"/>
      <c r="AP830" s="271"/>
      <c r="AQ830" s="271"/>
      <c r="AR830" s="271"/>
      <c r="AS830" s="271"/>
      <c r="AT830" s="271"/>
      <c r="AU830" s="271"/>
      <c r="AV830" s="271"/>
      <c r="AW830" s="271"/>
      <c r="AX830" s="271"/>
      <c r="AY830" s="271"/>
    </row>
    <row r="831" spans="1:51" ht="15.75" customHeight="1" x14ac:dyDescent="0.25">
      <c r="A831" s="271"/>
      <c r="B831" s="534"/>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c r="AL831" s="271"/>
      <c r="AM831" s="271"/>
      <c r="AN831" s="271"/>
      <c r="AO831" s="271"/>
      <c r="AP831" s="271"/>
      <c r="AQ831" s="271"/>
      <c r="AR831" s="271"/>
      <c r="AS831" s="271"/>
      <c r="AT831" s="271"/>
      <c r="AU831" s="271"/>
      <c r="AV831" s="271"/>
      <c r="AW831" s="271"/>
      <c r="AX831" s="271"/>
      <c r="AY831" s="271"/>
    </row>
    <row r="832" spans="1:51" ht="15.75" customHeight="1" x14ac:dyDescent="0.25">
      <c r="A832" s="271"/>
      <c r="B832" s="534"/>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c r="AL832" s="271"/>
      <c r="AM832" s="271"/>
      <c r="AN832" s="271"/>
      <c r="AO832" s="271"/>
      <c r="AP832" s="271"/>
      <c r="AQ832" s="271"/>
      <c r="AR832" s="271"/>
      <c r="AS832" s="271"/>
      <c r="AT832" s="271"/>
      <c r="AU832" s="271"/>
      <c r="AV832" s="271"/>
      <c r="AW832" s="271"/>
      <c r="AX832" s="271"/>
      <c r="AY832" s="271"/>
    </row>
    <row r="833" spans="1:51" ht="15.75" customHeight="1" x14ac:dyDescent="0.25">
      <c r="A833" s="271"/>
      <c r="B833" s="534"/>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c r="AL833" s="271"/>
      <c r="AM833" s="271"/>
      <c r="AN833" s="271"/>
      <c r="AO833" s="271"/>
      <c r="AP833" s="271"/>
      <c r="AQ833" s="271"/>
      <c r="AR833" s="271"/>
      <c r="AS833" s="271"/>
      <c r="AT833" s="271"/>
      <c r="AU833" s="271"/>
      <c r="AV833" s="271"/>
      <c r="AW833" s="271"/>
      <c r="AX833" s="271"/>
      <c r="AY833" s="271"/>
    </row>
    <row r="834" spans="1:51" ht="15.75" customHeight="1" x14ac:dyDescent="0.25">
      <c r="A834" s="271"/>
      <c r="B834" s="534"/>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c r="AL834" s="271"/>
      <c r="AM834" s="271"/>
      <c r="AN834" s="271"/>
      <c r="AO834" s="271"/>
      <c r="AP834" s="271"/>
      <c r="AQ834" s="271"/>
      <c r="AR834" s="271"/>
      <c r="AS834" s="271"/>
      <c r="AT834" s="271"/>
      <c r="AU834" s="271"/>
      <c r="AV834" s="271"/>
      <c r="AW834" s="271"/>
      <c r="AX834" s="271"/>
      <c r="AY834" s="271"/>
    </row>
    <row r="835" spans="1:51" ht="15.75" customHeight="1" x14ac:dyDescent="0.25">
      <c r="A835" s="271"/>
      <c r="B835" s="534"/>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c r="AL835" s="271"/>
      <c r="AM835" s="271"/>
      <c r="AN835" s="271"/>
      <c r="AO835" s="271"/>
      <c r="AP835" s="271"/>
      <c r="AQ835" s="271"/>
      <c r="AR835" s="271"/>
      <c r="AS835" s="271"/>
      <c r="AT835" s="271"/>
      <c r="AU835" s="271"/>
      <c r="AV835" s="271"/>
      <c r="AW835" s="271"/>
      <c r="AX835" s="271"/>
      <c r="AY835" s="271"/>
    </row>
    <row r="836" spans="1:51" ht="15.75" customHeight="1" x14ac:dyDescent="0.25">
      <c r="A836" s="271"/>
      <c r="B836" s="534"/>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c r="AL836" s="271"/>
      <c r="AM836" s="271"/>
      <c r="AN836" s="271"/>
      <c r="AO836" s="271"/>
      <c r="AP836" s="271"/>
      <c r="AQ836" s="271"/>
      <c r="AR836" s="271"/>
      <c r="AS836" s="271"/>
      <c r="AT836" s="271"/>
      <c r="AU836" s="271"/>
      <c r="AV836" s="271"/>
      <c r="AW836" s="271"/>
      <c r="AX836" s="271"/>
      <c r="AY836" s="271"/>
    </row>
    <row r="837" spans="1:51" ht="15.75" customHeight="1" x14ac:dyDescent="0.25">
      <c r="A837" s="271"/>
      <c r="B837" s="534"/>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c r="AL837" s="271"/>
      <c r="AM837" s="271"/>
      <c r="AN837" s="271"/>
      <c r="AO837" s="271"/>
      <c r="AP837" s="271"/>
      <c r="AQ837" s="271"/>
      <c r="AR837" s="271"/>
      <c r="AS837" s="271"/>
      <c r="AT837" s="271"/>
      <c r="AU837" s="271"/>
      <c r="AV837" s="271"/>
      <c r="AW837" s="271"/>
      <c r="AX837" s="271"/>
      <c r="AY837" s="271"/>
    </row>
    <row r="838" spans="1:51" ht="15.75" customHeight="1" x14ac:dyDescent="0.25">
      <c r="A838" s="271"/>
      <c r="B838" s="534"/>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c r="AL838" s="271"/>
      <c r="AM838" s="271"/>
      <c r="AN838" s="271"/>
      <c r="AO838" s="271"/>
      <c r="AP838" s="271"/>
      <c r="AQ838" s="271"/>
      <c r="AR838" s="271"/>
      <c r="AS838" s="271"/>
      <c r="AT838" s="271"/>
      <c r="AU838" s="271"/>
      <c r="AV838" s="271"/>
      <c r="AW838" s="271"/>
      <c r="AX838" s="271"/>
      <c r="AY838" s="271"/>
    </row>
    <row r="839" spans="1:51" ht="15.75" customHeight="1" x14ac:dyDescent="0.25">
      <c r="A839" s="271"/>
      <c r="B839" s="534"/>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c r="AL839" s="271"/>
      <c r="AM839" s="271"/>
      <c r="AN839" s="271"/>
      <c r="AO839" s="271"/>
      <c r="AP839" s="271"/>
      <c r="AQ839" s="271"/>
      <c r="AR839" s="271"/>
      <c r="AS839" s="271"/>
      <c r="AT839" s="271"/>
      <c r="AU839" s="271"/>
      <c r="AV839" s="271"/>
      <c r="AW839" s="271"/>
      <c r="AX839" s="271"/>
      <c r="AY839" s="271"/>
    </row>
    <row r="840" spans="1:51" ht="15.75" customHeight="1" x14ac:dyDescent="0.25">
      <c r="A840" s="271"/>
      <c r="B840" s="534"/>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c r="AL840" s="271"/>
      <c r="AM840" s="271"/>
      <c r="AN840" s="271"/>
      <c r="AO840" s="271"/>
      <c r="AP840" s="271"/>
      <c r="AQ840" s="271"/>
      <c r="AR840" s="271"/>
      <c r="AS840" s="271"/>
      <c r="AT840" s="271"/>
      <c r="AU840" s="271"/>
      <c r="AV840" s="271"/>
      <c r="AW840" s="271"/>
      <c r="AX840" s="271"/>
      <c r="AY840" s="271"/>
    </row>
    <row r="841" spans="1:51" ht="15.75" customHeight="1" x14ac:dyDescent="0.25">
      <c r="A841" s="271"/>
      <c r="B841" s="534"/>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c r="AL841" s="271"/>
      <c r="AM841" s="271"/>
      <c r="AN841" s="271"/>
      <c r="AO841" s="271"/>
      <c r="AP841" s="271"/>
      <c r="AQ841" s="271"/>
      <c r="AR841" s="271"/>
      <c r="AS841" s="271"/>
      <c r="AT841" s="271"/>
      <c r="AU841" s="271"/>
      <c r="AV841" s="271"/>
      <c r="AW841" s="271"/>
      <c r="AX841" s="271"/>
      <c r="AY841" s="271"/>
    </row>
    <row r="842" spans="1:51" ht="15.75" customHeight="1" x14ac:dyDescent="0.25">
      <c r="A842" s="271"/>
      <c r="B842" s="534"/>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c r="AL842" s="271"/>
      <c r="AM842" s="271"/>
      <c r="AN842" s="271"/>
      <c r="AO842" s="271"/>
      <c r="AP842" s="271"/>
      <c r="AQ842" s="271"/>
      <c r="AR842" s="271"/>
      <c r="AS842" s="271"/>
      <c r="AT842" s="271"/>
      <c r="AU842" s="271"/>
      <c r="AV842" s="271"/>
      <c r="AW842" s="271"/>
      <c r="AX842" s="271"/>
      <c r="AY842" s="271"/>
    </row>
    <row r="843" spans="1:51" ht="15.75" customHeight="1" x14ac:dyDescent="0.25">
      <c r="A843" s="271"/>
      <c r="B843" s="534"/>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c r="AL843" s="271"/>
      <c r="AM843" s="271"/>
      <c r="AN843" s="271"/>
      <c r="AO843" s="271"/>
      <c r="AP843" s="271"/>
      <c r="AQ843" s="271"/>
      <c r="AR843" s="271"/>
      <c r="AS843" s="271"/>
      <c r="AT843" s="271"/>
      <c r="AU843" s="271"/>
      <c r="AV843" s="271"/>
      <c r="AW843" s="271"/>
      <c r="AX843" s="271"/>
      <c r="AY843" s="271"/>
    </row>
    <row r="844" spans="1:51" ht="15.75" customHeight="1" x14ac:dyDescent="0.25">
      <c r="A844" s="271"/>
      <c r="B844" s="534"/>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c r="AL844" s="271"/>
      <c r="AM844" s="271"/>
      <c r="AN844" s="271"/>
      <c r="AO844" s="271"/>
      <c r="AP844" s="271"/>
      <c r="AQ844" s="271"/>
      <c r="AR844" s="271"/>
      <c r="AS844" s="271"/>
      <c r="AT844" s="271"/>
      <c r="AU844" s="271"/>
      <c r="AV844" s="271"/>
      <c r="AW844" s="271"/>
      <c r="AX844" s="271"/>
      <c r="AY844" s="271"/>
    </row>
    <row r="845" spans="1:51" ht="15.75" customHeight="1" x14ac:dyDescent="0.25">
      <c r="A845" s="271"/>
      <c r="B845" s="534"/>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c r="AL845" s="271"/>
      <c r="AM845" s="271"/>
      <c r="AN845" s="271"/>
      <c r="AO845" s="271"/>
      <c r="AP845" s="271"/>
      <c r="AQ845" s="271"/>
      <c r="AR845" s="271"/>
      <c r="AS845" s="271"/>
      <c r="AT845" s="271"/>
      <c r="AU845" s="271"/>
      <c r="AV845" s="271"/>
      <c r="AW845" s="271"/>
      <c r="AX845" s="271"/>
      <c r="AY845" s="271"/>
    </row>
    <row r="846" spans="1:51" ht="15.75" customHeight="1" x14ac:dyDescent="0.25">
      <c r="A846" s="271"/>
      <c r="B846" s="534"/>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c r="AL846" s="271"/>
      <c r="AM846" s="271"/>
      <c r="AN846" s="271"/>
      <c r="AO846" s="271"/>
      <c r="AP846" s="271"/>
      <c r="AQ846" s="271"/>
      <c r="AR846" s="271"/>
      <c r="AS846" s="271"/>
      <c r="AT846" s="271"/>
      <c r="AU846" s="271"/>
      <c r="AV846" s="271"/>
      <c r="AW846" s="271"/>
      <c r="AX846" s="271"/>
      <c r="AY846" s="271"/>
    </row>
    <row r="847" spans="1:51" ht="15.75" customHeight="1" x14ac:dyDescent="0.25">
      <c r="A847" s="271"/>
      <c r="B847" s="534"/>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c r="AL847" s="271"/>
      <c r="AM847" s="271"/>
      <c r="AN847" s="271"/>
      <c r="AO847" s="271"/>
      <c r="AP847" s="271"/>
      <c r="AQ847" s="271"/>
      <c r="AR847" s="271"/>
      <c r="AS847" s="271"/>
      <c r="AT847" s="271"/>
      <c r="AU847" s="271"/>
      <c r="AV847" s="271"/>
      <c r="AW847" s="271"/>
      <c r="AX847" s="271"/>
      <c r="AY847" s="271"/>
    </row>
    <row r="848" spans="1:51" ht="15.75" customHeight="1" x14ac:dyDescent="0.25">
      <c r="A848" s="271"/>
      <c r="B848" s="534"/>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c r="AL848" s="271"/>
      <c r="AM848" s="271"/>
      <c r="AN848" s="271"/>
      <c r="AO848" s="271"/>
      <c r="AP848" s="271"/>
      <c r="AQ848" s="271"/>
      <c r="AR848" s="271"/>
      <c r="AS848" s="271"/>
      <c r="AT848" s="271"/>
      <c r="AU848" s="271"/>
      <c r="AV848" s="271"/>
      <c r="AW848" s="271"/>
      <c r="AX848" s="271"/>
      <c r="AY848" s="271"/>
    </row>
    <row r="849" spans="1:51" ht="15.75" customHeight="1" x14ac:dyDescent="0.25">
      <c r="A849" s="271"/>
      <c r="B849" s="534"/>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c r="AL849" s="271"/>
      <c r="AM849" s="271"/>
      <c r="AN849" s="271"/>
      <c r="AO849" s="271"/>
      <c r="AP849" s="271"/>
      <c r="AQ849" s="271"/>
      <c r="AR849" s="271"/>
      <c r="AS849" s="271"/>
      <c r="AT849" s="271"/>
      <c r="AU849" s="271"/>
      <c r="AV849" s="271"/>
      <c r="AW849" s="271"/>
      <c r="AX849" s="271"/>
      <c r="AY849" s="271"/>
    </row>
    <row r="850" spans="1:51" ht="15.75" customHeight="1" x14ac:dyDescent="0.25">
      <c r="A850" s="271"/>
      <c r="B850" s="534"/>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c r="AL850" s="271"/>
      <c r="AM850" s="271"/>
      <c r="AN850" s="271"/>
      <c r="AO850" s="271"/>
      <c r="AP850" s="271"/>
      <c r="AQ850" s="271"/>
      <c r="AR850" s="271"/>
      <c r="AS850" s="271"/>
      <c r="AT850" s="271"/>
      <c r="AU850" s="271"/>
      <c r="AV850" s="271"/>
      <c r="AW850" s="271"/>
      <c r="AX850" s="271"/>
      <c r="AY850" s="271"/>
    </row>
    <row r="851" spans="1:51" ht="15.75" customHeight="1" x14ac:dyDescent="0.25">
      <c r="A851" s="271"/>
      <c r="B851" s="534"/>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c r="AL851" s="271"/>
      <c r="AM851" s="271"/>
      <c r="AN851" s="271"/>
      <c r="AO851" s="271"/>
      <c r="AP851" s="271"/>
      <c r="AQ851" s="271"/>
      <c r="AR851" s="271"/>
      <c r="AS851" s="271"/>
      <c r="AT851" s="271"/>
      <c r="AU851" s="271"/>
      <c r="AV851" s="271"/>
      <c r="AW851" s="271"/>
      <c r="AX851" s="271"/>
      <c r="AY851" s="271"/>
    </row>
    <row r="852" spans="1:51" ht="15.75" customHeight="1" x14ac:dyDescent="0.25">
      <c r="A852" s="271"/>
      <c r="B852" s="534"/>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c r="AL852" s="271"/>
      <c r="AM852" s="271"/>
      <c r="AN852" s="271"/>
      <c r="AO852" s="271"/>
      <c r="AP852" s="271"/>
      <c r="AQ852" s="271"/>
      <c r="AR852" s="271"/>
      <c r="AS852" s="271"/>
      <c r="AT852" s="271"/>
      <c r="AU852" s="271"/>
      <c r="AV852" s="271"/>
      <c r="AW852" s="271"/>
      <c r="AX852" s="271"/>
      <c r="AY852" s="271"/>
    </row>
    <row r="853" spans="1:51" ht="15.75" customHeight="1" x14ac:dyDescent="0.25">
      <c r="A853" s="271"/>
      <c r="B853" s="534"/>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c r="AL853" s="271"/>
      <c r="AM853" s="271"/>
      <c r="AN853" s="271"/>
      <c r="AO853" s="271"/>
      <c r="AP853" s="271"/>
      <c r="AQ853" s="271"/>
      <c r="AR853" s="271"/>
      <c r="AS853" s="271"/>
      <c r="AT853" s="271"/>
      <c r="AU853" s="271"/>
      <c r="AV853" s="271"/>
      <c r="AW853" s="271"/>
      <c r="AX853" s="271"/>
      <c r="AY853" s="271"/>
    </row>
    <row r="854" spans="1:51" ht="15.75" customHeight="1" x14ac:dyDescent="0.25">
      <c r="A854" s="271"/>
      <c r="B854" s="534"/>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c r="AL854" s="271"/>
      <c r="AM854" s="271"/>
      <c r="AN854" s="271"/>
      <c r="AO854" s="271"/>
      <c r="AP854" s="271"/>
      <c r="AQ854" s="271"/>
      <c r="AR854" s="271"/>
      <c r="AS854" s="271"/>
      <c r="AT854" s="271"/>
      <c r="AU854" s="271"/>
      <c r="AV854" s="271"/>
      <c r="AW854" s="271"/>
      <c r="AX854" s="271"/>
      <c r="AY854" s="271"/>
    </row>
    <row r="855" spans="1:51" ht="15.75" customHeight="1" x14ac:dyDescent="0.25">
      <c r="A855" s="271"/>
      <c r="B855" s="534"/>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c r="AL855" s="271"/>
      <c r="AM855" s="271"/>
      <c r="AN855" s="271"/>
      <c r="AO855" s="271"/>
      <c r="AP855" s="271"/>
      <c r="AQ855" s="271"/>
      <c r="AR855" s="271"/>
      <c r="AS855" s="271"/>
      <c r="AT855" s="271"/>
      <c r="AU855" s="271"/>
      <c r="AV855" s="271"/>
      <c r="AW855" s="271"/>
      <c r="AX855" s="271"/>
      <c r="AY855" s="271"/>
    </row>
    <row r="856" spans="1:51" ht="15.75" customHeight="1" x14ac:dyDescent="0.25">
      <c r="A856" s="271"/>
      <c r="B856" s="534"/>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c r="AL856" s="271"/>
      <c r="AM856" s="271"/>
      <c r="AN856" s="271"/>
      <c r="AO856" s="271"/>
      <c r="AP856" s="271"/>
      <c r="AQ856" s="271"/>
      <c r="AR856" s="271"/>
      <c r="AS856" s="271"/>
      <c r="AT856" s="271"/>
      <c r="AU856" s="271"/>
      <c r="AV856" s="271"/>
      <c r="AW856" s="271"/>
      <c r="AX856" s="271"/>
      <c r="AY856" s="271"/>
    </row>
    <row r="857" spans="1:51" ht="15.75" customHeight="1" x14ac:dyDescent="0.25">
      <c r="A857" s="271"/>
      <c r="B857" s="534"/>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c r="AL857" s="271"/>
      <c r="AM857" s="271"/>
      <c r="AN857" s="271"/>
      <c r="AO857" s="271"/>
      <c r="AP857" s="271"/>
      <c r="AQ857" s="271"/>
      <c r="AR857" s="271"/>
      <c r="AS857" s="271"/>
      <c r="AT857" s="271"/>
      <c r="AU857" s="271"/>
      <c r="AV857" s="271"/>
      <c r="AW857" s="271"/>
      <c r="AX857" s="271"/>
      <c r="AY857" s="271"/>
    </row>
    <row r="858" spans="1:51" ht="15.75" customHeight="1" x14ac:dyDescent="0.25">
      <c r="A858" s="271"/>
      <c r="B858" s="534"/>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c r="AL858" s="271"/>
      <c r="AM858" s="271"/>
      <c r="AN858" s="271"/>
      <c r="AO858" s="271"/>
      <c r="AP858" s="271"/>
      <c r="AQ858" s="271"/>
      <c r="AR858" s="271"/>
      <c r="AS858" s="271"/>
      <c r="AT858" s="271"/>
      <c r="AU858" s="271"/>
      <c r="AV858" s="271"/>
      <c r="AW858" s="271"/>
      <c r="AX858" s="271"/>
      <c r="AY858" s="271"/>
    </row>
    <row r="859" spans="1:51" ht="15.75" customHeight="1" x14ac:dyDescent="0.25">
      <c r="A859" s="271"/>
      <c r="B859" s="534"/>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c r="AL859" s="271"/>
      <c r="AM859" s="271"/>
      <c r="AN859" s="271"/>
      <c r="AO859" s="271"/>
      <c r="AP859" s="271"/>
      <c r="AQ859" s="271"/>
      <c r="AR859" s="271"/>
      <c r="AS859" s="271"/>
      <c r="AT859" s="271"/>
      <c r="AU859" s="271"/>
      <c r="AV859" s="271"/>
      <c r="AW859" s="271"/>
      <c r="AX859" s="271"/>
      <c r="AY859" s="271"/>
    </row>
    <row r="860" spans="1:51" ht="15.75" customHeight="1" x14ac:dyDescent="0.25">
      <c r="A860" s="271"/>
      <c r="B860" s="534"/>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c r="AL860" s="271"/>
      <c r="AM860" s="271"/>
      <c r="AN860" s="271"/>
      <c r="AO860" s="271"/>
      <c r="AP860" s="271"/>
      <c r="AQ860" s="271"/>
      <c r="AR860" s="271"/>
      <c r="AS860" s="271"/>
      <c r="AT860" s="271"/>
      <c r="AU860" s="271"/>
      <c r="AV860" s="271"/>
      <c r="AW860" s="271"/>
      <c r="AX860" s="271"/>
      <c r="AY860" s="271"/>
    </row>
    <row r="861" spans="1:51" ht="15.75" customHeight="1" x14ac:dyDescent="0.25">
      <c r="A861" s="271"/>
      <c r="B861" s="534"/>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c r="AL861" s="271"/>
      <c r="AM861" s="271"/>
      <c r="AN861" s="271"/>
      <c r="AO861" s="271"/>
      <c r="AP861" s="271"/>
      <c r="AQ861" s="271"/>
      <c r="AR861" s="271"/>
      <c r="AS861" s="271"/>
      <c r="AT861" s="271"/>
      <c r="AU861" s="271"/>
      <c r="AV861" s="271"/>
      <c r="AW861" s="271"/>
      <c r="AX861" s="271"/>
      <c r="AY861" s="271"/>
    </row>
    <row r="862" spans="1:51" ht="15.75" customHeight="1" x14ac:dyDescent="0.25">
      <c r="A862" s="271"/>
      <c r="B862" s="534"/>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c r="AL862" s="271"/>
      <c r="AM862" s="271"/>
      <c r="AN862" s="271"/>
      <c r="AO862" s="271"/>
      <c r="AP862" s="271"/>
      <c r="AQ862" s="271"/>
      <c r="AR862" s="271"/>
      <c r="AS862" s="271"/>
      <c r="AT862" s="271"/>
      <c r="AU862" s="271"/>
      <c r="AV862" s="271"/>
      <c r="AW862" s="271"/>
      <c r="AX862" s="271"/>
      <c r="AY862" s="271"/>
    </row>
    <row r="863" spans="1:51" ht="15.75" customHeight="1" x14ac:dyDescent="0.25">
      <c r="A863" s="271"/>
      <c r="B863" s="534"/>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c r="AL863" s="271"/>
      <c r="AM863" s="271"/>
      <c r="AN863" s="271"/>
      <c r="AO863" s="271"/>
      <c r="AP863" s="271"/>
      <c r="AQ863" s="271"/>
      <c r="AR863" s="271"/>
      <c r="AS863" s="271"/>
      <c r="AT863" s="271"/>
      <c r="AU863" s="271"/>
      <c r="AV863" s="271"/>
      <c r="AW863" s="271"/>
      <c r="AX863" s="271"/>
      <c r="AY863" s="271"/>
    </row>
    <row r="864" spans="1:51" ht="15.75" customHeight="1" x14ac:dyDescent="0.25">
      <c r="A864" s="271"/>
      <c r="B864" s="534"/>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c r="AL864" s="271"/>
      <c r="AM864" s="271"/>
      <c r="AN864" s="271"/>
      <c r="AO864" s="271"/>
      <c r="AP864" s="271"/>
      <c r="AQ864" s="271"/>
      <c r="AR864" s="271"/>
      <c r="AS864" s="271"/>
      <c r="AT864" s="271"/>
      <c r="AU864" s="271"/>
      <c r="AV864" s="271"/>
      <c r="AW864" s="271"/>
      <c r="AX864" s="271"/>
      <c r="AY864" s="271"/>
    </row>
    <row r="865" spans="1:51" ht="15.75" customHeight="1" x14ac:dyDescent="0.25">
      <c r="A865" s="271"/>
      <c r="B865" s="534"/>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c r="AL865" s="271"/>
      <c r="AM865" s="271"/>
      <c r="AN865" s="271"/>
      <c r="AO865" s="271"/>
      <c r="AP865" s="271"/>
      <c r="AQ865" s="271"/>
      <c r="AR865" s="271"/>
      <c r="AS865" s="271"/>
      <c r="AT865" s="271"/>
      <c r="AU865" s="271"/>
      <c r="AV865" s="271"/>
      <c r="AW865" s="271"/>
      <c r="AX865" s="271"/>
      <c r="AY865" s="271"/>
    </row>
    <row r="866" spans="1:51" ht="15.75" customHeight="1" x14ac:dyDescent="0.25">
      <c r="A866" s="271"/>
      <c r="B866" s="534"/>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c r="AL866" s="271"/>
      <c r="AM866" s="271"/>
      <c r="AN866" s="271"/>
      <c r="AO866" s="271"/>
      <c r="AP866" s="271"/>
      <c r="AQ866" s="271"/>
      <c r="AR866" s="271"/>
      <c r="AS866" s="271"/>
      <c r="AT866" s="271"/>
      <c r="AU866" s="271"/>
      <c r="AV866" s="271"/>
      <c r="AW866" s="271"/>
      <c r="AX866" s="271"/>
      <c r="AY866" s="271"/>
    </row>
    <row r="867" spans="1:51" ht="15.75" customHeight="1" x14ac:dyDescent="0.25">
      <c r="A867" s="271"/>
      <c r="B867" s="534"/>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c r="AL867" s="271"/>
      <c r="AM867" s="271"/>
      <c r="AN867" s="271"/>
      <c r="AO867" s="271"/>
      <c r="AP867" s="271"/>
      <c r="AQ867" s="271"/>
      <c r="AR867" s="271"/>
      <c r="AS867" s="271"/>
      <c r="AT867" s="271"/>
      <c r="AU867" s="271"/>
      <c r="AV867" s="271"/>
      <c r="AW867" s="271"/>
      <c r="AX867" s="271"/>
      <c r="AY867" s="271"/>
    </row>
    <row r="868" spans="1:51" ht="15.75" customHeight="1" x14ac:dyDescent="0.25">
      <c r="A868" s="271"/>
      <c r="B868" s="534"/>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c r="AL868" s="271"/>
      <c r="AM868" s="271"/>
      <c r="AN868" s="271"/>
      <c r="AO868" s="271"/>
      <c r="AP868" s="271"/>
      <c r="AQ868" s="271"/>
      <c r="AR868" s="271"/>
      <c r="AS868" s="271"/>
      <c r="AT868" s="271"/>
      <c r="AU868" s="271"/>
      <c r="AV868" s="271"/>
      <c r="AW868" s="271"/>
      <c r="AX868" s="271"/>
      <c r="AY868" s="271"/>
    </row>
    <row r="869" spans="1:51" ht="15.75" customHeight="1" x14ac:dyDescent="0.25">
      <c r="A869" s="271"/>
      <c r="B869" s="534"/>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c r="AL869" s="271"/>
      <c r="AM869" s="271"/>
      <c r="AN869" s="271"/>
      <c r="AO869" s="271"/>
      <c r="AP869" s="271"/>
      <c r="AQ869" s="271"/>
      <c r="AR869" s="271"/>
      <c r="AS869" s="271"/>
      <c r="AT869" s="271"/>
      <c r="AU869" s="271"/>
      <c r="AV869" s="271"/>
      <c r="AW869" s="271"/>
      <c r="AX869" s="271"/>
      <c r="AY869" s="271"/>
    </row>
    <row r="870" spans="1:51" ht="15.75" customHeight="1" x14ac:dyDescent="0.25">
      <c r="A870" s="271"/>
      <c r="B870" s="534"/>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c r="AL870" s="271"/>
      <c r="AM870" s="271"/>
      <c r="AN870" s="271"/>
      <c r="AO870" s="271"/>
      <c r="AP870" s="271"/>
      <c r="AQ870" s="271"/>
      <c r="AR870" s="271"/>
      <c r="AS870" s="271"/>
      <c r="AT870" s="271"/>
      <c r="AU870" s="271"/>
      <c r="AV870" s="271"/>
      <c r="AW870" s="271"/>
      <c r="AX870" s="271"/>
      <c r="AY870" s="271"/>
    </row>
    <row r="871" spans="1:51" ht="15.75" customHeight="1" x14ac:dyDescent="0.25">
      <c r="A871" s="271"/>
      <c r="B871" s="534"/>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c r="AL871" s="271"/>
      <c r="AM871" s="271"/>
      <c r="AN871" s="271"/>
      <c r="AO871" s="271"/>
      <c r="AP871" s="271"/>
      <c r="AQ871" s="271"/>
      <c r="AR871" s="271"/>
      <c r="AS871" s="271"/>
      <c r="AT871" s="271"/>
      <c r="AU871" s="271"/>
      <c r="AV871" s="271"/>
      <c r="AW871" s="271"/>
      <c r="AX871" s="271"/>
      <c r="AY871" s="271"/>
    </row>
    <row r="872" spans="1:51" ht="15.75" customHeight="1" x14ac:dyDescent="0.25">
      <c r="A872" s="271"/>
      <c r="B872" s="534"/>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c r="AL872" s="271"/>
      <c r="AM872" s="271"/>
      <c r="AN872" s="271"/>
      <c r="AO872" s="271"/>
      <c r="AP872" s="271"/>
      <c r="AQ872" s="271"/>
      <c r="AR872" s="271"/>
      <c r="AS872" s="271"/>
      <c r="AT872" s="271"/>
      <c r="AU872" s="271"/>
      <c r="AV872" s="271"/>
      <c r="AW872" s="271"/>
      <c r="AX872" s="271"/>
      <c r="AY872" s="271"/>
    </row>
    <row r="873" spans="1:51" ht="15.75" customHeight="1" x14ac:dyDescent="0.25">
      <c r="A873" s="271"/>
      <c r="B873" s="534"/>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c r="AL873" s="271"/>
      <c r="AM873" s="271"/>
      <c r="AN873" s="271"/>
      <c r="AO873" s="271"/>
      <c r="AP873" s="271"/>
      <c r="AQ873" s="271"/>
      <c r="AR873" s="271"/>
      <c r="AS873" s="271"/>
      <c r="AT873" s="271"/>
      <c r="AU873" s="271"/>
      <c r="AV873" s="271"/>
      <c r="AW873" s="271"/>
      <c r="AX873" s="271"/>
      <c r="AY873" s="271"/>
    </row>
    <row r="874" spans="1:51" ht="15.75" customHeight="1" x14ac:dyDescent="0.25">
      <c r="A874" s="271"/>
      <c r="B874" s="534"/>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c r="AL874" s="271"/>
      <c r="AM874" s="271"/>
      <c r="AN874" s="271"/>
      <c r="AO874" s="271"/>
      <c r="AP874" s="271"/>
      <c r="AQ874" s="271"/>
      <c r="AR874" s="271"/>
      <c r="AS874" s="271"/>
      <c r="AT874" s="271"/>
      <c r="AU874" s="271"/>
      <c r="AV874" s="271"/>
      <c r="AW874" s="271"/>
      <c r="AX874" s="271"/>
      <c r="AY874" s="271"/>
    </row>
    <row r="875" spans="1:51" ht="15.75" customHeight="1" x14ac:dyDescent="0.25">
      <c r="A875" s="271"/>
      <c r="B875" s="534"/>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c r="AL875" s="271"/>
      <c r="AM875" s="271"/>
      <c r="AN875" s="271"/>
      <c r="AO875" s="271"/>
      <c r="AP875" s="271"/>
      <c r="AQ875" s="271"/>
      <c r="AR875" s="271"/>
      <c r="AS875" s="271"/>
      <c r="AT875" s="271"/>
      <c r="AU875" s="271"/>
      <c r="AV875" s="271"/>
      <c r="AW875" s="271"/>
      <c r="AX875" s="271"/>
      <c r="AY875" s="271"/>
    </row>
    <row r="876" spans="1:51" ht="15.75" customHeight="1" x14ac:dyDescent="0.25">
      <c r="A876" s="271"/>
      <c r="B876" s="534"/>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c r="AL876" s="271"/>
      <c r="AM876" s="271"/>
      <c r="AN876" s="271"/>
      <c r="AO876" s="271"/>
      <c r="AP876" s="271"/>
      <c r="AQ876" s="271"/>
      <c r="AR876" s="271"/>
      <c r="AS876" s="271"/>
      <c r="AT876" s="271"/>
      <c r="AU876" s="271"/>
      <c r="AV876" s="271"/>
      <c r="AW876" s="271"/>
      <c r="AX876" s="271"/>
      <c r="AY876" s="271"/>
    </row>
    <row r="877" spans="1:51" ht="15.75" customHeight="1" x14ac:dyDescent="0.25">
      <c r="A877" s="271"/>
      <c r="B877" s="534"/>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c r="AL877" s="271"/>
      <c r="AM877" s="271"/>
      <c r="AN877" s="271"/>
      <c r="AO877" s="271"/>
      <c r="AP877" s="271"/>
      <c r="AQ877" s="271"/>
      <c r="AR877" s="271"/>
      <c r="AS877" s="271"/>
      <c r="AT877" s="271"/>
      <c r="AU877" s="271"/>
      <c r="AV877" s="271"/>
      <c r="AW877" s="271"/>
      <c r="AX877" s="271"/>
      <c r="AY877" s="271"/>
    </row>
    <row r="878" spans="1:51" ht="15.75" customHeight="1" x14ac:dyDescent="0.25">
      <c r="A878" s="271"/>
      <c r="B878" s="534"/>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c r="AL878" s="271"/>
      <c r="AM878" s="271"/>
      <c r="AN878" s="271"/>
      <c r="AO878" s="271"/>
      <c r="AP878" s="271"/>
      <c r="AQ878" s="271"/>
      <c r="AR878" s="271"/>
      <c r="AS878" s="271"/>
      <c r="AT878" s="271"/>
      <c r="AU878" s="271"/>
      <c r="AV878" s="271"/>
      <c r="AW878" s="271"/>
      <c r="AX878" s="271"/>
      <c r="AY878" s="271"/>
    </row>
    <row r="879" spans="1:51" ht="15.75" customHeight="1" x14ac:dyDescent="0.25">
      <c r="A879" s="271"/>
      <c r="B879" s="534"/>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c r="AL879" s="271"/>
      <c r="AM879" s="271"/>
      <c r="AN879" s="271"/>
      <c r="AO879" s="271"/>
      <c r="AP879" s="271"/>
      <c r="AQ879" s="271"/>
      <c r="AR879" s="271"/>
      <c r="AS879" s="271"/>
      <c r="AT879" s="271"/>
      <c r="AU879" s="271"/>
      <c r="AV879" s="271"/>
      <c r="AW879" s="271"/>
      <c r="AX879" s="271"/>
      <c r="AY879" s="271"/>
    </row>
    <row r="880" spans="1:51" ht="15.75" customHeight="1" x14ac:dyDescent="0.25">
      <c r="A880" s="271"/>
      <c r="B880" s="534"/>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c r="AL880" s="271"/>
      <c r="AM880" s="271"/>
      <c r="AN880" s="271"/>
      <c r="AO880" s="271"/>
      <c r="AP880" s="271"/>
      <c r="AQ880" s="271"/>
      <c r="AR880" s="271"/>
      <c r="AS880" s="271"/>
      <c r="AT880" s="271"/>
      <c r="AU880" s="271"/>
      <c r="AV880" s="271"/>
      <c r="AW880" s="271"/>
      <c r="AX880" s="271"/>
      <c r="AY880" s="271"/>
    </row>
    <row r="881" spans="1:51" ht="15.75" customHeight="1" x14ac:dyDescent="0.25">
      <c r="A881" s="271"/>
      <c r="B881" s="534"/>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c r="AL881" s="271"/>
      <c r="AM881" s="271"/>
      <c r="AN881" s="271"/>
      <c r="AO881" s="271"/>
      <c r="AP881" s="271"/>
      <c r="AQ881" s="271"/>
      <c r="AR881" s="271"/>
      <c r="AS881" s="271"/>
      <c r="AT881" s="271"/>
      <c r="AU881" s="271"/>
      <c r="AV881" s="271"/>
      <c r="AW881" s="271"/>
      <c r="AX881" s="271"/>
      <c r="AY881" s="271"/>
    </row>
    <row r="882" spans="1:51" ht="15.75" customHeight="1" x14ac:dyDescent="0.25">
      <c r="A882" s="271"/>
      <c r="B882" s="534"/>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c r="AL882" s="271"/>
      <c r="AM882" s="271"/>
      <c r="AN882" s="271"/>
      <c r="AO882" s="271"/>
      <c r="AP882" s="271"/>
      <c r="AQ882" s="271"/>
      <c r="AR882" s="271"/>
      <c r="AS882" s="271"/>
      <c r="AT882" s="271"/>
      <c r="AU882" s="271"/>
      <c r="AV882" s="271"/>
      <c r="AW882" s="271"/>
      <c r="AX882" s="271"/>
      <c r="AY882" s="271"/>
    </row>
    <row r="883" spans="1:51" ht="15.75" customHeight="1" x14ac:dyDescent="0.25">
      <c r="A883" s="271"/>
      <c r="B883" s="534"/>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c r="AL883" s="271"/>
      <c r="AM883" s="271"/>
      <c r="AN883" s="271"/>
      <c r="AO883" s="271"/>
      <c r="AP883" s="271"/>
      <c r="AQ883" s="271"/>
      <c r="AR883" s="271"/>
      <c r="AS883" s="271"/>
      <c r="AT883" s="271"/>
      <c r="AU883" s="271"/>
      <c r="AV883" s="271"/>
      <c r="AW883" s="271"/>
      <c r="AX883" s="271"/>
      <c r="AY883" s="271"/>
    </row>
    <row r="884" spans="1:51" ht="15.75" customHeight="1" x14ac:dyDescent="0.25">
      <c r="A884" s="271"/>
      <c r="B884" s="534"/>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c r="AL884" s="271"/>
      <c r="AM884" s="271"/>
      <c r="AN884" s="271"/>
      <c r="AO884" s="271"/>
      <c r="AP884" s="271"/>
      <c r="AQ884" s="271"/>
      <c r="AR884" s="271"/>
      <c r="AS884" s="271"/>
      <c r="AT884" s="271"/>
      <c r="AU884" s="271"/>
      <c r="AV884" s="271"/>
      <c r="AW884" s="271"/>
      <c r="AX884" s="271"/>
      <c r="AY884" s="271"/>
    </row>
    <row r="885" spans="1:51" ht="15.75" customHeight="1" x14ac:dyDescent="0.25">
      <c r="A885" s="271"/>
      <c r="B885" s="534"/>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c r="AL885" s="271"/>
      <c r="AM885" s="271"/>
      <c r="AN885" s="271"/>
      <c r="AO885" s="271"/>
      <c r="AP885" s="271"/>
      <c r="AQ885" s="271"/>
      <c r="AR885" s="271"/>
      <c r="AS885" s="271"/>
      <c r="AT885" s="271"/>
      <c r="AU885" s="271"/>
      <c r="AV885" s="271"/>
      <c r="AW885" s="271"/>
      <c r="AX885" s="271"/>
      <c r="AY885" s="271"/>
    </row>
    <row r="886" spans="1:51" ht="15.75" customHeight="1" x14ac:dyDescent="0.25">
      <c r="A886" s="271"/>
      <c r="B886" s="534"/>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c r="AL886" s="271"/>
      <c r="AM886" s="271"/>
      <c r="AN886" s="271"/>
      <c r="AO886" s="271"/>
      <c r="AP886" s="271"/>
      <c r="AQ886" s="271"/>
      <c r="AR886" s="271"/>
      <c r="AS886" s="271"/>
      <c r="AT886" s="271"/>
      <c r="AU886" s="271"/>
      <c r="AV886" s="271"/>
      <c r="AW886" s="271"/>
      <c r="AX886" s="271"/>
      <c r="AY886" s="271"/>
    </row>
    <row r="887" spans="1:51" ht="15.75" customHeight="1" x14ac:dyDescent="0.25">
      <c r="A887" s="271"/>
      <c r="B887" s="534"/>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c r="AL887" s="271"/>
      <c r="AM887" s="271"/>
      <c r="AN887" s="271"/>
      <c r="AO887" s="271"/>
      <c r="AP887" s="271"/>
      <c r="AQ887" s="271"/>
      <c r="AR887" s="271"/>
      <c r="AS887" s="271"/>
      <c r="AT887" s="271"/>
      <c r="AU887" s="271"/>
      <c r="AV887" s="271"/>
      <c r="AW887" s="271"/>
      <c r="AX887" s="271"/>
      <c r="AY887" s="271"/>
    </row>
    <row r="888" spans="1:51" ht="15.75" customHeight="1" x14ac:dyDescent="0.25">
      <c r="A888" s="271"/>
      <c r="B888" s="534"/>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c r="AL888" s="271"/>
      <c r="AM888" s="271"/>
      <c r="AN888" s="271"/>
      <c r="AO888" s="271"/>
      <c r="AP888" s="271"/>
      <c r="AQ888" s="271"/>
      <c r="AR888" s="271"/>
      <c r="AS888" s="271"/>
      <c r="AT888" s="271"/>
      <c r="AU888" s="271"/>
      <c r="AV888" s="271"/>
      <c r="AW888" s="271"/>
      <c r="AX888" s="271"/>
      <c r="AY888" s="271"/>
    </row>
    <row r="889" spans="1:51" ht="15.75" customHeight="1" x14ac:dyDescent="0.25">
      <c r="A889" s="271"/>
      <c r="B889" s="534"/>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c r="AL889" s="271"/>
      <c r="AM889" s="271"/>
      <c r="AN889" s="271"/>
      <c r="AO889" s="271"/>
      <c r="AP889" s="271"/>
      <c r="AQ889" s="271"/>
      <c r="AR889" s="271"/>
      <c r="AS889" s="271"/>
      <c r="AT889" s="271"/>
      <c r="AU889" s="271"/>
      <c r="AV889" s="271"/>
      <c r="AW889" s="271"/>
      <c r="AX889" s="271"/>
      <c r="AY889" s="271"/>
    </row>
    <row r="890" spans="1:51" ht="15.75" customHeight="1" x14ac:dyDescent="0.25">
      <c r="A890" s="271"/>
      <c r="B890" s="534"/>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c r="AL890" s="271"/>
      <c r="AM890" s="271"/>
      <c r="AN890" s="271"/>
      <c r="AO890" s="271"/>
      <c r="AP890" s="271"/>
      <c r="AQ890" s="271"/>
      <c r="AR890" s="271"/>
      <c r="AS890" s="271"/>
      <c r="AT890" s="271"/>
      <c r="AU890" s="271"/>
      <c r="AV890" s="271"/>
      <c r="AW890" s="271"/>
      <c r="AX890" s="271"/>
      <c r="AY890" s="271"/>
    </row>
    <row r="891" spans="1:51" ht="15.75" customHeight="1" x14ac:dyDescent="0.25">
      <c r="A891" s="271"/>
      <c r="B891" s="534"/>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c r="AL891" s="271"/>
      <c r="AM891" s="271"/>
      <c r="AN891" s="271"/>
      <c r="AO891" s="271"/>
      <c r="AP891" s="271"/>
      <c r="AQ891" s="271"/>
      <c r="AR891" s="271"/>
      <c r="AS891" s="271"/>
      <c r="AT891" s="271"/>
      <c r="AU891" s="271"/>
      <c r="AV891" s="271"/>
      <c r="AW891" s="271"/>
      <c r="AX891" s="271"/>
      <c r="AY891" s="271"/>
    </row>
    <row r="892" spans="1:51" ht="15.75" customHeight="1" x14ac:dyDescent="0.25">
      <c r="A892" s="271"/>
      <c r="B892" s="534"/>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c r="AL892" s="271"/>
      <c r="AM892" s="271"/>
      <c r="AN892" s="271"/>
      <c r="AO892" s="271"/>
      <c r="AP892" s="271"/>
      <c r="AQ892" s="271"/>
      <c r="AR892" s="271"/>
      <c r="AS892" s="271"/>
      <c r="AT892" s="271"/>
      <c r="AU892" s="271"/>
      <c r="AV892" s="271"/>
      <c r="AW892" s="271"/>
      <c r="AX892" s="271"/>
      <c r="AY892" s="271"/>
    </row>
    <row r="893" spans="1:51" ht="15.75" customHeight="1" x14ac:dyDescent="0.25">
      <c r="A893" s="271"/>
      <c r="B893" s="534"/>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c r="AL893" s="271"/>
      <c r="AM893" s="271"/>
      <c r="AN893" s="271"/>
      <c r="AO893" s="271"/>
      <c r="AP893" s="271"/>
      <c r="AQ893" s="271"/>
      <c r="AR893" s="271"/>
      <c r="AS893" s="271"/>
      <c r="AT893" s="271"/>
      <c r="AU893" s="271"/>
      <c r="AV893" s="271"/>
      <c r="AW893" s="271"/>
      <c r="AX893" s="271"/>
      <c r="AY893" s="271"/>
    </row>
    <row r="894" spans="1:51" ht="15.75" customHeight="1" x14ac:dyDescent="0.25">
      <c r="A894" s="271"/>
      <c r="B894" s="534"/>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c r="AL894" s="271"/>
      <c r="AM894" s="271"/>
      <c r="AN894" s="271"/>
      <c r="AO894" s="271"/>
      <c r="AP894" s="271"/>
      <c r="AQ894" s="271"/>
      <c r="AR894" s="271"/>
      <c r="AS894" s="271"/>
      <c r="AT894" s="271"/>
      <c r="AU894" s="271"/>
      <c r="AV894" s="271"/>
      <c r="AW894" s="271"/>
      <c r="AX894" s="271"/>
      <c r="AY894" s="271"/>
    </row>
    <row r="895" spans="1:51" ht="15.75" customHeight="1" x14ac:dyDescent="0.25">
      <c r="A895" s="271"/>
      <c r="B895" s="534"/>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c r="AL895" s="271"/>
      <c r="AM895" s="271"/>
      <c r="AN895" s="271"/>
      <c r="AO895" s="271"/>
      <c r="AP895" s="271"/>
      <c r="AQ895" s="271"/>
      <c r="AR895" s="271"/>
      <c r="AS895" s="271"/>
      <c r="AT895" s="271"/>
      <c r="AU895" s="271"/>
      <c r="AV895" s="271"/>
      <c r="AW895" s="271"/>
      <c r="AX895" s="271"/>
      <c r="AY895" s="271"/>
    </row>
    <row r="896" spans="1:51" ht="15.75" customHeight="1" x14ac:dyDescent="0.25">
      <c r="A896" s="271"/>
      <c r="B896" s="534"/>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c r="AL896" s="271"/>
      <c r="AM896" s="271"/>
      <c r="AN896" s="271"/>
      <c r="AO896" s="271"/>
      <c r="AP896" s="271"/>
      <c r="AQ896" s="271"/>
      <c r="AR896" s="271"/>
      <c r="AS896" s="271"/>
      <c r="AT896" s="271"/>
      <c r="AU896" s="271"/>
      <c r="AV896" s="271"/>
      <c r="AW896" s="271"/>
      <c r="AX896" s="271"/>
      <c r="AY896" s="271"/>
    </row>
    <row r="897" spans="1:51" ht="15.75" customHeight="1" x14ac:dyDescent="0.25">
      <c r="A897" s="271"/>
      <c r="B897" s="534"/>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c r="AL897" s="271"/>
      <c r="AM897" s="271"/>
      <c r="AN897" s="271"/>
      <c r="AO897" s="271"/>
      <c r="AP897" s="271"/>
      <c r="AQ897" s="271"/>
      <c r="AR897" s="271"/>
      <c r="AS897" s="271"/>
      <c r="AT897" s="271"/>
      <c r="AU897" s="271"/>
      <c r="AV897" s="271"/>
      <c r="AW897" s="271"/>
      <c r="AX897" s="271"/>
      <c r="AY897" s="271"/>
    </row>
    <row r="898" spans="1:51" ht="15.75" customHeight="1" x14ac:dyDescent="0.25">
      <c r="A898" s="271"/>
      <c r="B898" s="534"/>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c r="AL898" s="271"/>
      <c r="AM898" s="271"/>
      <c r="AN898" s="271"/>
      <c r="AO898" s="271"/>
      <c r="AP898" s="271"/>
      <c r="AQ898" s="271"/>
      <c r="AR898" s="271"/>
      <c r="AS898" s="271"/>
      <c r="AT898" s="271"/>
      <c r="AU898" s="271"/>
      <c r="AV898" s="271"/>
      <c r="AW898" s="271"/>
      <c r="AX898" s="271"/>
      <c r="AY898" s="271"/>
    </row>
    <row r="899" spans="1:51" ht="15.75" customHeight="1" x14ac:dyDescent="0.25">
      <c r="A899" s="271"/>
      <c r="B899" s="534"/>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c r="AL899" s="271"/>
      <c r="AM899" s="271"/>
      <c r="AN899" s="271"/>
      <c r="AO899" s="271"/>
      <c r="AP899" s="271"/>
      <c r="AQ899" s="271"/>
      <c r="AR899" s="271"/>
      <c r="AS899" s="271"/>
      <c r="AT899" s="271"/>
      <c r="AU899" s="271"/>
      <c r="AV899" s="271"/>
      <c r="AW899" s="271"/>
      <c r="AX899" s="271"/>
      <c r="AY899" s="271"/>
    </row>
    <row r="900" spans="1:51" ht="15.75" customHeight="1" x14ac:dyDescent="0.25">
      <c r="A900" s="271"/>
      <c r="B900" s="534"/>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c r="AL900" s="271"/>
      <c r="AM900" s="271"/>
      <c r="AN900" s="271"/>
      <c r="AO900" s="271"/>
      <c r="AP900" s="271"/>
      <c r="AQ900" s="271"/>
      <c r="AR900" s="271"/>
      <c r="AS900" s="271"/>
      <c r="AT900" s="271"/>
      <c r="AU900" s="271"/>
      <c r="AV900" s="271"/>
      <c r="AW900" s="271"/>
      <c r="AX900" s="271"/>
      <c r="AY900" s="271"/>
    </row>
    <row r="901" spans="1:51" ht="15.75" customHeight="1" x14ac:dyDescent="0.25">
      <c r="A901" s="271"/>
      <c r="B901" s="534"/>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c r="AL901" s="271"/>
      <c r="AM901" s="271"/>
      <c r="AN901" s="271"/>
      <c r="AO901" s="271"/>
      <c r="AP901" s="271"/>
      <c r="AQ901" s="271"/>
      <c r="AR901" s="271"/>
      <c r="AS901" s="271"/>
      <c r="AT901" s="271"/>
      <c r="AU901" s="271"/>
      <c r="AV901" s="271"/>
      <c r="AW901" s="271"/>
      <c r="AX901" s="271"/>
      <c r="AY901" s="271"/>
    </row>
    <row r="902" spans="1:51" ht="15.75" customHeight="1" x14ac:dyDescent="0.25">
      <c r="A902" s="271"/>
      <c r="B902" s="534"/>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c r="AL902" s="271"/>
      <c r="AM902" s="271"/>
      <c r="AN902" s="271"/>
      <c r="AO902" s="271"/>
      <c r="AP902" s="271"/>
      <c r="AQ902" s="271"/>
      <c r="AR902" s="271"/>
      <c r="AS902" s="271"/>
      <c r="AT902" s="271"/>
      <c r="AU902" s="271"/>
      <c r="AV902" s="271"/>
      <c r="AW902" s="271"/>
      <c r="AX902" s="271"/>
      <c r="AY902" s="271"/>
    </row>
    <row r="903" spans="1:51" ht="15.75" customHeight="1" x14ac:dyDescent="0.25">
      <c r="A903" s="271"/>
      <c r="B903" s="534"/>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c r="AL903" s="271"/>
      <c r="AM903" s="271"/>
      <c r="AN903" s="271"/>
      <c r="AO903" s="271"/>
      <c r="AP903" s="271"/>
      <c r="AQ903" s="271"/>
      <c r="AR903" s="271"/>
      <c r="AS903" s="271"/>
      <c r="AT903" s="271"/>
      <c r="AU903" s="271"/>
      <c r="AV903" s="271"/>
      <c r="AW903" s="271"/>
      <c r="AX903" s="271"/>
      <c r="AY903" s="271"/>
    </row>
    <row r="904" spans="1:51" ht="15.75" customHeight="1" x14ac:dyDescent="0.25">
      <c r="A904" s="271"/>
      <c r="B904" s="534"/>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c r="AL904" s="271"/>
      <c r="AM904" s="271"/>
      <c r="AN904" s="271"/>
      <c r="AO904" s="271"/>
      <c r="AP904" s="271"/>
      <c r="AQ904" s="271"/>
      <c r="AR904" s="271"/>
      <c r="AS904" s="271"/>
      <c r="AT904" s="271"/>
      <c r="AU904" s="271"/>
      <c r="AV904" s="271"/>
      <c r="AW904" s="271"/>
      <c r="AX904" s="271"/>
      <c r="AY904" s="271"/>
    </row>
    <row r="905" spans="1:51" ht="15.75" customHeight="1" x14ac:dyDescent="0.25">
      <c r="A905" s="271"/>
      <c r="B905" s="534"/>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c r="AL905" s="271"/>
      <c r="AM905" s="271"/>
      <c r="AN905" s="271"/>
      <c r="AO905" s="271"/>
      <c r="AP905" s="271"/>
      <c r="AQ905" s="271"/>
      <c r="AR905" s="271"/>
      <c r="AS905" s="271"/>
      <c r="AT905" s="271"/>
      <c r="AU905" s="271"/>
      <c r="AV905" s="271"/>
      <c r="AW905" s="271"/>
      <c r="AX905" s="271"/>
      <c r="AY905" s="271"/>
    </row>
    <row r="906" spans="1:51" ht="15.75" customHeight="1" x14ac:dyDescent="0.25">
      <c r="A906" s="271"/>
      <c r="B906" s="534"/>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c r="AL906" s="271"/>
      <c r="AM906" s="271"/>
      <c r="AN906" s="271"/>
      <c r="AO906" s="271"/>
      <c r="AP906" s="271"/>
      <c r="AQ906" s="271"/>
      <c r="AR906" s="271"/>
      <c r="AS906" s="271"/>
      <c r="AT906" s="271"/>
      <c r="AU906" s="271"/>
      <c r="AV906" s="271"/>
      <c r="AW906" s="271"/>
      <c r="AX906" s="271"/>
      <c r="AY906" s="271"/>
    </row>
    <row r="907" spans="1:51" ht="15.75" customHeight="1" x14ac:dyDescent="0.25">
      <c r="A907" s="271"/>
      <c r="B907" s="534"/>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c r="AL907" s="271"/>
      <c r="AM907" s="271"/>
      <c r="AN907" s="271"/>
      <c r="AO907" s="271"/>
      <c r="AP907" s="271"/>
      <c r="AQ907" s="271"/>
      <c r="AR907" s="271"/>
      <c r="AS907" s="271"/>
      <c r="AT907" s="271"/>
      <c r="AU907" s="271"/>
      <c r="AV907" s="271"/>
      <c r="AW907" s="271"/>
      <c r="AX907" s="271"/>
      <c r="AY907" s="271"/>
    </row>
    <row r="908" spans="1:51" ht="15.75" customHeight="1" x14ac:dyDescent="0.25">
      <c r="A908" s="271"/>
      <c r="B908" s="534"/>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c r="AL908" s="271"/>
      <c r="AM908" s="271"/>
      <c r="AN908" s="271"/>
      <c r="AO908" s="271"/>
      <c r="AP908" s="271"/>
      <c r="AQ908" s="271"/>
      <c r="AR908" s="271"/>
      <c r="AS908" s="271"/>
      <c r="AT908" s="271"/>
      <c r="AU908" s="271"/>
      <c r="AV908" s="271"/>
      <c r="AW908" s="271"/>
      <c r="AX908" s="271"/>
      <c r="AY908" s="271"/>
    </row>
    <row r="909" spans="1:51" ht="15.75" customHeight="1" x14ac:dyDescent="0.25">
      <c r="A909" s="271"/>
      <c r="B909" s="534"/>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c r="AL909" s="271"/>
      <c r="AM909" s="271"/>
      <c r="AN909" s="271"/>
      <c r="AO909" s="271"/>
      <c r="AP909" s="271"/>
      <c r="AQ909" s="271"/>
      <c r="AR909" s="271"/>
      <c r="AS909" s="271"/>
      <c r="AT909" s="271"/>
      <c r="AU909" s="271"/>
      <c r="AV909" s="271"/>
      <c r="AW909" s="271"/>
      <c r="AX909" s="271"/>
      <c r="AY909" s="271"/>
    </row>
    <row r="910" spans="1:51" ht="15.75" customHeight="1" x14ac:dyDescent="0.25">
      <c r="A910" s="271"/>
      <c r="B910" s="534"/>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c r="AL910" s="271"/>
      <c r="AM910" s="271"/>
      <c r="AN910" s="271"/>
      <c r="AO910" s="271"/>
      <c r="AP910" s="271"/>
      <c r="AQ910" s="271"/>
      <c r="AR910" s="271"/>
      <c r="AS910" s="271"/>
      <c r="AT910" s="271"/>
      <c r="AU910" s="271"/>
      <c r="AV910" s="271"/>
      <c r="AW910" s="271"/>
      <c r="AX910" s="271"/>
      <c r="AY910" s="271"/>
    </row>
    <row r="911" spans="1:51" ht="15.75" customHeight="1" x14ac:dyDescent="0.25">
      <c r="A911" s="271"/>
      <c r="B911" s="534"/>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c r="AL911" s="271"/>
      <c r="AM911" s="271"/>
      <c r="AN911" s="271"/>
      <c r="AO911" s="271"/>
      <c r="AP911" s="271"/>
      <c r="AQ911" s="271"/>
      <c r="AR911" s="271"/>
      <c r="AS911" s="271"/>
      <c r="AT911" s="271"/>
      <c r="AU911" s="271"/>
      <c r="AV911" s="271"/>
      <c r="AW911" s="271"/>
      <c r="AX911" s="271"/>
      <c r="AY911" s="271"/>
    </row>
    <row r="912" spans="1:51" ht="15.75" customHeight="1" x14ac:dyDescent="0.25">
      <c r="A912" s="271"/>
      <c r="B912" s="534"/>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c r="AL912" s="271"/>
      <c r="AM912" s="271"/>
      <c r="AN912" s="271"/>
      <c r="AO912" s="271"/>
      <c r="AP912" s="271"/>
      <c r="AQ912" s="271"/>
      <c r="AR912" s="271"/>
      <c r="AS912" s="271"/>
      <c r="AT912" s="271"/>
      <c r="AU912" s="271"/>
      <c r="AV912" s="271"/>
      <c r="AW912" s="271"/>
      <c r="AX912" s="271"/>
      <c r="AY912" s="271"/>
    </row>
    <row r="913" spans="1:51" ht="15.75" customHeight="1" x14ac:dyDescent="0.25">
      <c r="A913" s="271"/>
      <c r="B913" s="534"/>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c r="AL913" s="271"/>
      <c r="AM913" s="271"/>
      <c r="AN913" s="271"/>
      <c r="AO913" s="271"/>
      <c r="AP913" s="271"/>
      <c r="AQ913" s="271"/>
      <c r="AR913" s="271"/>
      <c r="AS913" s="271"/>
      <c r="AT913" s="271"/>
      <c r="AU913" s="271"/>
      <c r="AV913" s="271"/>
      <c r="AW913" s="271"/>
      <c r="AX913" s="271"/>
      <c r="AY913" s="271"/>
    </row>
    <row r="914" spans="1:51" ht="15.75" customHeight="1" x14ac:dyDescent="0.25">
      <c r="A914" s="271"/>
      <c r="B914" s="534"/>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c r="AL914" s="271"/>
      <c r="AM914" s="271"/>
      <c r="AN914" s="271"/>
      <c r="AO914" s="271"/>
      <c r="AP914" s="271"/>
      <c r="AQ914" s="271"/>
      <c r="AR914" s="271"/>
      <c r="AS914" s="271"/>
      <c r="AT914" s="271"/>
      <c r="AU914" s="271"/>
      <c r="AV914" s="271"/>
      <c r="AW914" s="271"/>
      <c r="AX914" s="271"/>
      <c r="AY914" s="271"/>
    </row>
    <row r="915" spans="1:51" ht="15.75" customHeight="1" x14ac:dyDescent="0.25">
      <c r="A915" s="271"/>
      <c r="B915" s="534"/>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c r="AL915" s="271"/>
      <c r="AM915" s="271"/>
      <c r="AN915" s="271"/>
      <c r="AO915" s="271"/>
      <c r="AP915" s="271"/>
      <c r="AQ915" s="271"/>
      <c r="AR915" s="271"/>
      <c r="AS915" s="271"/>
      <c r="AT915" s="271"/>
      <c r="AU915" s="271"/>
      <c r="AV915" s="271"/>
      <c r="AW915" s="271"/>
      <c r="AX915" s="271"/>
      <c r="AY915" s="271"/>
    </row>
    <row r="916" spans="1:51" ht="15.75" customHeight="1" x14ac:dyDescent="0.25">
      <c r="A916" s="271"/>
      <c r="B916" s="534"/>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c r="AL916" s="271"/>
      <c r="AM916" s="271"/>
      <c r="AN916" s="271"/>
      <c r="AO916" s="271"/>
      <c r="AP916" s="271"/>
      <c r="AQ916" s="271"/>
      <c r="AR916" s="271"/>
      <c r="AS916" s="271"/>
      <c r="AT916" s="271"/>
      <c r="AU916" s="271"/>
      <c r="AV916" s="271"/>
      <c r="AW916" s="271"/>
      <c r="AX916" s="271"/>
      <c r="AY916" s="271"/>
    </row>
    <row r="917" spans="1:51" ht="15.75" customHeight="1" x14ac:dyDescent="0.25">
      <c r="A917" s="271"/>
      <c r="B917" s="534"/>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c r="AL917" s="271"/>
      <c r="AM917" s="271"/>
      <c r="AN917" s="271"/>
      <c r="AO917" s="271"/>
      <c r="AP917" s="271"/>
      <c r="AQ917" s="271"/>
      <c r="AR917" s="271"/>
      <c r="AS917" s="271"/>
      <c r="AT917" s="271"/>
      <c r="AU917" s="271"/>
      <c r="AV917" s="271"/>
      <c r="AW917" s="271"/>
      <c r="AX917" s="271"/>
      <c r="AY917" s="271"/>
    </row>
    <row r="918" spans="1:51" ht="15.75" customHeight="1" x14ac:dyDescent="0.25">
      <c r="A918" s="271"/>
      <c r="B918" s="534"/>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c r="AL918" s="271"/>
      <c r="AM918" s="271"/>
      <c r="AN918" s="271"/>
      <c r="AO918" s="271"/>
      <c r="AP918" s="271"/>
      <c r="AQ918" s="271"/>
      <c r="AR918" s="271"/>
      <c r="AS918" s="271"/>
      <c r="AT918" s="271"/>
      <c r="AU918" s="271"/>
      <c r="AV918" s="271"/>
      <c r="AW918" s="271"/>
      <c r="AX918" s="271"/>
      <c r="AY918" s="271"/>
    </row>
    <row r="919" spans="1:51" ht="15.75" customHeight="1" x14ac:dyDescent="0.25">
      <c r="A919" s="271"/>
      <c r="B919" s="534"/>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c r="AL919" s="271"/>
      <c r="AM919" s="271"/>
      <c r="AN919" s="271"/>
      <c r="AO919" s="271"/>
      <c r="AP919" s="271"/>
      <c r="AQ919" s="271"/>
      <c r="AR919" s="271"/>
      <c r="AS919" s="271"/>
      <c r="AT919" s="271"/>
      <c r="AU919" s="271"/>
      <c r="AV919" s="271"/>
      <c r="AW919" s="271"/>
      <c r="AX919" s="271"/>
      <c r="AY919" s="271"/>
    </row>
    <row r="920" spans="1:51" ht="15.75" customHeight="1" x14ac:dyDescent="0.25">
      <c r="A920" s="271"/>
      <c r="B920" s="534"/>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c r="AL920" s="271"/>
      <c r="AM920" s="271"/>
      <c r="AN920" s="271"/>
      <c r="AO920" s="271"/>
      <c r="AP920" s="271"/>
      <c r="AQ920" s="271"/>
      <c r="AR920" s="271"/>
      <c r="AS920" s="271"/>
      <c r="AT920" s="271"/>
      <c r="AU920" s="271"/>
      <c r="AV920" s="271"/>
      <c r="AW920" s="271"/>
      <c r="AX920" s="271"/>
      <c r="AY920" s="271"/>
    </row>
    <row r="921" spans="1:51" ht="15.75" customHeight="1" x14ac:dyDescent="0.25">
      <c r="A921" s="271"/>
      <c r="B921" s="534"/>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c r="AL921" s="271"/>
      <c r="AM921" s="271"/>
      <c r="AN921" s="271"/>
      <c r="AO921" s="271"/>
      <c r="AP921" s="271"/>
      <c r="AQ921" s="271"/>
      <c r="AR921" s="271"/>
      <c r="AS921" s="271"/>
      <c r="AT921" s="271"/>
      <c r="AU921" s="271"/>
      <c r="AV921" s="271"/>
      <c r="AW921" s="271"/>
      <c r="AX921" s="271"/>
      <c r="AY921" s="271"/>
    </row>
    <row r="922" spans="1:51" ht="15.75" customHeight="1" x14ac:dyDescent="0.25">
      <c r="A922" s="271"/>
      <c r="B922" s="534"/>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c r="AL922" s="271"/>
      <c r="AM922" s="271"/>
      <c r="AN922" s="271"/>
      <c r="AO922" s="271"/>
      <c r="AP922" s="271"/>
      <c r="AQ922" s="271"/>
      <c r="AR922" s="271"/>
      <c r="AS922" s="271"/>
      <c r="AT922" s="271"/>
      <c r="AU922" s="271"/>
      <c r="AV922" s="271"/>
      <c r="AW922" s="271"/>
      <c r="AX922" s="271"/>
      <c r="AY922" s="271"/>
    </row>
    <row r="923" spans="1:51" ht="15.75" customHeight="1" x14ac:dyDescent="0.25">
      <c r="A923" s="271"/>
      <c r="B923" s="534"/>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c r="AL923" s="271"/>
      <c r="AM923" s="271"/>
      <c r="AN923" s="271"/>
      <c r="AO923" s="271"/>
      <c r="AP923" s="271"/>
      <c r="AQ923" s="271"/>
      <c r="AR923" s="271"/>
      <c r="AS923" s="271"/>
      <c r="AT923" s="271"/>
      <c r="AU923" s="271"/>
      <c r="AV923" s="271"/>
      <c r="AW923" s="271"/>
      <c r="AX923" s="271"/>
      <c r="AY923" s="271"/>
    </row>
    <row r="924" spans="1:51" ht="15.75" customHeight="1" x14ac:dyDescent="0.25">
      <c r="A924" s="271"/>
      <c r="B924" s="534"/>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c r="AL924" s="271"/>
      <c r="AM924" s="271"/>
      <c r="AN924" s="271"/>
      <c r="AO924" s="271"/>
      <c r="AP924" s="271"/>
      <c r="AQ924" s="271"/>
      <c r="AR924" s="271"/>
      <c r="AS924" s="271"/>
      <c r="AT924" s="271"/>
      <c r="AU924" s="271"/>
      <c r="AV924" s="271"/>
      <c r="AW924" s="271"/>
      <c r="AX924" s="271"/>
      <c r="AY924" s="271"/>
    </row>
    <row r="925" spans="1:51" ht="15.75" customHeight="1" x14ac:dyDescent="0.25">
      <c r="A925" s="271"/>
      <c r="B925" s="534"/>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c r="AL925" s="271"/>
      <c r="AM925" s="271"/>
      <c r="AN925" s="271"/>
      <c r="AO925" s="271"/>
      <c r="AP925" s="271"/>
      <c r="AQ925" s="271"/>
      <c r="AR925" s="271"/>
      <c r="AS925" s="271"/>
      <c r="AT925" s="271"/>
      <c r="AU925" s="271"/>
      <c r="AV925" s="271"/>
      <c r="AW925" s="271"/>
      <c r="AX925" s="271"/>
      <c r="AY925" s="271"/>
    </row>
    <row r="926" spans="1:51" ht="15.75" customHeight="1" x14ac:dyDescent="0.25">
      <c r="A926" s="271"/>
      <c r="B926" s="534"/>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c r="AL926" s="271"/>
      <c r="AM926" s="271"/>
      <c r="AN926" s="271"/>
      <c r="AO926" s="271"/>
      <c r="AP926" s="271"/>
      <c r="AQ926" s="271"/>
      <c r="AR926" s="271"/>
      <c r="AS926" s="271"/>
      <c r="AT926" s="271"/>
      <c r="AU926" s="271"/>
      <c r="AV926" s="271"/>
      <c r="AW926" s="271"/>
      <c r="AX926" s="271"/>
      <c r="AY926" s="271"/>
    </row>
    <row r="927" spans="1:51" ht="15.75" customHeight="1" x14ac:dyDescent="0.25">
      <c r="A927" s="271"/>
      <c r="B927" s="534"/>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c r="AL927" s="271"/>
      <c r="AM927" s="271"/>
      <c r="AN927" s="271"/>
      <c r="AO927" s="271"/>
      <c r="AP927" s="271"/>
      <c r="AQ927" s="271"/>
      <c r="AR927" s="271"/>
      <c r="AS927" s="271"/>
      <c r="AT927" s="271"/>
      <c r="AU927" s="271"/>
      <c r="AV927" s="271"/>
      <c r="AW927" s="271"/>
      <c r="AX927" s="271"/>
      <c r="AY927" s="271"/>
    </row>
    <row r="928" spans="1:51" ht="15.75" customHeight="1" x14ac:dyDescent="0.25">
      <c r="A928" s="271"/>
      <c r="B928" s="534"/>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c r="AL928" s="271"/>
      <c r="AM928" s="271"/>
      <c r="AN928" s="271"/>
      <c r="AO928" s="271"/>
      <c r="AP928" s="271"/>
      <c r="AQ928" s="271"/>
      <c r="AR928" s="271"/>
      <c r="AS928" s="271"/>
      <c r="AT928" s="271"/>
      <c r="AU928" s="271"/>
      <c r="AV928" s="271"/>
      <c r="AW928" s="271"/>
      <c r="AX928" s="271"/>
      <c r="AY928" s="271"/>
    </row>
    <row r="929" spans="1:51" ht="15.75" customHeight="1" x14ac:dyDescent="0.25">
      <c r="A929" s="271"/>
      <c r="B929" s="534"/>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c r="AL929" s="271"/>
      <c r="AM929" s="271"/>
      <c r="AN929" s="271"/>
      <c r="AO929" s="271"/>
      <c r="AP929" s="271"/>
      <c r="AQ929" s="271"/>
      <c r="AR929" s="271"/>
      <c r="AS929" s="271"/>
      <c r="AT929" s="271"/>
      <c r="AU929" s="271"/>
      <c r="AV929" s="271"/>
      <c r="AW929" s="271"/>
      <c r="AX929" s="271"/>
      <c r="AY929" s="271"/>
    </row>
    <row r="930" spans="1:51" ht="15.75" customHeight="1" x14ac:dyDescent="0.25">
      <c r="A930" s="271"/>
      <c r="B930" s="534"/>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c r="AL930" s="271"/>
      <c r="AM930" s="271"/>
      <c r="AN930" s="271"/>
      <c r="AO930" s="271"/>
      <c r="AP930" s="271"/>
      <c r="AQ930" s="271"/>
      <c r="AR930" s="271"/>
      <c r="AS930" s="271"/>
      <c r="AT930" s="271"/>
      <c r="AU930" s="271"/>
      <c r="AV930" s="271"/>
      <c r="AW930" s="271"/>
      <c r="AX930" s="271"/>
      <c r="AY930" s="271"/>
    </row>
    <row r="931" spans="1:51" ht="15.75" customHeight="1" x14ac:dyDescent="0.25">
      <c r="A931" s="271"/>
      <c r="B931" s="534"/>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c r="AL931" s="271"/>
      <c r="AM931" s="271"/>
      <c r="AN931" s="271"/>
      <c r="AO931" s="271"/>
      <c r="AP931" s="271"/>
      <c r="AQ931" s="271"/>
      <c r="AR931" s="271"/>
      <c r="AS931" s="271"/>
      <c r="AT931" s="271"/>
      <c r="AU931" s="271"/>
      <c r="AV931" s="271"/>
      <c r="AW931" s="271"/>
      <c r="AX931" s="271"/>
      <c r="AY931" s="271"/>
    </row>
    <row r="932" spans="1:51" ht="15.75" customHeight="1" x14ac:dyDescent="0.25">
      <c r="A932" s="271"/>
      <c r="B932" s="534"/>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c r="AL932" s="271"/>
      <c r="AM932" s="271"/>
      <c r="AN932" s="271"/>
      <c r="AO932" s="271"/>
      <c r="AP932" s="271"/>
      <c r="AQ932" s="271"/>
      <c r="AR932" s="271"/>
      <c r="AS932" s="271"/>
      <c r="AT932" s="271"/>
      <c r="AU932" s="271"/>
      <c r="AV932" s="271"/>
      <c r="AW932" s="271"/>
      <c r="AX932" s="271"/>
      <c r="AY932" s="271"/>
    </row>
    <row r="933" spans="1:51" ht="15.75" customHeight="1" x14ac:dyDescent="0.25">
      <c r="A933" s="271"/>
      <c r="B933" s="534"/>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c r="AL933" s="271"/>
      <c r="AM933" s="271"/>
      <c r="AN933" s="271"/>
      <c r="AO933" s="271"/>
      <c r="AP933" s="271"/>
      <c r="AQ933" s="271"/>
      <c r="AR933" s="271"/>
      <c r="AS933" s="271"/>
      <c r="AT933" s="271"/>
      <c r="AU933" s="271"/>
      <c r="AV933" s="271"/>
      <c r="AW933" s="271"/>
      <c r="AX933" s="271"/>
      <c r="AY933" s="271"/>
    </row>
    <row r="934" spans="1:51" ht="15.75" customHeight="1" x14ac:dyDescent="0.25">
      <c r="A934" s="271"/>
      <c r="B934" s="534"/>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c r="AL934" s="271"/>
      <c r="AM934" s="271"/>
      <c r="AN934" s="271"/>
      <c r="AO934" s="271"/>
      <c r="AP934" s="271"/>
      <c r="AQ934" s="271"/>
      <c r="AR934" s="271"/>
      <c r="AS934" s="271"/>
      <c r="AT934" s="271"/>
      <c r="AU934" s="271"/>
      <c r="AV934" s="271"/>
      <c r="AW934" s="271"/>
      <c r="AX934" s="271"/>
      <c r="AY934" s="271"/>
    </row>
    <row r="935" spans="1:51" ht="15.75" customHeight="1" x14ac:dyDescent="0.25">
      <c r="A935" s="271"/>
      <c r="B935" s="534"/>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c r="AL935" s="271"/>
      <c r="AM935" s="271"/>
      <c r="AN935" s="271"/>
      <c r="AO935" s="271"/>
      <c r="AP935" s="271"/>
      <c r="AQ935" s="271"/>
      <c r="AR935" s="271"/>
      <c r="AS935" s="271"/>
      <c r="AT935" s="271"/>
      <c r="AU935" s="271"/>
      <c r="AV935" s="271"/>
      <c r="AW935" s="271"/>
      <c r="AX935" s="271"/>
      <c r="AY935" s="271"/>
    </row>
    <row r="936" spans="1:51" ht="15.75" customHeight="1" x14ac:dyDescent="0.25">
      <c r="A936" s="271"/>
      <c r="B936" s="534"/>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c r="AL936" s="271"/>
      <c r="AM936" s="271"/>
      <c r="AN936" s="271"/>
      <c r="AO936" s="271"/>
      <c r="AP936" s="271"/>
      <c r="AQ936" s="271"/>
      <c r="AR936" s="271"/>
      <c r="AS936" s="271"/>
      <c r="AT936" s="271"/>
      <c r="AU936" s="271"/>
      <c r="AV936" s="271"/>
      <c r="AW936" s="271"/>
      <c r="AX936" s="271"/>
      <c r="AY936" s="271"/>
    </row>
    <row r="937" spans="1:51" ht="15.75" customHeight="1" x14ac:dyDescent="0.25">
      <c r="A937" s="271"/>
      <c r="B937" s="534"/>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c r="AL937" s="271"/>
      <c r="AM937" s="271"/>
      <c r="AN937" s="271"/>
      <c r="AO937" s="271"/>
      <c r="AP937" s="271"/>
      <c r="AQ937" s="271"/>
      <c r="AR937" s="271"/>
      <c r="AS937" s="271"/>
      <c r="AT937" s="271"/>
      <c r="AU937" s="271"/>
      <c r="AV937" s="271"/>
      <c r="AW937" s="271"/>
      <c r="AX937" s="271"/>
      <c r="AY937" s="271"/>
    </row>
    <row r="938" spans="1:51" ht="15.75" customHeight="1" x14ac:dyDescent="0.25">
      <c r="A938" s="271"/>
      <c r="B938" s="534"/>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c r="AL938" s="271"/>
      <c r="AM938" s="271"/>
      <c r="AN938" s="271"/>
      <c r="AO938" s="271"/>
      <c r="AP938" s="271"/>
      <c r="AQ938" s="271"/>
      <c r="AR938" s="271"/>
      <c r="AS938" s="271"/>
      <c r="AT938" s="271"/>
      <c r="AU938" s="271"/>
      <c r="AV938" s="271"/>
      <c r="AW938" s="271"/>
      <c r="AX938" s="271"/>
      <c r="AY938" s="271"/>
    </row>
    <row r="939" spans="1:51" ht="15.75" customHeight="1" x14ac:dyDescent="0.25">
      <c r="A939" s="271"/>
      <c r="B939" s="534"/>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c r="AL939" s="271"/>
      <c r="AM939" s="271"/>
      <c r="AN939" s="271"/>
      <c r="AO939" s="271"/>
      <c r="AP939" s="271"/>
      <c r="AQ939" s="271"/>
      <c r="AR939" s="271"/>
      <c r="AS939" s="271"/>
      <c r="AT939" s="271"/>
      <c r="AU939" s="271"/>
      <c r="AV939" s="271"/>
      <c r="AW939" s="271"/>
      <c r="AX939" s="271"/>
      <c r="AY939" s="271"/>
    </row>
    <row r="940" spans="1:51" ht="15.75" customHeight="1" x14ac:dyDescent="0.25">
      <c r="A940" s="271"/>
      <c r="B940" s="534"/>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c r="AL940" s="271"/>
      <c r="AM940" s="271"/>
      <c r="AN940" s="271"/>
      <c r="AO940" s="271"/>
      <c r="AP940" s="271"/>
      <c r="AQ940" s="271"/>
      <c r="AR940" s="271"/>
      <c r="AS940" s="271"/>
      <c r="AT940" s="271"/>
      <c r="AU940" s="271"/>
      <c r="AV940" s="271"/>
      <c r="AW940" s="271"/>
      <c r="AX940" s="271"/>
      <c r="AY940" s="271"/>
    </row>
    <row r="941" spans="1:51" ht="15.75" customHeight="1" x14ac:dyDescent="0.25">
      <c r="A941" s="271"/>
      <c r="B941" s="534"/>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c r="AL941" s="271"/>
      <c r="AM941" s="271"/>
      <c r="AN941" s="271"/>
      <c r="AO941" s="271"/>
      <c r="AP941" s="271"/>
      <c r="AQ941" s="271"/>
      <c r="AR941" s="271"/>
      <c r="AS941" s="271"/>
      <c r="AT941" s="271"/>
      <c r="AU941" s="271"/>
      <c r="AV941" s="271"/>
      <c r="AW941" s="271"/>
      <c r="AX941" s="271"/>
      <c r="AY941" s="271"/>
    </row>
    <row r="942" spans="1:51" ht="15.75" customHeight="1" x14ac:dyDescent="0.25">
      <c r="A942" s="271"/>
      <c r="B942" s="534"/>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c r="AL942" s="271"/>
      <c r="AM942" s="271"/>
      <c r="AN942" s="271"/>
      <c r="AO942" s="271"/>
      <c r="AP942" s="271"/>
      <c r="AQ942" s="271"/>
      <c r="AR942" s="271"/>
      <c r="AS942" s="271"/>
      <c r="AT942" s="271"/>
      <c r="AU942" s="271"/>
      <c r="AV942" s="271"/>
      <c r="AW942" s="271"/>
      <c r="AX942" s="271"/>
      <c r="AY942" s="271"/>
    </row>
    <row r="943" spans="1:51" ht="15.75" customHeight="1" x14ac:dyDescent="0.25">
      <c r="A943" s="271"/>
      <c r="B943" s="534"/>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c r="AL943" s="271"/>
      <c r="AM943" s="271"/>
      <c r="AN943" s="271"/>
      <c r="AO943" s="271"/>
      <c r="AP943" s="271"/>
      <c r="AQ943" s="271"/>
      <c r="AR943" s="271"/>
      <c r="AS943" s="271"/>
      <c r="AT943" s="271"/>
      <c r="AU943" s="271"/>
      <c r="AV943" s="271"/>
      <c r="AW943" s="271"/>
      <c r="AX943" s="271"/>
      <c r="AY943" s="271"/>
    </row>
    <row r="944" spans="1:51" ht="15.75" customHeight="1" x14ac:dyDescent="0.25">
      <c r="A944" s="271"/>
      <c r="B944" s="534"/>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c r="AL944" s="271"/>
      <c r="AM944" s="271"/>
      <c r="AN944" s="271"/>
      <c r="AO944" s="271"/>
      <c r="AP944" s="271"/>
      <c r="AQ944" s="271"/>
      <c r="AR944" s="271"/>
      <c r="AS944" s="271"/>
      <c r="AT944" s="271"/>
      <c r="AU944" s="271"/>
      <c r="AV944" s="271"/>
      <c r="AW944" s="271"/>
      <c r="AX944" s="271"/>
      <c r="AY944" s="271"/>
    </row>
    <row r="945" spans="1:51" ht="15.75" customHeight="1" x14ac:dyDescent="0.25">
      <c r="A945" s="271"/>
      <c r="B945" s="534"/>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c r="AL945" s="271"/>
      <c r="AM945" s="271"/>
      <c r="AN945" s="271"/>
      <c r="AO945" s="271"/>
      <c r="AP945" s="271"/>
      <c r="AQ945" s="271"/>
      <c r="AR945" s="271"/>
      <c r="AS945" s="271"/>
      <c r="AT945" s="271"/>
      <c r="AU945" s="271"/>
      <c r="AV945" s="271"/>
      <c r="AW945" s="271"/>
      <c r="AX945" s="271"/>
      <c r="AY945" s="271"/>
    </row>
    <row r="946" spans="1:51" ht="15.75" customHeight="1" x14ac:dyDescent="0.25">
      <c r="A946" s="271"/>
      <c r="B946" s="534"/>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c r="AL946" s="271"/>
      <c r="AM946" s="271"/>
      <c r="AN946" s="271"/>
      <c r="AO946" s="271"/>
      <c r="AP946" s="271"/>
      <c r="AQ946" s="271"/>
      <c r="AR946" s="271"/>
      <c r="AS946" s="271"/>
      <c r="AT946" s="271"/>
      <c r="AU946" s="271"/>
      <c r="AV946" s="271"/>
      <c r="AW946" s="271"/>
      <c r="AX946" s="271"/>
      <c r="AY946" s="271"/>
    </row>
    <row r="947" spans="1:51" ht="15.75" customHeight="1" x14ac:dyDescent="0.25">
      <c r="A947" s="271"/>
      <c r="B947" s="534"/>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c r="AL947" s="271"/>
      <c r="AM947" s="271"/>
      <c r="AN947" s="271"/>
      <c r="AO947" s="271"/>
      <c r="AP947" s="271"/>
      <c r="AQ947" s="271"/>
      <c r="AR947" s="271"/>
      <c r="AS947" s="271"/>
      <c r="AT947" s="271"/>
      <c r="AU947" s="271"/>
      <c r="AV947" s="271"/>
      <c r="AW947" s="271"/>
      <c r="AX947" s="271"/>
      <c r="AY947" s="271"/>
    </row>
    <row r="948" spans="1:51" ht="15.75" customHeight="1" x14ac:dyDescent="0.25">
      <c r="A948" s="271"/>
      <c r="B948" s="534"/>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c r="AL948" s="271"/>
      <c r="AM948" s="271"/>
      <c r="AN948" s="271"/>
      <c r="AO948" s="271"/>
      <c r="AP948" s="271"/>
      <c r="AQ948" s="271"/>
      <c r="AR948" s="271"/>
      <c r="AS948" s="271"/>
      <c r="AT948" s="271"/>
      <c r="AU948" s="271"/>
      <c r="AV948" s="271"/>
      <c r="AW948" s="271"/>
      <c r="AX948" s="271"/>
      <c r="AY948" s="271"/>
    </row>
    <row r="949" spans="1:51" ht="15.75" customHeight="1" x14ac:dyDescent="0.25">
      <c r="A949" s="271"/>
      <c r="B949" s="534"/>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c r="AL949" s="271"/>
      <c r="AM949" s="271"/>
      <c r="AN949" s="271"/>
      <c r="AO949" s="271"/>
      <c r="AP949" s="271"/>
      <c r="AQ949" s="271"/>
      <c r="AR949" s="271"/>
      <c r="AS949" s="271"/>
      <c r="AT949" s="271"/>
      <c r="AU949" s="271"/>
      <c r="AV949" s="271"/>
      <c r="AW949" s="271"/>
      <c r="AX949" s="271"/>
      <c r="AY949" s="271"/>
    </row>
    <row r="950" spans="1:51" ht="15.75" customHeight="1" x14ac:dyDescent="0.25">
      <c r="A950" s="271"/>
      <c r="B950" s="534"/>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c r="AL950" s="271"/>
      <c r="AM950" s="271"/>
      <c r="AN950" s="271"/>
      <c r="AO950" s="271"/>
      <c r="AP950" s="271"/>
      <c r="AQ950" s="271"/>
      <c r="AR950" s="271"/>
      <c r="AS950" s="271"/>
      <c r="AT950" s="271"/>
      <c r="AU950" s="271"/>
      <c r="AV950" s="271"/>
      <c r="AW950" s="271"/>
      <c r="AX950" s="271"/>
      <c r="AY950" s="271"/>
    </row>
    <row r="951" spans="1:51" ht="15.75" customHeight="1" x14ac:dyDescent="0.25">
      <c r="A951" s="271"/>
      <c r="B951" s="534"/>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c r="AL951" s="271"/>
      <c r="AM951" s="271"/>
      <c r="AN951" s="271"/>
      <c r="AO951" s="271"/>
      <c r="AP951" s="271"/>
      <c r="AQ951" s="271"/>
      <c r="AR951" s="271"/>
      <c r="AS951" s="271"/>
      <c r="AT951" s="271"/>
      <c r="AU951" s="271"/>
      <c r="AV951" s="271"/>
      <c r="AW951" s="271"/>
      <c r="AX951" s="271"/>
      <c r="AY951" s="271"/>
    </row>
    <row r="952" spans="1:51" ht="15.75" customHeight="1" x14ac:dyDescent="0.25">
      <c r="A952" s="271"/>
      <c r="B952" s="534"/>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c r="AL952" s="271"/>
      <c r="AM952" s="271"/>
      <c r="AN952" s="271"/>
      <c r="AO952" s="271"/>
      <c r="AP952" s="271"/>
      <c r="AQ952" s="271"/>
      <c r="AR952" s="271"/>
      <c r="AS952" s="271"/>
      <c r="AT952" s="271"/>
      <c r="AU952" s="271"/>
      <c r="AV952" s="271"/>
      <c r="AW952" s="271"/>
      <c r="AX952" s="271"/>
      <c r="AY952" s="271"/>
    </row>
    <row r="953" spans="1:51" ht="15.75" customHeight="1" x14ac:dyDescent="0.25">
      <c r="A953" s="271"/>
      <c r="B953" s="534"/>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c r="AL953" s="271"/>
      <c r="AM953" s="271"/>
      <c r="AN953" s="271"/>
      <c r="AO953" s="271"/>
      <c r="AP953" s="271"/>
      <c r="AQ953" s="271"/>
      <c r="AR953" s="271"/>
      <c r="AS953" s="271"/>
      <c r="AT953" s="271"/>
      <c r="AU953" s="271"/>
      <c r="AV953" s="271"/>
      <c r="AW953" s="271"/>
      <c r="AX953" s="271"/>
      <c r="AY953" s="271"/>
    </row>
    <row r="954" spans="1:51" ht="15.75" customHeight="1" x14ac:dyDescent="0.25">
      <c r="A954" s="271"/>
      <c r="B954" s="534"/>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c r="AL954" s="271"/>
      <c r="AM954" s="271"/>
      <c r="AN954" s="271"/>
      <c r="AO954" s="271"/>
      <c r="AP954" s="271"/>
      <c r="AQ954" s="271"/>
      <c r="AR954" s="271"/>
      <c r="AS954" s="271"/>
      <c r="AT954" s="271"/>
      <c r="AU954" s="271"/>
      <c r="AV954" s="271"/>
      <c r="AW954" s="271"/>
      <c r="AX954" s="271"/>
      <c r="AY954" s="271"/>
    </row>
    <row r="955" spans="1:51" ht="15.75" customHeight="1" x14ac:dyDescent="0.25">
      <c r="A955" s="271"/>
      <c r="B955" s="534"/>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c r="AL955" s="271"/>
      <c r="AM955" s="271"/>
      <c r="AN955" s="271"/>
      <c r="AO955" s="271"/>
      <c r="AP955" s="271"/>
      <c r="AQ955" s="271"/>
      <c r="AR955" s="271"/>
      <c r="AS955" s="271"/>
      <c r="AT955" s="271"/>
      <c r="AU955" s="271"/>
      <c r="AV955" s="271"/>
      <c r="AW955" s="271"/>
      <c r="AX955" s="271"/>
      <c r="AY955" s="271"/>
    </row>
    <row r="956" spans="1:51" ht="15.75" customHeight="1" x14ac:dyDescent="0.25">
      <c r="A956" s="271"/>
      <c r="B956" s="534"/>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c r="AL956" s="271"/>
      <c r="AM956" s="271"/>
      <c r="AN956" s="271"/>
      <c r="AO956" s="271"/>
      <c r="AP956" s="271"/>
      <c r="AQ956" s="271"/>
      <c r="AR956" s="271"/>
      <c r="AS956" s="271"/>
      <c r="AT956" s="271"/>
      <c r="AU956" s="271"/>
      <c r="AV956" s="271"/>
      <c r="AW956" s="271"/>
      <c r="AX956" s="271"/>
      <c r="AY956" s="271"/>
    </row>
    <row r="957" spans="1:51" ht="15.75" customHeight="1" x14ac:dyDescent="0.25">
      <c r="A957" s="271"/>
      <c r="B957" s="534"/>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c r="AL957" s="271"/>
      <c r="AM957" s="271"/>
      <c r="AN957" s="271"/>
      <c r="AO957" s="271"/>
      <c r="AP957" s="271"/>
      <c r="AQ957" s="271"/>
      <c r="AR957" s="271"/>
      <c r="AS957" s="271"/>
      <c r="AT957" s="271"/>
      <c r="AU957" s="271"/>
      <c r="AV957" s="271"/>
      <c r="AW957" s="271"/>
      <c r="AX957" s="271"/>
      <c r="AY957" s="271"/>
    </row>
    <row r="958" spans="1:51" ht="15.75" customHeight="1" x14ac:dyDescent="0.25">
      <c r="A958" s="271"/>
      <c r="B958" s="534"/>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c r="AL958" s="271"/>
      <c r="AM958" s="271"/>
      <c r="AN958" s="271"/>
      <c r="AO958" s="271"/>
      <c r="AP958" s="271"/>
      <c r="AQ958" s="271"/>
      <c r="AR958" s="271"/>
      <c r="AS958" s="271"/>
      <c r="AT958" s="271"/>
      <c r="AU958" s="271"/>
      <c r="AV958" s="271"/>
      <c r="AW958" s="271"/>
      <c r="AX958" s="271"/>
      <c r="AY958" s="271"/>
    </row>
    <row r="959" spans="1:51" ht="15.75" customHeight="1" x14ac:dyDescent="0.25">
      <c r="A959" s="271"/>
      <c r="B959" s="534"/>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c r="AL959" s="271"/>
      <c r="AM959" s="271"/>
      <c r="AN959" s="271"/>
      <c r="AO959" s="271"/>
      <c r="AP959" s="271"/>
      <c r="AQ959" s="271"/>
      <c r="AR959" s="271"/>
      <c r="AS959" s="271"/>
      <c r="AT959" s="271"/>
      <c r="AU959" s="271"/>
      <c r="AV959" s="271"/>
      <c r="AW959" s="271"/>
      <c r="AX959" s="271"/>
      <c r="AY959" s="271"/>
    </row>
    <row r="960" spans="1:51" ht="15.75" customHeight="1" x14ac:dyDescent="0.25">
      <c r="A960" s="271"/>
      <c r="B960" s="534"/>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c r="AL960" s="271"/>
      <c r="AM960" s="271"/>
      <c r="AN960" s="271"/>
      <c r="AO960" s="271"/>
      <c r="AP960" s="271"/>
      <c r="AQ960" s="271"/>
      <c r="AR960" s="271"/>
      <c r="AS960" s="271"/>
      <c r="AT960" s="271"/>
      <c r="AU960" s="271"/>
      <c r="AV960" s="271"/>
      <c r="AW960" s="271"/>
      <c r="AX960" s="271"/>
      <c r="AY960" s="271"/>
    </row>
    <row r="961" spans="1:51" ht="15.75" customHeight="1" x14ac:dyDescent="0.25">
      <c r="A961" s="271"/>
      <c r="B961" s="534"/>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c r="AL961" s="271"/>
      <c r="AM961" s="271"/>
      <c r="AN961" s="271"/>
      <c r="AO961" s="271"/>
      <c r="AP961" s="271"/>
      <c r="AQ961" s="271"/>
      <c r="AR961" s="271"/>
      <c r="AS961" s="271"/>
      <c r="AT961" s="271"/>
      <c r="AU961" s="271"/>
      <c r="AV961" s="271"/>
      <c r="AW961" s="271"/>
      <c r="AX961" s="271"/>
      <c r="AY961" s="271"/>
    </row>
    <row r="962" spans="1:51" ht="15.75" customHeight="1" x14ac:dyDescent="0.25">
      <c r="A962" s="271"/>
      <c r="B962" s="534"/>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c r="AL962" s="271"/>
      <c r="AM962" s="271"/>
      <c r="AN962" s="271"/>
      <c r="AO962" s="271"/>
      <c r="AP962" s="271"/>
      <c r="AQ962" s="271"/>
      <c r="AR962" s="271"/>
      <c r="AS962" s="271"/>
      <c r="AT962" s="271"/>
      <c r="AU962" s="271"/>
      <c r="AV962" s="271"/>
      <c r="AW962" s="271"/>
      <c r="AX962" s="271"/>
      <c r="AY962" s="271"/>
    </row>
    <row r="963" spans="1:51" ht="15.75" customHeight="1" x14ac:dyDescent="0.25">
      <c r="A963" s="271"/>
      <c r="B963" s="534"/>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c r="AL963" s="271"/>
      <c r="AM963" s="271"/>
      <c r="AN963" s="271"/>
      <c r="AO963" s="271"/>
      <c r="AP963" s="271"/>
      <c r="AQ963" s="271"/>
      <c r="AR963" s="271"/>
      <c r="AS963" s="271"/>
      <c r="AT963" s="271"/>
      <c r="AU963" s="271"/>
      <c r="AV963" s="271"/>
      <c r="AW963" s="271"/>
      <c r="AX963" s="271"/>
      <c r="AY963" s="271"/>
    </row>
    <row r="964" spans="1:51" ht="15.75" customHeight="1" x14ac:dyDescent="0.25">
      <c r="A964" s="271"/>
      <c r="B964" s="534"/>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c r="AL964" s="271"/>
      <c r="AM964" s="271"/>
      <c r="AN964" s="271"/>
      <c r="AO964" s="271"/>
      <c r="AP964" s="271"/>
      <c r="AQ964" s="271"/>
      <c r="AR964" s="271"/>
      <c r="AS964" s="271"/>
      <c r="AT964" s="271"/>
      <c r="AU964" s="271"/>
      <c r="AV964" s="271"/>
      <c r="AW964" s="271"/>
      <c r="AX964" s="271"/>
      <c r="AY964" s="271"/>
    </row>
    <row r="965" spans="1:51" ht="15.75" customHeight="1" x14ac:dyDescent="0.25">
      <c r="A965" s="271"/>
      <c r="B965" s="534"/>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c r="AL965" s="271"/>
      <c r="AM965" s="271"/>
      <c r="AN965" s="271"/>
      <c r="AO965" s="271"/>
      <c r="AP965" s="271"/>
      <c r="AQ965" s="271"/>
      <c r="AR965" s="271"/>
      <c r="AS965" s="271"/>
      <c r="AT965" s="271"/>
      <c r="AU965" s="271"/>
      <c r="AV965" s="271"/>
      <c r="AW965" s="271"/>
      <c r="AX965" s="271"/>
      <c r="AY965" s="271"/>
    </row>
    <row r="966" spans="1:51" ht="15.75" customHeight="1" x14ac:dyDescent="0.25">
      <c r="A966" s="271"/>
      <c r="B966" s="534"/>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c r="AL966" s="271"/>
      <c r="AM966" s="271"/>
      <c r="AN966" s="271"/>
      <c r="AO966" s="271"/>
      <c r="AP966" s="271"/>
      <c r="AQ966" s="271"/>
      <c r="AR966" s="271"/>
      <c r="AS966" s="271"/>
      <c r="AT966" s="271"/>
      <c r="AU966" s="271"/>
      <c r="AV966" s="271"/>
      <c r="AW966" s="271"/>
      <c r="AX966" s="271"/>
      <c r="AY966" s="271"/>
    </row>
    <row r="967" spans="1:51" ht="15.75" customHeight="1" x14ac:dyDescent="0.25">
      <c r="A967" s="271"/>
      <c r="B967" s="534"/>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c r="AL967" s="271"/>
      <c r="AM967" s="271"/>
      <c r="AN967" s="271"/>
      <c r="AO967" s="271"/>
      <c r="AP967" s="271"/>
      <c r="AQ967" s="271"/>
      <c r="AR967" s="271"/>
      <c r="AS967" s="271"/>
      <c r="AT967" s="271"/>
      <c r="AU967" s="271"/>
      <c r="AV967" s="271"/>
      <c r="AW967" s="271"/>
      <c r="AX967" s="271"/>
      <c r="AY967" s="271"/>
    </row>
    <row r="968" spans="1:51" ht="15.75" customHeight="1" x14ac:dyDescent="0.25">
      <c r="A968" s="271"/>
      <c r="B968" s="534"/>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c r="AL968" s="271"/>
      <c r="AM968" s="271"/>
      <c r="AN968" s="271"/>
      <c r="AO968" s="271"/>
      <c r="AP968" s="271"/>
      <c r="AQ968" s="271"/>
      <c r="AR968" s="271"/>
      <c r="AS968" s="271"/>
      <c r="AT968" s="271"/>
      <c r="AU968" s="271"/>
      <c r="AV968" s="271"/>
      <c r="AW968" s="271"/>
      <c r="AX968" s="271"/>
      <c r="AY968" s="271"/>
    </row>
    <row r="969" spans="1:51" ht="15.75" customHeight="1" x14ac:dyDescent="0.25">
      <c r="A969" s="271"/>
      <c r="B969" s="534"/>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c r="AL969" s="271"/>
      <c r="AM969" s="271"/>
      <c r="AN969" s="271"/>
      <c r="AO969" s="271"/>
      <c r="AP969" s="271"/>
      <c r="AQ969" s="271"/>
      <c r="AR969" s="271"/>
      <c r="AS969" s="271"/>
      <c r="AT969" s="271"/>
      <c r="AU969" s="271"/>
      <c r="AV969" s="271"/>
      <c r="AW969" s="271"/>
      <c r="AX969" s="271"/>
      <c r="AY969" s="271"/>
    </row>
    <row r="970" spans="1:51" ht="15.75" customHeight="1" x14ac:dyDescent="0.25">
      <c r="A970" s="271"/>
      <c r="B970" s="534"/>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c r="AL970" s="271"/>
      <c r="AM970" s="271"/>
      <c r="AN970" s="271"/>
      <c r="AO970" s="271"/>
      <c r="AP970" s="271"/>
      <c r="AQ970" s="271"/>
      <c r="AR970" s="271"/>
      <c r="AS970" s="271"/>
      <c r="AT970" s="271"/>
      <c r="AU970" s="271"/>
      <c r="AV970" s="271"/>
      <c r="AW970" s="271"/>
      <c r="AX970" s="271"/>
      <c r="AY970" s="271"/>
    </row>
    <row r="971" spans="1:51" ht="15.75" customHeight="1" x14ac:dyDescent="0.25">
      <c r="A971" s="271"/>
      <c r="B971" s="534"/>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c r="AL971" s="271"/>
      <c r="AM971" s="271"/>
      <c r="AN971" s="271"/>
      <c r="AO971" s="271"/>
      <c r="AP971" s="271"/>
      <c r="AQ971" s="271"/>
      <c r="AR971" s="271"/>
      <c r="AS971" s="271"/>
      <c r="AT971" s="271"/>
      <c r="AU971" s="271"/>
      <c r="AV971" s="271"/>
      <c r="AW971" s="271"/>
      <c r="AX971" s="271"/>
      <c r="AY971" s="271"/>
    </row>
    <row r="972" spans="1:51" ht="15.75" customHeight="1" x14ac:dyDescent="0.25">
      <c r="A972" s="271"/>
      <c r="B972" s="534"/>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c r="AL972" s="271"/>
      <c r="AM972" s="271"/>
      <c r="AN972" s="271"/>
      <c r="AO972" s="271"/>
      <c r="AP972" s="271"/>
      <c r="AQ972" s="271"/>
      <c r="AR972" s="271"/>
      <c r="AS972" s="271"/>
      <c r="AT972" s="271"/>
      <c r="AU972" s="271"/>
      <c r="AV972" s="271"/>
      <c r="AW972" s="271"/>
      <c r="AX972" s="271"/>
      <c r="AY972" s="271"/>
    </row>
    <row r="973" spans="1:51" ht="15.75" customHeight="1" x14ac:dyDescent="0.25">
      <c r="A973" s="271"/>
      <c r="B973" s="534"/>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c r="AL973" s="271"/>
      <c r="AM973" s="271"/>
      <c r="AN973" s="271"/>
      <c r="AO973" s="271"/>
      <c r="AP973" s="271"/>
      <c r="AQ973" s="271"/>
      <c r="AR973" s="271"/>
      <c r="AS973" s="271"/>
      <c r="AT973" s="271"/>
      <c r="AU973" s="271"/>
      <c r="AV973" s="271"/>
      <c r="AW973" s="271"/>
      <c r="AX973" s="271"/>
      <c r="AY973" s="271"/>
    </row>
    <row r="974" spans="1:51" ht="15.75" customHeight="1" x14ac:dyDescent="0.25">
      <c r="A974" s="271"/>
      <c r="B974" s="534"/>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c r="AL974" s="271"/>
      <c r="AM974" s="271"/>
      <c r="AN974" s="271"/>
      <c r="AO974" s="271"/>
      <c r="AP974" s="271"/>
      <c r="AQ974" s="271"/>
      <c r="AR974" s="271"/>
      <c r="AS974" s="271"/>
      <c r="AT974" s="271"/>
      <c r="AU974" s="271"/>
      <c r="AV974" s="271"/>
      <c r="AW974" s="271"/>
      <c r="AX974" s="271"/>
      <c r="AY974" s="271"/>
    </row>
    <row r="975" spans="1:51" ht="15.75" customHeight="1" x14ac:dyDescent="0.25">
      <c r="A975" s="271"/>
      <c r="B975" s="534"/>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c r="AL975" s="271"/>
      <c r="AM975" s="271"/>
      <c r="AN975" s="271"/>
      <c r="AO975" s="271"/>
      <c r="AP975" s="271"/>
      <c r="AQ975" s="271"/>
      <c r="AR975" s="271"/>
      <c r="AS975" s="271"/>
      <c r="AT975" s="271"/>
      <c r="AU975" s="271"/>
      <c r="AV975" s="271"/>
      <c r="AW975" s="271"/>
      <c r="AX975" s="271"/>
      <c r="AY975" s="271"/>
    </row>
    <row r="976" spans="1:51" ht="15.75" customHeight="1" x14ac:dyDescent="0.25">
      <c r="A976" s="271"/>
      <c r="B976" s="534"/>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c r="AL976" s="271"/>
      <c r="AM976" s="271"/>
      <c r="AN976" s="271"/>
      <c r="AO976" s="271"/>
      <c r="AP976" s="271"/>
      <c r="AQ976" s="271"/>
      <c r="AR976" s="271"/>
      <c r="AS976" s="271"/>
      <c r="AT976" s="271"/>
      <c r="AU976" s="271"/>
      <c r="AV976" s="271"/>
      <c r="AW976" s="271"/>
      <c r="AX976" s="271"/>
      <c r="AY976" s="271"/>
    </row>
    <row r="977" spans="1:51" ht="15.75" customHeight="1" x14ac:dyDescent="0.25">
      <c r="A977" s="271"/>
      <c r="B977" s="534"/>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c r="AL977" s="271"/>
      <c r="AM977" s="271"/>
      <c r="AN977" s="271"/>
      <c r="AO977" s="271"/>
      <c r="AP977" s="271"/>
      <c r="AQ977" s="271"/>
      <c r="AR977" s="271"/>
      <c r="AS977" s="271"/>
      <c r="AT977" s="271"/>
      <c r="AU977" s="271"/>
      <c r="AV977" s="271"/>
      <c r="AW977" s="271"/>
      <c r="AX977" s="271"/>
      <c r="AY977" s="271"/>
    </row>
    <row r="978" spans="1:51" ht="15.75" customHeight="1" x14ac:dyDescent="0.25">
      <c r="A978" s="271"/>
      <c r="B978" s="534"/>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c r="AL978" s="271"/>
      <c r="AM978" s="271"/>
      <c r="AN978" s="271"/>
      <c r="AO978" s="271"/>
      <c r="AP978" s="271"/>
      <c r="AQ978" s="271"/>
      <c r="AR978" s="271"/>
      <c r="AS978" s="271"/>
      <c r="AT978" s="271"/>
      <c r="AU978" s="271"/>
      <c r="AV978" s="271"/>
      <c r="AW978" s="271"/>
      <c r="AX978" s="271"/>
      <c r="AY978" s="271"/>
    </row>
    <row r="979" spans="1:51" ht="15.75" customHeight="1" x14ac:dyDescent="0.25">
      <c r="A979" s="271"/>
      <c r="B979" s="534"/>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c r="AL979" s="271"/>
      <c r="AM979" s="271"/>
      <c r="AN979" s="271"/>
      <c r="AO979" s="271"/>
      <c r="AP979" s="271"/>
      <c r="AQ979" s="271"/>
      <c r="AR979" s="271"/>
      <c r="AS979" s="271"/>
      <c r="AT979" s="271"/>
      <c r="AU979" s="271"/>
      <c r="AV979" s="271"/>
      <c r="AW979" s="271"/>
      <c r="AX979" s="271"/>
      <c r="AY979" s="271"/>
    </row>
    <row r="980" spans="1:51" ht="15.75" customHeight="1" x14ac:dyDescent="0.25">
      <c r="A980" s="271"/>
      <c r="B980" s="534"/>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c r="AL980" s="271"/>
      <c r="AM980" s="271"/>
      <c r="AN980" s="271"/>
      <c r="AO980" s="271"/>
      <c r="AP980" s="271"/>
      <c r="AQ980" s="271"/>
      <c r="AR980" s="271"/>
      <c r="AS980" s="271"/>
      <c r="AT980" s="271"/>
      <c r="AU980" s="271"/>
      <c r="AV980" s="271"/>
      <c r="AW980" s="271"/>
      <c r="AX980" s="271"/>
      <c r="AY980" s="271"/>
    </row>
    <row r="981" spans="1:51" ht="15.75" customHeight="1" x14ac:dyDescent="0.25">
      <c r="A981" s="271"/>
      <c r="B981" s="534"/>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c r="AL981" s="271"/>
      <c r="AM981" s="271"/>
      <c r="AN981" s="271"/>
      <c r="AO981" s="271"/>
      <c r="AP981" s="271"/>
      <c r="AQ981" s="271"/>
      <c r="AR981" s="271"/>
      <c r="AS981" s="271"/>
      <c r="AT981" s="271"/>
      <c r="AU981" s="271"/>
      <c r="AV981" s="271"/>
      <c r="AW981" s="271"/>
      <c r="AX981" s="271"/>
      <c r="AY981" s="271"/>
    </row>
    <row r="982" spans="1:51" ht="15.75" customHeight="1" x14ac:dyDescent="0.25">
      <c r="A982" s="271"/>
      <c r="B982" s="534"/>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c r="AL982" s="271"/>
      <c r="AM982" s="271"/>
      <c r="AN982" s="271"/>
      <c r="AO982" s="271"/>
      <c r="AP982" s="271"/>
      <c r="AQ982" s="271"/>
      <c r="AR982" s="271"/>
      <c r="AS982" s="271"/>
      <c r="AT982" s="271"/>
      <c r="AU982" s="271"/>
      <c r="AV982" s="271"/>
      <c r="AW982" s="271"/>
      <c r="AX982" s="271"/>
      <c r="AY982" s="271"/>
    </row>
    <row r="983" spans="1:51" ht="15.75" customHeight="1" x14ac:dyDescent="0.25">
      <c r="A983" s="271"/>
      <c r="B983" s="534"/>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c r="AL983" s="271"/>
      <c r="AM983" s="271"/>
      <c r="AN983" s="271"/>
      <c r="AO983" s="271"/>
      <c r="AP983" s="271"/>
      <c r="AQ983" s="271"/>
      <c r="AR983" s="271"/>
      <c r="AS983" s="271"/>
      <c r="AT983" s="271"/>
      <c r="AU983" s="271"/>
      <c r="AV983" s="271"/>
      <c r="AW983" s="271"/>
      <c r="AX983" s="271"/>
      <c r="AY983" s="271"/>
    </row>
    <row r="984" spans="1:51" ht="15.75" customHeight="1" x14ac:dyDescent="0.25">
      <c r="A984" s="271"/>
      <c r="B984" s="534"/>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c r="AL984" s="271"/>
      <c r="AM984" s="271"/>
      <c r="AN984" s="271"/>
      <c r="AO984" s="271"/>
      <c r="AP984" s="271"/>
      <c r="AQ984" s="271"/>
      <c r="AR984" s="271"/>
      <c r="AS984" s="271"/>
      <c r="AT984" s="271"/>
      <c r="AU984" s="271"/>
      <c r="AV984" s="271"/>
      <c r="AW984" s="271"/>
      <c r="AX984" s="271"/>
      <c r="AY984" s="271"/>
    </row>
    <row r="985" spans="1:51" ht="15.75" customHeight="1" x14ac:dyDescent="0.25">
      <c r="A985" s="271"/>
      <c r="B985" s="534"/>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c r="AL985" s="271"/>
      <c r="AM985" s="271"/>
      <c r="AN985" s="271"/>
      <c r="AO985" s="271"/>
      <c r="AP985" s="271"/>
      <c r="AQ985" s="271"/>
      <c r="AR985" s="271"/>
      <c r="AS985" s="271"/>
      <c r="AT985" s="271"/>
      <c r="AU985" s="271"/>
      <c r="AV985" s="271"/>
      <c r="AW985" s="271"/>
      <c r="AX985" s="271"/>
      <c r="AY985" s="271"/>
    </row>
    <row r="986" spans="1:51" ht="15.75" customHeight="1" x14ac:dyDescent="0.25">
      <c r="A986" s="271"/>
      <c r="B986" s="534"/>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c r="AL986" s="271"/>
      <c r="AM986" s="271"/>
      <c r="AN986" s="271"/>
      <c r="AO986" s="271"/>
      <c r="AP986" s="271"/>
      <c r="AQ986" s="271"/>
      <c r="AR986" s="271"/>
      <c r="AS986" s="271"/>
      <c r="AT986" s="271"/>
      <c r="AU986" s="271"/>
      <c r="AV986" s="271"/>
      <c r="AW986" s="271"/>
      <c r="AX986" s="271"/>
      <c r="AY986" s="271"/>
    </row>
    <row r="987" spans="1:51" ht="15.75" customHeight="1" x14ac:dyDescent="0.25">
      <c r="A987" s="271"/>
      <c r="B987" s="534"/>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c r="AL987" s="271"/>
      <c r="AM987" s="271"/>
      <c r="AN987" s="271"/>
      <c r="AO987" s="271"/>
      <c r="AP987" s="271"/>
      <c r="AQ987" s="271"/>
      <c r="AR987" s="271"/>
      <c r="AS987" s="271"/>
      <c r="AT987" s="271"/>
      <c r="AU987" s="271"/>
      <c r="AV987" s="271"/>
      <c r="AW987" s="271"/>
      <c r="AX987" s="271"/>
      <c r="AY987" s="271"/>
    </row>
    <row r="988" spans="1:51" ht="15.75" customHeight="1" x14ac:dyDescent="0.25">
      <c r="A988" s="271"/>
      <c r="B988" s="534"/>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c r="AL988" s="271"/>
      <c r="AM988" s="271"/>
      <c r="AN988" s="271"/>
      <c r="AO988" s="271"/>
      <c r="AP988" s="271"/>
      <c r="AQ988" s="271"/>
      <c r="AR988" s="271"/>
      <c r="AS988" s="271"/>
      <c r="AT988" s="271"/>
      <c r="AU988" s="271"/>
      <c r="AV988" s="271"/>
      <c r="AW988" s="271"/>
      <c r="AX988" s="271"/>
      <c r="AY988" s="271"/>
    </row>
    <row r="989" spans="1:51" ht="15.75" customHeight="1" x14ac:dyDescent="0.25">
      <c r="A989" s="271"/>
      <c r="B989" s="534"/>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c r="AL989" s="271"/>
      <c r="AM989" s="271"/>
      <c r="AN989" s="271"/>
      <c r="AO989" s="271"/>
      <c r="AP989" s="271"/>
      <c r="AQ989" s="271"/>
      <c r="AR989" s="271"/>
      <c r="AS989" s="271"/>
      <c r="AT989" s="271"/>
      <c r="AU989" s="271"/>
      <c r="AV989" s="271"/>
      <c r="AW989" s="271"/>
      <c r="AX989" s="271"/>
      <c r="AY989" s="271"/>
    </row>
    <row r="990" spans="1:51" ht="15.75" customHeight="1" x14ac:dyDescent="0.25">
      <c r="A990" s="271"/>
      <c r="B990" s="534"/>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c r="AL990" s="271"/>
      <c r="AM990" s="271"/>
      <c r="AN990" s="271"/>
      <c r="AO990" s="271"/>
      <c r="AP990" s="271"/>
      <c r="AQ990" s="271"/>
      <c r="AR990" s="271"/>
      <c r="AS990" s="271"/>
      <c r="AT990" s="271"/>
      <c r="AU990" s="271"/>
      <c r="AV990" s="271"/>
      <c r="AW990" s="271"/>
      <c r="AX990" s="271"/>
      <c r="AY990" s="271"/>
    </row>
    <row r="991" spans="1:51" ht="15.75" customHeight="1" x14ac:dyDescent="0.25">
      <c r="A991" s="271"/>
      <c r="B991" s="534"/>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c r="AL991" s="271"/>
      <c r="AM991" s="271"/>
      <c r="AN991" s="271"/>
      <c r="AO991" s="271"/>
      <c r="AP991" s="271"/>
      <c r="AQ991" s="271"/>
      <c r="AR991" s="271"/>
      <c r="AS991" s="271"/>
      <c r="AT991" s="271"/>
      <c r="AU991" s="271"/>
      <c r="AV991" s="271"/>
      <c r="AW991" s="271"/>
      <c r="AX991" s="271"/>
      <c r="AY991" s="271"/>
    </row>
    <row r="992" spans="1:51" ht="15.75" customHeight="1" x14ac:dyDescent="0.25">
      <c r="A992" s="271"/>
      <c r="B992" s="534"/>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c r="AL992" s="271"/>
      <c r="AM992" s="271"/>
      <c r="AN992" s="271"/>
      <c r="AO992" s="271"/>
      <c r="AP992" s="271"/>
      <c r="AQ992" s="271"/>
      <c r="AR992" s="271"/>
      <c r="AS992" s="271"/>
      <c r="AT992" s="271"/>
      <c r="AU992" s="271"/>
      <c r="AV992" s="271"/>
      <c r="AW992" s="271"/>
      <c r="AX992" s="271"/>
      <c r="AY992" s="271"/>
    </row>
    <row r="993" spans="1:51" ht="15.75" customHeight="1" x14ac:dyDescent="0.25">
      <c r="A993" s="271"/>
      <c r="B993" s="534"/>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c r="AL993" s="271"/>
      <c r="AM993" s="271"/>
      <c r="AN993" s="271"/>
      <c r="AO993" s="271"/>
      <c r="AP993" s="271"/>
      <c r="AQ993" s="271"/>
      <c r="AR993" s="271"/>
      <c r="AS993" s="271"/>
      <c r="AT993" s="271"/>
      <c r="AU993" s="271"/>
      <c r="AV993" s="271"/>
      <c r="AW993" s="271"/>
      <c r="AX993" s="271"/>
      <c r="AY993" s="271"/>
    </row>
    <row r="994" spans="1:51" ht="15.75" customHeight="1" x14ac:dyDescent="0.25">
      <c r="A994" s="271"/>
      <c r="B994" s="534"/>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c r="AL994" s="271"/>
      <c r="AM994" s="271"/>
      <c r="AN994" s="271"/>
      <c r="AO994" s="271"/>
      <c r="AP994" s="271"/>
      <c r="AQ994" s="271"/>
      <c r="AR994" s="271"/>
      <c r="AS994" s="271"/>
      <c r="AT994" s="271"/>
      <c r="AU994" s="271"/>
      <c r="AV994" s="271"/>
      <c r="AW994" s="271"/>
      <c r="AX994" s="271"/>
      <c r="AY994" s="271"/>
    </row>
    <row r="995" spans="1:51" ht="15.75" customHeight="1" x14ac:dyDescent="0.25">
      <c r="A995" s="271"/>
      <c r="B995" s="534"/>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c r="AL995" s="271"/>
      <c r="AM995" s="271"/>
      <c r="AN995" s="271"/>
      <c r="AO995" s="271"/>
      <c r="AP995" s="271"/>
      <c r="AQ995" s="271"/>
      <c r="AR995" s="271"/>
      <c r="AS995" s="271"/>
      <c r="AT995" s="271"/>
      <c r="AU995" s="271"/>
      <c r="AV995" s="271"/>
      <c r="AW995" s="271"/>
      <c r="AX995" s="271"/>
      <c r="AY995" s="271"/>
    </row>
    <row r="996" spans="1:51" ht="15.75" customHeight="1" x14ac:dyDescent="0.25">
      <c r="A996" s="271"/>
      <c r="B996" s="534"/>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c r="AL996" s="271"/>
      <c r="AM996" s="271"/>
      <c r="AN996" s="271"/>
      <c r="AO996" s="271"/>
      <c r="AP996" s="271"/>
      <c r="AQ996" s="271"/>
      <c r="AR996" s="271"/>
      <c r="AS996" s="271"/>
      <c r="AT996" s="271"/>
      <c r="AU996" s="271"/>
      <c r="AV996" s="271"/>
      <c r="AW996" s="271"/>
      <c r="AX996" s="271"/>
      <c r="AY996" s="271"/>
    </row>
    <row r="997" spans="1:51" ht="15.75" customHeight="1" x14ac:dyDescent="0.25">
      <c r="A997" s="271"/>
      <c r="B997" s="534"/>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c r="AL997" s="271"/>
      <c r="AM997" s="271"/>
      <c r="AN997" s="271"/>
      <c r="AO997" s="271"/>
      <c r="AP997" s="271"/>
      <c r="AQ997" s="271"/>
      <c r="AR997" s="271"/>
      <c r="AS997" s="271"/>
      <c r="AT997" s="271"/>
      <c r="AU997" s="271"/>
      <c r="AV997" s="271"/>
      <c r="AW997" s="271"/>
      <c r="AX997" s="271"/>
      <c r="AY997" s="271"/>
    </row>
    <row r="998" spans="1:51" ht="15.75" customHeight="1" x14ac:dyDescent="0.25">
      <c r="A998" s="271"/>
      <c r="B998" s="534"/>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c r="AL998" s="271"/>
      <c r="AM998" s="271"/>
      <c r="AN998" s="271"/>
      <c r="AO998" s="271"/>
      <c r="AP998" s="271"/>
      <c r="AQ998" s="271"/>
      <c r="AR998" s="271"/>
      <c r="AS998" s="271"/>
      <c r="AT998" s="271"/>
      <c r="AU998" s="271"/>
      <c r="AV998" s="271"/>
      <c r="AW998" s="271"/>
      <c r="AX998" s="271"/>
      <c r="AY998" s="271"/>
    </row>
    <row r="999" spans="1:51" ht="15.75" customHeight="1" x14ac:dyDescent="0.25">
      <c r="A999" s="271"/>
      <c r="B999" s="534"/>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c r="AL999" s="271"/>
      <c r="AM999" s="271"/>
      <c r="AN999" s="271"/>
      <c r="AO999" s="271"/>
      <c r="AP999" s="271"/>
      <c r="AQ999" s="271"/>
      <c r="AR999" s="271"/>
      <c r="AS999" s="271"/>
      <c r="AT999" s="271"/>
      <c r="AU999" s="271"/>
      <c r="AV999" s="271"/>
      <c r="AW999" s="271"/>
      <c r="AX999" s="271"/>
      <c r="AY999" s="271"/>
    </row>
    <row r="1000" spans="1:51" ht="15.75" customHeight="1" x14ac:dyDescent="0.25">
      <c r="A1000" s="271"/>
      <c r="B1000" s="534"/>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c r="AL1000" s="271"/>
      <c r="AM1000" s="271"/>
      <c r="AN1000" s="271"/>
      <c r="AO1000" s="271"/>
      <c r="AP1000" s="271"/>
      <c r="AQ1000" s="271"/>
      <c r="AR1000" s="271"/>
      <c r="AS1000" s="271"/>
      <c r="AT1000" s="271"/>
      <c r="AU1000" s="271"/>
      <c r="AV1000" s="271"/>
      <c r="AW1000" s="271"/>
      <c r="AX1000" s="271"/>
      <c r="AY1000" s="271"/>
    </row>
  </sheetData>
  <mergeCells count="1">
    <mergeCell ref="P1:AO1"/>
  </mergeCells>
  <pageMargins left="0.7" right="0.7" top="0.75" bottom="0.75" header="0" footer="0"/>
  <pageSetup orientation="portrait"/>
  <headerFooter>
    <oddFooter>&amp;C000000000000&amp;P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000"/>
  <sheetViews>
    <sheetView showGridLines="0" workbookViewId="0"/>
  </sheetViews>
  <sheetFormatPr baseColWidth="10" defaultColWidth="12.5703125" defaultRowHeight="15" customHeight="1" x14ac:dyDescent="0.2"/>
  <cols>
    <col min="1" max="1" width="17.85546875" customWidth="1"/>
    <col min="2" max="2" width="12.85546875" customWidth="1"/>
    <col min="3" max="3" width="15.42578125" customWidth="1"/>
    <col min="4" max="4" width="19.42578125" customWidth="1"/>
    <col min="5" max="5" width="16.28515625" customWidth="1"/>
    <col min="6" max="9" width="15" customWidth="1"/>
    <col min="10" max="10" width="7.7109375" customWidth="1"/>
    <col min="11" max="11" width="15.28515625" customWidth="1"/>
    <col min="12" max="12" width="18.42578125" customWidth="1"/>
    <col min="13" max="14" width="16.7109375" customWidth="1"/>
    <col min="15" max="15" width="12.28515625" customWidth="1"/>
    <col min="16" max="16" width="14.7109375" customWidth="1"/>
    <col min="17" max="17" width="11.85546875" customWidth="1"/>
    <col min="18" max="18" width="13" customWidth="1"/>
    <col min="19" max="21" width="15" customWidth="1"/>
    <col min="22" max="22" width="12.85546875" customWidth="1"/>
    <col min="23" max="23" width="14.42578125" customWidth="1"/>
    <col min="24" max="40" width="19.140625" customWidth="1"/>
    <col min="41" max="41" width="13.85546875" customWidth="1"/>
    <col min="42" max="51" width="9.140625" customWidth="1"/>
  </cols>
  <sheetData>
    <row r="1" spans="1:51" ht="15.75" customHeight="1" x14ac:dyDescent="0.25">
      <c r="A1" s="272" t="s">
        <v>190</v>
      </c>
      <c r="B1" s="272" t="s">
        <v>152</v>
      </c>
      <c r="C1" s="272" t="s">
        <v>157</v>
      </c>
      <c r="D1" s="272" t="s">
        <v>153</v>
      </c>
      <c r="E1" s="272" t="s">
        <v>191</v>
      </c>
      <c r="F1" s="272" t="s">
        <v>155</v>
      </c>
      <c r="G1" s="272" t="s">
        <v>156</v>
      </c>
      <c r="H1" s="272" t="s">
        <v>132</v>
      </c>
      <c r="I1" s="272" t="s">
        <v>158</v>
      </c>
      <c r="J1" s="272" t="s">
        <v>40</v>
      </c>
      <c r="K1" s="272" t="s">
        <v>159</v>
      </c>
      <c r="L1" s="272" t="s">
        <v>160</v>
      </c>
      <c r="M1" s="273" t="s">
        <v>161</v>
      </c>
      <c r="N1" s="272" t="s">
        <v>194</v>
      </c>
      <c r="O1" s="274"/>
      <c r="P1" s="553" t="s">
        <v>163</v>
      </c>
      <c r="Q1" s="554"/>
      <c r="R1" s="554"/>
      <c r="S1" s="554"/>
      <c r="T1" s="554"/>
      <c r="U1" s="554"/>
      <c r="V1" s="554"/>
      <c r="W1" s="554"/>
      <c r="X1" s="554"/>
      <c r="Y1" s="554"/>
      <c r="Z1" s="554"/>
      <c r="AA1" s="554"/>
      <c r="AB1" s="554"/>
      <c r="AC1" s="554"/>
      <c r="AD1" s="554"/>
      <c r="AE1" s="554"/>
      <c r="AF1" s="554"/>
      <c r="AG1" s="554"/>
      <c r="AH1" s="554"/>
      <c r="AI1" s="554"/>
      <c r="AJ1" s="554"/>
      <c r="AK1" s="554"/>
      <c r="AL1" s="554"/>
      <c r="AM1" s="554"/>
      <c r="AN1" s="554"/>
      <c r="AO1" s="555"/>
      <c r="AP1" s="275"/>
      <c r="AQ1" s="276"/>
      <c r="AR1" s="276"/>
      <c r="AS1" s="276"/>
      <c r="AT1" s="276"/>
      <c r="AU1" s="276"/>
      <c r="AV1" s="276"/>
      <c r="AW1" s="276"/>
      <c r="AX1" s="276"/>
      <c r="AY1" s="276"/>
    </row>
    <row r="2" spans="1:51" ht="15.75" customHeight="1" x14ac:dyDescent="0.25">
      <c r="A2" s="278"/>
      <c r="B2" s="277"/>
      <c r="C2" s="279"/>
      <c r="D2" s="278"/>
      <c r="E2" s="278"/>
      <c r="F2" s="278"/>
      <c r="G2" s="278"/>
      <c r="H2" s="278"/>
      <c r="I2" s="278"/>
      <c r="J2" s="279"/>
      <c r="K2" s="280"/>
      <c r="L2" s="281"/>
      <c r="M2" s="282"/>
      <c r="N2" s="425"/>
      <c r="O2" s="357">
        <v>0.7</v>
      </c>
      <c r="P2" s="285" t="s">
        <v>164</v>
      </c>
      <c r="Q2" s="286" t="s">
        <v>165</v>
      </c>
      <c r="R2" s="286" t="s">
        <v>166</v>
      </c>
      <c r="S2" s="286" t="s">
        <v>167</v>
      </c>
      <c r="T2" s="286" t="s">
        <v>168</v>
      </c>
      <c r="U2" s="287" t="s">
        <v>169</v>
      </c>
      <c r="V2" s="285" t="s">
        <v>170</v>
      </c>
      <c r="W2" s="287" t="s">
        <v>171</v>
      </c>
      <c r="X2" s="288" t="s">
        <v>196</v>
      </c>
      <c r="Y2" s="288" t="s">
        <v>197</v>
      </c>
      <c r="Z2" s="288" t="s">
        <v>198</v>
      </c>
      <c r="AA2" s="288" t="s">
        <v>199</v>
      </c>
      <c r="AB2" s="288" t="s">
        <v>200</v>
      </c>
      <c r="AC2" s="288" t="s">
        <v>201</v>
      </c>
      <c r="AD2" s="288" t="s">
        <v>202</v>
      </c>
      <c r="AE2" s="288" t="s">
        <v>203</v>
      </c>
      <c r="AF2" s="288" t="s">
        <v>204</v>
      </c>
      <c r="AG2" s="288" t="s">
        <v>205</v>
      </c>
      <c r="AH2" s="288" t="s">
        <v>206</v>
      </c>
      <c r="AI2" s="288" t="s">
        <v>207</v>
      </c>
      <c r="AJ2" s="288" t="s">
        <v>208</v>
      </c>
      <c r="AK2" s="288" t="s">
        <v>209</v>
      </c>
      <c r="AL2" s="288" t="s">
        <v>210</v>
      </c>
      <c r="AM2" s="288" t="s">
        <v>218</v>
      </c>
      <c r="AN2" s="288" t="s">
        <v>211</v>
      </c>
      <c r="AO2" s="288" t="s">
        <v>44</v>
      </c>
      <c r="AP2" s="275"/>
      <c r="AQ2" s="276"/>
      <c r="AR2" s="276"/>
      <c r="AS2" s="276"/>
      <c r="AT2" s="276"/>
      <c r="AU2" s="276"/>
      <c r="AV2" s="276"/>
      <c r="AW2" s="276"/>
      <c r="AX2" s="276"/>
      <c r="AY2" s="276"/>
    </row>
    <row r="3" spans="1:51" ht="15.75" customHeight="1" x14ac:dyDescent="0.25">
      <c r="A3" s="208" t="s">
        <v>141</v>
      </c>
      <c r="B3" s="209">
        <v>45139</v>
      </c>
      <c r="C3" s="427">
        <f>546500-30500</f>
        <v>516000</v>
      </c>
      <c r="D3" s="427">
        <f t="shared" ref="D3:D33" si="0">C3-E3-F3-G3-H3</f>
        <v>502500</v>
      </c>
      <c r="E3" s="243"/>
      <c r="F3" s="243"/>
      <c r="G3" s="243">
        <v>13500</v>
      </c>
      <c r="H3" s="243"/>
      <c r="I3" s="243" t="e">
        <f>'Détail Dépenses'!#REF!</f>
        <v>#REF!</v>
      </c>
      <c r="J3" s="360" t="e">
        <f t="shared" ref="J3:J33" si="1">I3/C3</f>
        <v>#REF!</v>
      </c>
      <c r="K3" s="332" t="e">
        <f t="shared" ref="K3:K33" si="2">D3-I3</f>
        <v>#REF!</v>
      </c>
      <c r="L3" s="332">
        <f>503500-13500-30500</f>
        <v>459500</v>
      </c>
      <c r="M3" s="332" t="e">
        <f t="shared" ref="M3:M33" si="3">L3-K3</f>
        <v>#REF!</v>
      </c>
      <c r="N3" s="428">
        <f t="shared" ref="N3:N33" si="4">N2+L3</f>
        <v>459500</v>
      </c>
      <c r="O3" s="429"/>
      <c r="P3" s="335">
        <v>35500</v>
      </c>
      <c r="Q3" s="335"/>
      <c r="R3" s="335">
        <f>46500+30500</f>
        <v>77000</v>
      </c>
      <c r="S3" s="335">
        <v>6000</v>
      </c>
      <c r="T3" s="335"/>
      <c r="U3" s="335"/>
      <c r="V3" s="335">
        <v>17500</v>
      </c>
      <c r="W3" s="335"/>
      <c r="X3" s="335">
        <v>10500</v>
      </c>
      <c r="Y3" s="335"/>
      <c r="Z3" s="335"/>
      <c r="AA3" s="335">
        <v>1500</v>
      </c>
      <c r="AB3" s="335"/>
      <c r="AC3" s="335"/>
      <c r="AD3" s="335"/>
      <c r="AE3" s="335">
        <v>500</v>
      </c>
      <c r="AF3" s="335">
        <v>500</v>
      </c>
      <c r="AG3" s="335"/>
      <c r="AH3" s="335"/>
      <c r="AI3" s="335"/>
      <c r="AJ3" s="335"/>
      <c r="AK3" s="335"/>
      <c r="AL3" s="335">
        <f>2500+500</f>
        <v>3000</v>
      </c>
      <c r="AM3" s="335"/>
      <c r="AN3" s="335"/>
      <c r="AO3" s="430">
        <f t="shared" ref="AO3:AO33" si="5">SUM(P3:AN3)</f>
        <v>152000</v>
      </c>
      <c r="AP3" s="201"/>
      <c r="AQ3" s="276"/>
      <c r="AR3" s="276"/>
      <c r="AS3" s="276"/>
      <c r="AT3" s="276"/>
      <c r="AU3" s="276"/>
      <c r="AV3" s="276"/>
      <c r="AW3" s="276"/>
      <c r="AX3" s="276"/>
      <c r="AY3" s="276"/>
    </row>
    <row r="4" spans="1:51" ht="15.75" customHeight="1" x14ac:dyDescent="0.25">
      <c r="A4" s="212" t="s">
        <v>142</v>
      </c>
      <c r="B4" s="213">
        <v>45140</v>
      </c>
      <c r="C4" s="365">
        <f>2516250-241500+240000</f>
        <v>2514750</v>
      </c>
      <c r="D4" s="440">
        <f t="shared" si="0"/>
        <v>2484250</v>
      </c>
      <c r="E4" s="309"/>
      <c r="F4" s="309"/>
      <c r="G4" s="309">
        <v>29000</v>
      </c>
      <c r="H4" s="309">
        <f>241500-240000</f>
        <v>1500</v>
      </c>
      <c r="I4" s="309" t="e">
        <f>'Détail Dépenses'!#REF!</f>
        <v>#REF!</v>
      </c>
      <c r="J4" s="378" t="e">
        <f t="shared" si="1"/>
        <v>#REF!</v>
      </c>
      <c r="K4" s="312" t="e">
        <f t="shared" si="2"/>
        <v>#REF!</v>
      </c>
      <c r="L4" s="312">
        <f>1879000-100000-20000-10000-227000-100000+240000</f>
        <v>1662000</v>
      </c>
      <c r="M4" s="312" t="e">
        <f t="shared" si="3"/>
        <v>#REF!</v>
      </c>
      <c r="N4" s="432">
        <f t="shared" si="4"/>
        <v>2121500</v>
      </c>
      <c r="O4" s="433"/>
      <c r="P4" s="315">
        <v>31000</v>
      </c>
      <c r="Q4" s="315">
        <v>60000</v>
      </c>
      <c r="R4" s="315">
        <f>10000+24500</f>
        <v>34500</v>
      </c>
      <c r="S4" s="315">
        <v>18000</v>
      </c>
      <c r="T4" s="315"/>
      <c r="U4" s="315"/>
      <c r="V4" s="315"/>
      <c r="W4" s="315">
        <v>500</v>
      </c>
      <c r="X4" s="315">
        <v>116000</v>
      </c>
      <c r="Y4" s="315">
        <v>59000</v>
      </c>
      <c r="Z4" s="315"/>
      <c r="AA4" s="315"/>
      <c r="AB4" s="315">
        <v>1000</v>
      </c>
      <c r="AC4" s="315"/>
      <c r="AD4" s="315"/>
      <c r="AE4" s="315"/>
      <c r="AF4" s="315">
        <v>500</v>
      </c>
      <c r="AG4" s="315"/>
      <c r="AH4" s="315">
        <v>1000</v>
      </c>
      <c r="AI4" s="315"/>
      <c r="AJ4" s="315"/>
      <c r="AK4" s="315">
        <v>2500</v>
      </c>
      <c r="AL4" s="315"/>
      <c r="AM4" s="315"/>
      <c r="AN4" s="315">
        <v>500</v>
      </c>
      <c r="AO4" s="434">
        <f t="shared" si="5"/>
        <v>324500</v>
      </c>
      <c r="AP4" s="201"/>
      <c r="AQ4" s="276"/>
      <c r="AR4" s="276"/>
      <c r="AS4" s="276"/>
      <c r="AT4" s="276"/>
      <c r="AU4" s="276"/>
      <c r="AV4" s="276"/>
      <c r="AW4" s="276"/>
      <c r="AX4" s="276"/>
      <c r="AY4" s="276"/>
    </row>
    <row r="5" spans="1:51" ht="15.75" customHeight="1" x14ac:dyDescent="0.25">
      <c r="A5" s="212" t="s">
        <v>143</v>
      </c>
      <c r="B5" s="213">
        <v>45141</v>
      </c>
      <c r="C5" s="365">
        <v>1210000</v>
      </c>
      <c r="D5" s="440">
        <f t="shared" si="0"/>
        <v>1195000</v>
      </c>
      <c r="E5" s="309">
        <v>15000</v>
      </c>
      <c r="F5" s="309"/>
      <c r="G5" s="309"/>
      <c r="H5" s="309"/>
      <c r="I5" s="309" t="e">
        <f>'Détail Dépenses'!#REF!</f>
        <v>#REF!</v>
      </c>
      <c r="J5" s="378" t="e">
        <f t="shared" si="1"/>
        <v>#REF!</v>
      </c>
      <c r="K5" s="312" t="e">
        <f t="shared" si="2"/>
        <v>#REF!</v>
      </c>
      <c r="L5" s="312">
        <v>786500</v>
      </c>
      <c r="M5" s="312" t="e">
        <f t="shared" si="3"/>
        <v>#REF!</v>
      </c>
      <c r="N5" s="432">
        <f t="shared" si="4"/>
        <v>2908000</v>
      </c>
      <c r="O5" s="433"/>
      <c r="P5" s="315"/>
      <c r="Q5" s="315"/>
      <c r="R5" s="315"/>
      <c r="S5" s="315">
        <v>10500</v>
      </c>
      <c r="T5" s="315"/>
      <c r="U5" s="315"/>
      <c r="V5" s="315">
        <v>3500</v>
      </c>
      <c r="W5" s="315">
        <f>2500+2500</f>
        <v>5000</v>
      </c>
      <c r="X5" s="315">
        <v>419500</v>
      </c>
      <c r="Y5" s="315">
        <v>40500</v>
      </c>
      <c r="Z5" s="315"/>
      <c r="AA5" s="315"/>
      <c r="AB5" s="315"/>
      <c r="AC5" s="315"/>
      <c r="AD5" s="315"/>
      <c r="AE5" s="315"/>
      <c r="AF5" s="315">
        <v>500</v>
      </c>
      <c r="AG5" s="315"/>
      <c r="AH5" s="315"/>
      <c r="AI5" s="315"/>
      <c r="AJ5" s="315"/>
      <c r="AK5" s="315"/>
      <c r="AL5" s="315">
        <v>1500</v>
      </c>
      <c r="AM5" s="315"/>
      <c r="AN5" s="315">
        <v>1000</v>
      </c>
      <c r="AO5" s="434">
        <f t="shared" si="5"/>
        <v>482000</v>
      </c>
      <c r="AP5" s="201"/>
      <c r="AQ5" s="276"/>
      <c r="AR5" s="276"/>
      <c r="AS5" s="276"/>
      <c r="AT5" s="276"/>
      <c r="AU5" s="276"/>
      <c r="AV5" s="276"/>
      <c r="AW5" s="276"/>
      <c r="AX5" s="276"/>
      <c r="AY5" s="276"/>
    </row>
    <row r="6" spans="1:51" ht="15.75" customHeight="1" x14ac:dyDescent="0.25">
      <c r="A6" s="212" t="s">
        <v>144</v>
      </c>
      <c r="B6" s="213">
        <v>45142</v>
      </c>
      <c r="C6" s="440">
        <v>1610750</v>
      </c>
      <c r="D6" s="440">
        <f t="shared" si="0"/>
        <v>1578250</v>
      </c>
      <c r="E6" s="309"/>
      <c r="F6" s="309"/>
      <c r="G6" s="309">
        <v>32500</v>
      </c>
      <c r="H6" s="309"/>
      <c r="I6" s="309" t="e">
        <f>'Détail Dépenses'!#REF!</f>
        <v>#REF!</v>
      </c>
      <c r="J6" s="378" t="e">
        <f t="shared" si="1"/>
        <v>#REF!</v>
      </c>
      <c r="K6" s="312" t="e">
        <f t="shared" si="2"/>
        <v>#REF!</v>
      </c>
      <c r="L6" s="312">
        <f>1175000-75000</f>
        <v>1100000</v>
      </c>
      <c r="M6" s="312" t="e">
        <f t="shared" si="3"/>
        <v>#REF!</v>
      </c>
      <c r="N6" s="432">
        <f t="shared" si="4"/>
        <v>4008000</v>
      </c>
      <c r="O6" s="433"/>
      <c r="P6" s="315">
        <v>16000</v>
      </c>
      <c r="Q6" s="315"/>
      <c r="R6" s="315">
        <v>18000</v>
      </c>
      <c r="S6" s="315"/>
      <c r="T6" s="315"/>
      <c r="U6" s="315"/>
      <c r="V6" s="315">
        <v>2500</v>
      </c>
      <c r="W6" s="315">
        <v>500</v>
      </c>
      <c r="X6" s="315">
        <v>214000</v>
      </c>
      <c r="Y6" s="315"/>
      <c r="Z6" s="315">
        <v>2000</v>
      </c>
      <c r="AA6" s="315"/>
      <c r="AB6" s="315">
        <v>500</v>
      </c>
      <c r="AC6" s="315"/>
      <c r="AD6" s="315"/>
      <c r="AE6" s="315"/>
      <c r="AF6" s="315">
        <v>3000</v>
      </c>
      <c r="AG6" s="315"/>
      <c r="AH6" s="315"/>
      <c r="AI6" s="315"/>
      <c r="AJ6" s="315"/>
      <c r="AK6" s="315">
        <v>500</v>
      </c>
      <c r="AL6" s="315"/>
      <c r="AM6" s="315"/>
      <c r="AN6" s="315"/>
      <c r="AO6" s="434">
        <f t="shared" si="5"/>
        <v>257000</v>
      </c>
      <c r="AP6" s="201"/>
      <c r="AQ6" s="276"/>
      <c r="AR6" s="276"/>
      <c r="AS6" s="276"/>
      <c r="AT6" s="276"/>
      <c r="AU6" s="276"/>
      <c r="AV6" s="276"/>
      <c r="AW6" s="276"/>
      <c r="AX6" s="276"/>
      <c r="AY6" s="276"/>
    </row>
    <row r="7" spans="1:51" ht="15.75" customHeight="1" x14ac:dyDescent="0.25">
      <c r="A7" s="212" t="s">
        <v>138</v>
      </c>
      <c r="B7" s="213">
        <v>45143</v>
      </c>
      <c r="C7" s="440">
        <v>1205750</v>
      </c>
      <c r="D7" s="440">
        <f t="shared" si="0"/>
        <v>1202750</v>
      </c>
      <c r="E7" s="309"/>
      <c r="F7" s="309"/>
      <c r="G7" s="309">
        <v>3000</v>
      </c>
      <c r="H7" s="309"/>
      <c r="I7" s="309" t="e">
        <f>'Détail Dépenses'!#REF!</f>
        <v>#REF!</v>
      </c>
      <c r="J7" s="378" t="e">
        <f t="shared" si="1"/>
        <v>#REF!</v>
      </c>
      <c r="K7" s="312" t="e">
        <f t="shared" si="2"/>
        <v>#REF!</v>
      </c>
      <c r="L7" s="312">
        <v>749500</v>
      </c>
      <c r="M7" s="312" t="e">
        <f t="shared" si="3"/>
        <v>#REF!</v>
      </c>
      <c r="N7" s="432">
        <f t="shared" si="4"/>
        <v>4757500</v>
      </c>
      <c r="O7" s="433"/>
      <c r="P7" s="315">
        <v>45500</v>
      </c>
      <c r="Q7" s="315"/>
      <c r="R7" s="315">
        <v>12500</v>
      </c>
      <c r="S7" s="315"/>
      <c r="T7" s="315"/>
      <c r="U7" s="315"/>
      <c r="V7" s="315">
        <f>6000+4000</f>
        <v>10000</v>
      </c>
      <c r="W7" s="315"/>
      <c r="X7" s="315">
        <v>246500</v>
      </c>
      <c r="Y7" s="315"/>
      <c r="Z7" s="315">
        <v>2000</v>
      </c>
      <c r="AA7" s="315"/>
      <c r="AB7" s="315">
        <v>500</v>
      </c>
      <c r="AC7" s="315"/>
      <c r="AD7" s="315"/>
      <c r="AE7" s="315"/>
      <c r="AF7" s="315">
        <v>2000</v>
      </c>
      <c r="AG7" s="315"/>
      <c r="AH7" s="315"/>
      <c r="AI7" s="315"/>
      <c r="AJ7" s="315"/>
      <c r="AK7" s="315">
        <v>500</v>
      </c>
      <c r="AL7" s="315"/>
      <c r="AM7" s="315"/>
      <c r="AN7" s="315">
        <v>1000</v>
      </c>
      <c r="AO7" s="434">
        <f t="shared" si="5"/>
        <v>320500</v>
      </c>
      <c r="AP7" s="201"/>
      <c r="AQ7" s="276"/>
      <c r="AR7" s="276"/>
      <c r="AS7" s="276"/>
      <c r="AT7" s="276"/>
      <c r="AU7" s="276"/>
      <c r="AV7" s="276"/>
      <c r="AW7" s="276"/>
      <c r="AX7" s="276"/>
      <c r="AY7" s="276"/>
    </row>
    <row r="8" spans="1:51" ht="15.75" customHeight="1" x14ac:dyDescent="0.25">
      <c r="A8" s="218" t="s">
        <v>139</v>
      </c>
      <c r="B8" s="219">
        <v>45144</v>
      </c>
      <c r="C8" s="436"/>
      <c r="D8" s="436">
        <f t="shared" si="0"/>
        <v>0</v>
      </c>
      <c r="E8" s="320"/>
      <c r="F8" s="320"/>
      <c r="G8" s="320"/>
      <c r="H8" s="320"/>
      <c r="I8" s="320" t="e">
        <f>'Détail Dépenses'!#REF!</f>
        <v>#REF!</v>
      </c>
      <c r="J8" s="367" t="e">
        <f t="shared" si="1"/>
        <v>#REF!</v>
      </c>
      <c r="K8" s="323" t="e">
        <f t="shared" si="2"/>
        <v>#REF!</v>
      </c>
      <c r="L8" s="323"/>
      <c r="M8" s="323" t="e">
        <f t="shared" si="3"/>
        <v>#REF!</v>
      </c>
      <c r="N8" s="482">
        <f t="shared" si="4"/>
        <v>4757500</v>
      </c>
      <c r="O8" s="437"/>
      <c r="P8" s="327"/>
      <c r="Q8" s="327"/>
      <c r="R8" s="327"/>
      <c r="S8" s="327"/>
      <c r="T8" s="327"/>
      <c r="U8" s="327"/>
      <c r="V8" s="327"/>
      <c r="W8" s="327"/>
      <c r="X8" s="327"/>
      <c r="Y8" s="327"/>
      <c r="Z8" s="327"/>
      <c r="AA8" s="327"/>
      <c r="AB8" s="327"/>
      <c r="AC8" s="327"/>
      <c r="AD8" s="327"/>
      <c r="AE8" s="327"/>
      <c r="AF8" s="327"/>
      <c r="AG8" s="327"/>
      <c r="AH8" s="327"/>
      <c r="AI8" s="327"/>
      <c r="AJ8" s="327"/>
      <c r="AK8" s="327"/>
      <c r="AL8" s="327"/>
      <c r="AM8" s="327"/>
      <c r="AN8" s="327"/>
      <c r="AO8" s="438">
        <f t="shared" si="5"/>
        <v>0</v>
      </c>
      <c r="AP8" s="201"/>
      <c r="AQ8" s="276"/>
      <c r="AR8" s="276"/>
      <c r="AS8" s="276"/>
      <c r="AT8" s="276"/>
      <c r="AU8" s="276"/>
      <c r="AV8" s="276"/>
      <c r="AW8" s="276"/>
      <c r="AX8" s="276"/>
      <c r="AY8" s="276"/>
    </row>
    <row r="9" spans="1:51" ht="15.75" customHeight="1" x14ac:dyDescent="0.25">
      <c r="A9" s="208" t="s">
        <v>140</v>
      </c>
      <c r="B9" s="209">
        <v>45145</v>
      </c>
      <c r="C9" s="358"/>
      <c r="D9" s="427">
        <f t="shared" si="0"/>
        <v>0</v>
      </c>
      <c r="E9" s="243"/>
      <c r="F9" s="243"/>
      <c r="G9" s="243"/>
      <c r="H9" s="243"/>
      <c r="I9" s="243" t="e">
        <f>'Détail Dépenses'!#REF!</f>
        <v>#REF!</v>
      </c>
      <c r="J9" s="360" t="e">
        <f t="shared" si="1"/>
        <v>#REF!</v>
      </c>
      <c r="K9" s="332" t="e">
        <f t="shared" si="2"/>
        <v>#REF!</v>
      </c>
      <c r="L9" s="332"/>
      <c r="M9" s="332" t="e">
        <f t="shared" si="3"/>
        <v>#REF!</v>
      </c>
      <c r="N9" s="428">
        <f t="shared" si="4"/>
        <v>4757500</v>
      </c>
      <c r="O9" s="429"/>
      <c r="P9" s="335"/>
      <c r="Q9" s="335"/>
      <c r="R9" s="335"/>
      <c r="S9" s="335"/>
      <c r="T9" s="335"/>
      <c r="U9" s="335"/>
      <c r="V9" s="335"/>
      <c r="W9" s="335"/>
      <c r="X9" s="335"/>
      <c r="Y9" s="335"/>
      <c r="Z9" s="335"/>
      <c r="AA9" s="335"/>
      <c r="AB9" s="335"/>
      <c r="AC9" s="335"/>
      <c r="AD9" s="335"/>
      <c r="AE9" s="335"/>
      <c r="AF9" s="335"/>
      <c r="AG9" s="335"/>
      <c r="AH9" s="335"/>
      <c r="AI9" s="335"/>
      <c r="AJ9" s="335"/>
      <c r="AK9" s="335"/>
      <c r="AL9" s="335"/>
      <c r="AM9" s="335"/>
      <c r="AN9" s="335"/>
      <c r="AO9" s="430">
        <f t="shared" si="5"/>
        <v>0</v>
      </c>
      <c r="AP9" s="201"/>
      <c r="AQ9" s="276"/>
      <c r="AR9" s="276"/>
      <c r="AS9" s="276"/>
      <c r="AT9" s="276"/>
      <c r="AU9" s="276"/>
      <c r="AV9" s="276"/>
      <c r="AW9" s="276"/>
      <c r="AX9" s="276"/>
      <c r="AY9" s="276"/>
    </row>
    <row r="10" spans="1:51" ht="15.75" customHeight="1" x14ac:dyDescent="0.25">
      <c r="A10" s="212" t="s">
        <v>141</v>
      </c>
      <c r="B10" s="213">
        <v>45146</v>
      </c>
      <c r="C10" s="365"/>
      <c r="D10" s="440">
        <f t="shared" si="0"/>
        <v>0</v>
      </c>
      <c r="E10" s="309"/>
      <c r="F10" s="309"/>
      <c r="G10" s="309"/>
      <c r="H10" s="309"/>
      <c r="I10" s="309" t="e">
        <f>'Détail Dépenses'!#REF!</f>
        <v>#REF!</v>
      </c>
      <c r="J10" s="378" t="e">
        <f t="shared" si="1"/>
        <v>#REF!</v>
      </c>
      <c r="K10" s="312" t="e">
        <f t="shared" si="2"/>
        <v>#REF!</v>
      </c>
      <c r="L10" s="312"/>
      <c r="M10" s="312" t="e">
        <f t="shared" si="3"/>
        <v>#REF!</v>
      </c>
      <c r="N10" s="432">
        <f t="shared" si="4"/>
        <v>4757500</v>
      </c>
      <c r="O10" s="433"/>
      <c r="P10" s="315"/>
      <c r="Q10" s="315"/>
      <c r="R10" s="315"/>
      <c r="S10" s="315"/>
      <c r="T10" s="315"/>
      <c r="U10" s="315"/>
      <c r="V10" s="315"/>
      <c r="W10" s="315"/>
      <c r="X10" s="315"/>
      <c r="Y10" s="315"/>
      <c r="Z10" s="315"/>
      <c r="AA10" s="315"/>
      <c r="AB10" s="315"/>
      <c r="AC10" s="315"/>
      <c r="AD10" s="315"/>
      <c r="AE10" s="315"/>
      <c r="AF10" s="315"/>
      <c r="AG10" s="315"/>
      <c r="AH10" s="315"/>
      <c r="AI10" s="315"/>
      <c r="AJ10" s="315"/>
      <c r="AK10" s="315"/>
      <c r="AL10" s="315"/>
      <c r="AM10" s="315"/>
      <c r="AN10" s="315"/>
      <c r="AO10" s="434">
        <f t="shared" si="5"/>
        <v>0</v>
      </c>
      <c r="AP10" s="201"/>
      <c r="AQ10" s="276"/>
      <c r="AR10" s="276"/>
      <c r="AS10" s="276"/>
      <c r="AT10" s="276"/>
      <c r="AU10" s="276"/>
      <c r="AV10" s="276"/>
      <c r="AW10" s="276"/>
      <c r="AX10" s="276"/>
      <c r="AY10" s="276"/>
    </row>
    <row r="11" spans="1:51" ht="15.75" customHeight="1" x14ac:dyDescent="0.25">
      <c r="A11" s="212" t="s">
        <v>142</v>
      </c>
      <c r="B11" s="213">
        <v>45147</v>
      </c>
      <c r="C11" s="440"/>
      <c r="D11" s="440">
        <f t="shared" si="0"/>
        <v>0</v>
      </c>
      <c r="E11" s="309"/>
      <c r="F11" s="309"/>
      <c r="G11" s="309"/>
      <c r="H11" s="309"/>
      <c r="I11" s="309" t="e">
        <f>'Détail Dépenses'!#REF!</f>
        <v>#REF!</v>
      </c>
      <c r="J11" s="378" t="e">
        <f t="shared" si="1"/>
        <v>#REF!</v>
      </c>
      <c r="K11" s="312" t="e">
        <f t="shared" si="2"/>
        <v>#REF!</v>
      </c>
      <c r="L11" s="312"/>
      <c r="M11" s="312" t="e">
        <f t="shared" si="3"/>
        <v>#REF!</v>
      </c>
      <c r="N11" s="432">
        <f t="shared" si="4"/>
        <v>4757500</v>
      </c>
      <c r="O11" s="433"/>
      <c r="P11" s="315"/>
      <c r="Q11" s="315"/>
      <c r="R11" s="315"/>
      <c r="S11" s="315"/>
      <c r="T11" s="315"/>
      <c r="U11" s="315"/>
      <c r="V11" s="315"/>
      <c r="W11" s="315"/>
      <c r="X11" s="315"/>
      <c r="Y11" s="315"/>
      <c r="Z11" s="315"/>
      <c r="AA11" s="315"/>
      <c r="AB11" s="315"/>
      <c r="AC11" s="315"/>
      <c r="AD11" s="315"/>
      <c r="AE11" s="315"/>
      <c r="AF11" s="315"/>
      <c r="AG11" s="315"/>
      <c r="AH11" s="315"/>
      <c r="AI11" s="315"/>
      <c r="AJ11" s="315"/>
      <c r="AK11" s="315"/>
      <c r="AL11" s="315"/>
      <c r="AM11" s="315"/>
      <c r="AN11" s="315"/>
      <c r="AO11" s="434">
        <f t="shared" si="5"/>
        <v>0</v>
      </c>
      <c r="AP11" s="201"/>
      <c r="AQ11" s="276"/>
      <c r="AR11" s="276"/>
      <c r="AS11" s="276"/>
      <c r="AT11" s="276"/>
      <c r="AU11" s="276"/>
      <c r="AV11" s="276"/>
      <c r="AW11" s="276"/>
      <c r="AX11" s="276"/>
      <c r="AY11" s="276"/>
    </row>
    <row r="12" spans="1:51" ht="15.75" customHeight="1" x14ac:dyDescent="0.25">
      <c r="A12" s="212" t="s">
        <v>143</v>
      </c>
      <c r="B12" s="213">
        <v>45148</v>
      </c>
      <c r="C12" s="440"/>
      <c r="D12" s="440">
        <f t="shared" si="0"/>
        <v>0</v>
      </c>
      <c r="E12" s="309"/>
      <c r="F12" s="309"/>
      <c r="G12" s="309"/>
      <c r="H12" s="309"/>
      <c r="I12" s="309" t="e">
        <f>'Détail Dépenses'!#REF!</f>
        <v>#REF!</v>
      </c>
      <c r="J12" s="378" t="e">
        <f t="shared" si="1"/>
        <v>#REF!</v>
      </c>
      <c r="K12" s="312" t="e">
        <f t="shared" si="2"/>
        <v>#REF!</v>
      </c>
      <c r="L12" s="312"/>
      <c r="M12" s="312" t="e">
        <f t="shared" si="3"/>
        <v>#REF!</v>
      </c>
      <c r="N12" s="432">
        <f t="shared" si="4"/>
        <v>4757500</v>
      </c>
      <c r="O12" s="433"/>
      <c r="P12" s="315"/>
      <c r="Q12" s="315"/>
      <c r="R12" s="315"/>
      <c r="S12" s="315"/>
      <c r="T12" s="315"/>
      <c r="U12" s="315"/>
      <c r="V12" s="315"/>
      <c r="W12" s="315"/>
      <c r="X12" s="315"/>
      <c r="Y12" s="315"/>
      <c r="Z12" s="315"/>
      <c r="AA12" s="315"/>
      <c r="AB12" s="315"/>
      <c r="AC12" s="315"/>
      <c r="AD12" s="315"/>
      <c r="AE12" s="315"/>
      <c r="AF12" s="315"/>
      <c r="AG12" s="315"/>
      <c r="AH12" s="315"/>
      <c r="AI12" s="315"/>
      <c r="AJ12" s="315"/>
      <c r="AK12" s="315"/>
      <c r="AL12" s="315"/>
      <c r="AM12" s="315"/>
      <c r="AN12" s="315"/>
      <c r="AO12" s="434">
        <f t="shared" si="5"/>
        <v>0</v>
      </c>
      <c r="AP12" s="201"/>
      <c r="AQ12" s="276"/>
      <c r="AR12" s="276"/>
      <c r="AS12" s="276"/>
      <c r="AT12" s="276"/>
      <c r="AU12" s="276"/>
      <c r="AV12" s="276"/>
      <c r="AW12" s="276"/>
      <c r="AX12" s="276"/>
      <c r="AY12" s="276"/>
    </row>
    <row r="13" spans="1:51" ht="15.75" customHeight="1" x14ac:dyDescent="0.25">
      <c r="A13" s="212" t="s">
        <v>144</v>
      </c>
      <c r="B13" s="213">
        <v>45149</v>
      </c>
      <c r="C13" s="440"/>
      <c r="D13" s="440">
        <f t="shared" si="0"/>
        <v>0</v>
      </c>
      <c r="E13" s="309"/>
      <c r="F13" s="309"/>
      <c r="G13" s="309"/>
      <c r="H13" s="309"/>
      <c r="I13" s="309" t="e">
        <f>'Détail Dépenses'!#REF!</f>
        <v>#REF!</v>
      </c>
      <c r="J13" s="378" t="e">
        <f t="shared" si="1"/>
        <v>#REF!</v>
      </c>
      <c r="K13" s="312" t="e">
        <f t="shared" si="2"/>
        <v>#REF!</v>
      </c>
      <c r="L13" s="312"/>
      <c r="M13" s="312" t="e">
        <f t="shared" si="3"/>
        <v>#REF!</v>
      </c>
      <c r="N13" s="432">
        <f t="shared" si="4"/>
        <v>4757500</v>
      </c>
      <c r="O13" s="433"/>
      <c r="P13" s="315"/>
      <c r="Q13" s="315"/>
      <c r="R13" s="315"/>
      <c r="S13" s="315"/>
      <c r="T13" s="315"/>
      <c r="U13" s="315"/>
      <c r="V13" s="315"/>
      <c r="W13" s="315"/>
      <c r="X13" s="315"/>
      <c r="Y13" s="315"/>
      <c r="Z13" s="315"/>
      <c r="AA13" s="315"/>
      <c r="AB13" s="315"/>
      <c r="AC13" s="315"/>
      <c r="AD13" s="315"/>
      <c r="AE13" s="315"/>
      <c r="AF13" s="315"/>
      <c r="AG13" s="315"/>
      <c r="AH13" s="315"/>
      <c r="AI13" s="315"/>
      <c r="AJ13" s="315"/>
      <c r="AK13" s="315"/>
      <c r="AL13" s="315"/>
      <c r="AM13" s="315"/>
      <c r="AN13" s="315"/>
      <c r="AO13" s="434">
        <f t="shared" si="5"/>
        <v>0</v>
      </c>
      <c r="AP13" s="201"/>
      <c r="AQ13" s="276"/>
      <c r="AR13" s="276"/>
      <c r="AS13" s="276"/>
      <c r="AT13" s="276"/>
      <c r="AU13" s="276"/>
      <c r="AV13" s="276"/>
      <c r="AW13" s="276"/>
      <c r="AX13" s="276"/>
      <c r="AY13" s="276"/>
    </row>
    <row r="14" spans="1:51" ht="15.75" customHeight="1" x14ac:dyDescent="0.25">
      <c r="A14" s="212" t="s">
        <v>138</v>
      </c>
      <c r="B14" s="213">
        <v>45150</v>
      </c>
      <c r="C14" s="365"/>
      <c r="D14" s="440">
        <f t="shared" si="0"/>
        <v>0</v>
      </c>
      <c r="E14" s="309"/>
      <c r="F14" s="309"/>
      <c r="G14" s="309"/>
      <c r="H14" s="309"/>
      <c r="I14" s="309" t="e">
        <f>'Détail Dépenses'!#REF!</f>
        <v>#REF!</v>
      </c>
      <c r="J14" s="378" t="e">
        <f t="shared" si="1"/>
        <v>#REF!</v>
      </c>
      <c r="K14" s="312" t="e">
        <f t="shared" si="2"/>
        <v>#REF!</v>
      </c>
      <c r="L14" s="312"/>
      <c r="M14" s="312" t="e">
        <f t="shared" si="3"/>
        <v>#REF!</v>
      </c>
      <c r="N14" s="432">
        <f t="shared" si="4"/>
        <v>4757500</v>
      </c>
      <c r="O14" s="433"/>
      <c r="P14" s="315"/>
      <c r="Q14" s="315"/>
      <c r="R14" s="315"/>
      <c r="S14" s="315"/>
      <c r="T14" s="315"/>
      <c r="U14" s="315"/>
      <c r="V14" s="315"/>
      <c r="W14" s="315"/>
      <c r="X14" s="315"/>
      <c r="Y14" s="315"/>
      <c r="Z14" s="315"/>
      <c r="AA14" s="315"/>
      <c r="AB14" s="315"/>
      <c r="AC14" s="315"/>
      <c r="AD14" s="315"/>
      <c r="AE14" s="315"/>
      <c r="AF14" s="315"/>
      <c r="AG14" s="315"/>
      <c r="AH14" s="315"/>
      <c r="AI14" s="315"/>
      <c r="AJ14" s="315"/>
      <c r="AK14" s="315"/>
      <c r="AL14" s="315"/>
      <c r="AM14" s="315"/>
      <c r="AN14" s="315"/>
      <c r="AO14" s="434">
        <f t="shared" si="5"/>
        <v>0</v>
      </c>
      <c r="AP14" s="201"/>
      <c r="AQ14" s="276"/>
      <c r="AR14" s="276"/>
      <c r="AS14" s="276"/>
      <c r="AT14" s="276"/>
      <c r="AU14" s="276"/>
      <c r="AV14" s="276"/>
      <c r="AW14" s="276"/>
      <c r="AX14" s="276"/>
      <c r="AY14" s="276"/>
    </row>
    <row r="15" spans="1:51" ht="15.75" customHeight="1" x14ac:dyDescent="0.25">
      <c r="A15" s="218" t="s">
        <v>139</v>
      </c>
      <c r="B15" s="219">
        <v>45151</v>
      </c>
      <c r="C15" s="371"/>
      <c r="D15" s="436">
        <f t="shared" si="0"/>
        <v>0</v>
      </c>
      <c r="E15" s="320"/>
      <c r="F15" s="320"/>
      <c r="G15" s="320"/>
      <c r="H15" s="320"/>
      <c r="I15" s="320" t="e">
        <f>'Détail Dépenses'!#REF!</f>
        <v>#REF!</v>
      </c>
      <c r="J15" s="367" t="e">
        <f t="shared" si="1"/>
        <v>#REF!</v>
      </c>
      <c r="K15" s="323" t="e">
        <f t="shared" si="2"/>
        <v>#REF!</v>
      </c>
      <c r="L15" s="323"/>
      <c r="M15" s="323" t="e">
        <f t="shared" si="3"/>
        <v>#REF!</v>
      </c>
      <c r="N15" s="482">
        <f t="shared" si="4"/>
        <v>4757500</v>
      </c>
      <c r="O15" s="437"/>
      <c r="P15" s="327"/>
      <c r="Q15" s="327"/>
      <c r="R15" s="327"/>
      <c r="S15" s="327"/>
      <c r="T15" s="327"/>
      <c r="U15" s="327"/>
      <c r="V15" s="327"/>
      <c r="W15" s="327"/>
      <c r="X15" s="327"/>
      <c r="Y15" s="327"/>
      <c r="Z15" s="327"/>
      <c r="AA15" s="327"/>
      <c r="AB15" s="327"/>
      <c r="AC15" s="327"/>
      <c r="AD15" s="327"/>
      <c r="AE15" s="327"/>
      <c r="AF15" s="327"/>
      <c r="AG15" s="327"/>
      <c r="AH15" s="327"/>
      <c r="AI15" s="327"/>
      <c r="AJ15" s="327"/>
      <c r="AK15" s="327"/>
      <c r="AL15" s="327"/>
      <c r="AM15" s="327"/>
      <c r="AN15" s="327"/>
      <c r="AO15" s="438">
        <f t="shared" si="5"/>
        <v>0</v>
      </c>
      <c r="AP15" s="201"/>
      <c r="AQ15" s="276"/>
      <c r="AR15" s="276"/>
      <c r="AS15" s="276"/>
      <c r="AT15" s="276"/>
      <c r="AU15" s="276"/>
      <c r="AV15" s="276"/>
      <c r="AW15" s="276"/>
      <c r="AX15" s="276"/>
      <c r="AY15" s="276"/>
    </row>
    <row r="16" spans="1:51" ht="15.75" customHeight="1" x14ac:dyDescent="0.25">
      <c r="A16" s="208" t="s">
        <v>140</v>
      </c>
      <c r="B16" s="209">
        <v>45152</v>
      </c>
      <c r="C16" s="427"/>
      <c r="D16" s="427">
        <f t="shared" si="0"/>
        <v>0</v>
      </c>
      <c r="E16" s="243"/>
      <c r="F16" s="243"/>
      <c r="G16" s="243"/>
      <c r="H16" s="243"/>
      <c r="I16" s="243" t="e">
        <f>'Détail Dépenses'!#REF!</f>
        <v>#REF!</v>
      </c>
      <c r="J16" s="360" t="e">
        <f t="shared" si="1"/>
        <v>#REF!</v>
      </c>
      <c r="K16" s="332" t="e">
        <f t="shared" si="2"/>
        <v>#REF!</v>
      </c>
      <c r="L16" s="332"/>
      <c r="M16" s="332" t="e">
        <f t="shared" si="3"/>
        <v>#REF!</v>
      </c>
      <c r="N16" s="428">
        <f t="shared" si="4"/>
        <v>4757500</v>
      </c>
      <c r="O16" s="429"/>
      <c r="P16" s="335"/>
      <c r="Q16" s="335"/>
      <c r="R16" s="335"/>
      <c r="S16" s="335"/>
      <c r="T16" s="335"/>
      <c r="U16" s="335"/>
      <c r="V16" s="335"/>
      <c r="W16" s="335"/>
      <c r="X16" s="335"/>
      <c r="Y16" s="335"/>
      <c r="Z16" s="335"/>
      <c r="AA16" s="335"/>
      <c r="AB16" s="335"/>
      <c r="AC16" s="335"/>
      <c r="AD16" s="335"/>
      <c r="AE16" s="335"/>
      <c r="AF16" s="335"/>
      <c r="AG16" s="335"/>
      <c r="AH16" s="335"/>
      <c r="AI16" s="335"/>
      <c r="AJ16" s="335"/>
      <c r="AK16" s="335"/>
      <c r="AL16" s="335"/>
      <c r="AM16" s="335"/>
      <c r="AN16" s="335"/>
      <c r="AO16" s="430">
        <f t="shared" si="5"/>
        <v>0</v>
      </c>
      <c r="AP16" s="201"/>
      <c r="AQ16" s="276"/>
      <c r="AR16" s="276"/>
      <c r="AS16" s="276"/>
      <c r="AT16" s="276"/>
      <c r="AU16" s="276"/>
      <c r="AV16" s="276"/>
      <c r="AW16" s="276"/>
      <c r="AX16" s="276"/>
      <c r="AY16" s="276"/>
    </row>
    <row r="17" spans="1:51" ht="15.75" customHeight="1" x14ac:dyDescent="0.25">
      <c r="A17" s="212" t="s">
        <v>141</v>
      </c>
      <c r="B17" s="213">
        <v>45153</v>
      </c>
      <c r="C17" s="440"/>
      <c r="D17" s="440">
        <f t="shared" si="0"/>
        <v>0</v>
      </c>
      <c r="E17" s="309"/>
      <c r="F17" s="309"/>
      <c r="G17" s="309"/>
      <c r="H17" s="309"/>
      <c r="I17" s="309" t="e">
        <f>'Détail Dépenses'!#REF!</f>
        <v>#REF!</v>
      </c>
      <c r="J17" s="378" t="e">
        <f t="shared" si="1"/>
        <v>#REF!</v>
      </c>
      <c r="K17" s="312" t="e">
        <f t="shared" si="2"/>
        <v>#REF!</v>
      </c>
      <c r="L17" s="312"/>
      <c r="M17" s="312" t="e">
        <f t="shared" si="3"/>
        <v>#REF!</v>
      </c>
      <c r="N17" s="432">
        <f t="shared" si="4"/>
        <v>4757500</v>
      </c>
      <c r="O17" s="433"/>
      <c r="P17" s="315"/>
      <c r="Q17" s="315"/>
      <c r="R17" s="315"/>
      <c r="S17" s="315"/>
      <c r="T17" s="315"/>
      <c r="U17" s="315"/>
      <c r="V17" s="315"/>
      <c r="W17" s="315"/>
      <c r="X17" s="315"/>
      <c r="Y17" s="315"/>
      <c r="Z17" s="315"/>
      <c r="AA17" s="315"/>
      <c r="AB17" s="315"/>
      <c r="AC17" s="315"/>
      <c r="AD17" s="315"/>
      <c r="AE17" s="315"/>
      <c r="AF17" s="315"/>
      <c r="AG17" s="315"/>
      <c r="AH17" s="315"/>
      <c r="AI17" s="315"/>
      <c r="AJ17" s="315"/>
      <c r="AK17" s="315"/>
      <c r="AL17" s="315"/>
      <c r="AM17" s="315"/>
      <c r="AN17" s="315"/>
      <c r="AO17" s="434">
        <f t="shared" si="5"/>
        <v>0</v>
      </c>
      <c r="AP17" s="201"/>
      <c r="AQ17" s="276"/>
      <c r="AR17" s="276"/>
      <c r="AS17" s="276"/>
      <c r="AT17" s="276"/>
      <c r="AU17" s="276"/>
      <c r="AV17" s="276"/>
      <c r="AW17" s="276"/>
      <c r="AX17" s="276"/>
      <c r="AY17" s="276"/>
    </row>
    <row r="18" spans="1:51" ht="15.75" customHeight="1" x14ac:dyDescent="0.25">
      <c r="A18" s="212" t="s">
        <v>142</v>
      </c>
      <c r="B18" s="213">
        <v>45154</v>
      </c>
      <c r="C18" s="440"/>
      <c r="D18" s="440">
        <f t="shared" si="0"/>
        <v>0</v>
      </c>
      <c r="E18" s="309"/>
      <c r="F18" s="309"/>
      <c r="G18" s="309"/>
      <c r="H18" s="309"/>
      <c r="I18" s="309" t="e">
        <f>'Détail Dépenses'!#REF!</f>
        <v>#REF!</v>
      </c>
      <c r="J18" s="378" t="e">
        <f t="shared" si="1"/>
        <v>#REF!</v>
      </c>
      <c r="K18" s="312" t="e">
        <f t="shared" si="2"/>
        <v>#REF!</v>
      </c>
      <c r="L18" s="312"/>
      <c r="M18" s="312" t="e">
        <f t="shared" si="3"/>
        <v>#REF!</v>
      </c>
      <c r="N18" s="432">
        <f t="shared" si="4"/>
        <v>4757500</v>
      </c>
      <c r="O18" s="433"/>
      <c r="P18" s="315"/>
      <c r="Q18" s="315"/>
      <c r="R18" s="315"/>
      <c r="S18" s="315"/>
      <c r="T18" s="315"/>
      <c r="U18" s="315"/>
      <c r="V18" s="315"/>
      <c r="W18" s="315"/>
      <c r="X18" s="315"/>
      <c r="Y18" s="315"/>
      <c r="Z18" s="315"/>
      <c r="AA18" s="315"/>
      <c r="AB18" s="315"/>
      <c r="AC18" s="315"/>
      <c r="AD18" s="315"/>
      <c r="AE18" s="315"/>
      <c r="AF18" s="315"/>
      <c r="AG18" s="315"/>
      <c r="AH18" s="315"/>
      <c r="AI18" s="315"/>
      <c r="AJ18" s="315"/>
      <c r="AK18" s="315"/>
      <c r="AL18" s="315"/>
      <c r="AM18" s="315"/>
      <c r="AN18" s="315"/>
      <c r="AO18" s="434">
        <f t="shared" si="5"/>
        <v>0</v>
      </c>
      <c r="AP18" s="201"/>
      <c r="AQ18" s="276"/>
      <c r="AR18" s="276"/>
      <c r="AS18" s="276"/>
      <c r="AT18" s="276"/>
      <c r="AU18" s="276"/>
      <c r="AV18" s="276"/>
      <c r="AW18" s="276"/>
      <c r="AX18" s="276"/>
      <c r="AY18" s="276"/>
    </row>
    <row r="19" spans="1:51" ht="15.75" customHeight="1" x14ac:dyDescent="0.25">
      <c r="A19" s="212" t="s">
        <v>143</v>
      </c>
      <c r="B19" s="213">
        <v>45155</v>
      </c>
      <c r="C19" s="365"/>
      <c r="D19" s="440">
        <f t="shared" si="0"/>
        <v>0</v>
      </c>
      <c r="E19" s="309"/>
      <c r="F19" s="309"/>
      <c r="G19" s="309"/>
      <c r="H19" s="309"/>
      <c r="I19" s="309" t="e">
        <f>'Détail Dépenses'!#REF!</f>
        <v>#REF!</v>
      </c>
      <c r="J19" s="378" t="e">
        <f t="shared" si="1"/>
        <v>#REF!</v>
      </c>
      <c r="K19" s="312" t="e">
        <f t="shared" si="2"/>
        <v>#REF!</v>
      </c>
      <c r="L19" s="312"/>
      <c r="M19" s="312" t="e">
        <f t="shared" si="3"/>
        <v>#REF!</v>
      </c>
      <c r="N19" s="432">
        <f t="shared" si="4"/>
        <v>4757500</v>
      </c>
      <c r="O19" s="433"/>
      <c r="P19" s="315"/>
      <c r="Q19" s="315"/>
      <c r="R19" s="315"/>
      <c r="S19" s="315"/>
      <c r="T19" s="315"/>
      <c r="U19" s="315"/>
      <c r="V19" s="315"/>
      <c r="W19" s="315"/>
      <c r="X19" s="315"/>
      <c r="Y19" s="315"/>
      <c r="Z19" s="315"/>
      <c r="AA19" s="315"/>
      <c r="AB19" s="315"/>
      <c r="AC19" s="315"/>
      <c r="AD19" s="315"/>
      <c r="AE19" s="315"/>
      <c r="AF19" s="315"/>
      <c r="AG19" s="315"/>
      <c r="AH19" s="315"/>
      <c r="AI19" s="315"/>
      <c r="AJ19" s="315"/>
      <c r="AK19" s="315"/>
      <c r="AL19" s="315"/>
      <c r="AM19" s="315"/>
      <c r="AN19" s="315"/>
      <c r="AO19" s="434">
        <f t="shared" si="5"/>
        <v>0</v>
      </c>
      <c r="AP19" s="201"/>
      <c r="AQ19" s="276"/>
      <c r="AR19" s="276"/>
      <c r="AS19" s="276"/>
      <c r="AT19" s="276"/>
      <c r="AU19" s="276"/>
      <c r="AV19" s="276"/>
      <c r="AW19" s="276"/>
      <c r="AX19" s="276"/>
      <c r="AY19" s="276"/>
    </row>
    <row r="20" spans="1:51" ht="15.75" customHeight="1" x14ac:dyDescent="0.25">
      <c r="A20" s="212" t="s">
        <v>144</v>
      </c>
      <c r="B20" s="213">
        <v>45156</v>
      </c>
      <c r="C20" s="365"/>
      <c r="D20" s="440">
        <f t="shared" si="0"/>
        <v>0</v>
      </c>
      <c r="E20" s="309"/>
      <c r="F20" s="309"/>
      <c r="G20" s="309"/>
      <c r="H20" s="309"/>
      <c r="I20" s="309" t="e">
        <f>'Détail Dépenses'!#REF!</f>
        <v>#REF!</v>
      </c>
      <c r="J20" s="378" t="e">
        <f t="shared" si="1"/>
        <v>#REF!</v>
      </c>
      <c r="K20" s="312" t="e">
        <f t="shared" si="2"/>
        <v>#REF!</v>
      </c>
      <c r="L20" s="312"/>
      <c r="M20" s="312" t="e">
        <f t="shared" si="3"/>
        <v>#REF!</v>
      </c>
      <c r="N20" s="432">
        <f t="shared" si="4"/>
        <v>4757500</v>
      </c>
      <c r="O20" s="433"/>
      <c r="P20" s="315"/>
      <c r="Q20" s="315"/>
      <c r="R20" s="315"/>
      <c r="S20" s="315"/>
      <c r="T20" s="315"/>
      <c r="U20" s="315"/>
      <c r="V20" s="315"/>
      <c r="W20" s="315"/>
      <c r="X20" s="315"/>
      <c r="Y20" s="315"/>
      <c r="Z20" s="315"/>
      <c r="AA20" s="315"/>
      <c r="AB20" s="315"/>
      <c r="AC20" s="315"/>
      <c r="AD20" s="315"/>
      <c r="AE20" s="315"/>
      <c r="AF20" s="315"/>
      <c r="AG20" s="315"/>
      <c r="AH20" s="315"/>
      <c r="AI20" s="315"/>
      <c r="AJ20" s="315"/>
      <c r="AK20" s="315"/>
      <c r="AL20" s="315"/>
      <c r="AM20" s="315"/>
      <c r="AN20" s="315"/>
      <c r="AO20" s="434">
        <f t="shared" si="5"/>
        <v>0</v>
      </c>
      <c r="AP20" s="201"/>
      <c r="AQ20" s="276"/>
      <c r="AR20" s="276"/>
      <c r="AS20" s="276"/>
      <c r="AT20" s="276"/>
      <c r="AU20" s="276"/>
      <c r="AV20" s="276"/>
      <c r="AW20" s="276"/>
      <c r="AX20" s="276"/>
      <c r="AY20" s="276"/>
    </row>
    <row r="21" spans="1:51" ht="15.75" customHeight="1" x14ac:dyDescent="0.25">
      <c r="A21" s="212" t="s">
        <v>138</v>
      </c>
      <c r="B21" s="213">
        <v>45157</v>
      </c>
      <c r="C21" s="440"/>
      <c r="D21" s="440">
        <f t="shared" si="0"/>
        <v>0</v>
      </c>
      <c r="E21" s="309"/>
      <c r="F21" s="309"/>
      <c r="G21" s="309"/>
      <c r="H21" s="309"/>
      <c r="I21" s="309" t="e">
        <f>'Détail Dépenses'!#REF!</f>
        <v>#REF!</v>
      </c>
      <c r="J21" s="378" t="e">
        <f t="shared" si="1"/>
        <v>#REF!</v>
      </c>
      <c r="K21" s="312" t="e">
        <f t="shared" si="2"/>
        <v>#REF!</v>
      </c>
      <c r="L21" s="312"/>
      <c r="M21" s="312" t="e">
        <f t="shared" si="3"/>
        <v>#REF!</v>
      </c>
      <c r="N21" s="432">
        <f t="shared" si="4"/>
        <v>4757500</v>
      </c>
      <c r="O21" s="433"/>
      <c r="P21" s="315"/>
      <c r="Q21" s="315"/>
      <c r="R21" s="315"/>
      <c r="S21" s="315"/>
      <c r="T21" s="315"/>
      <c r="U21" s="315"/>
      <c r="V21" s="315"/>
      <c r="W21" s="315"/>
      <c r="X21" s="315"/>
      <c r="Y21" s="315"/>
      <c r="Z21" s="315"/>
      <c r="AA21" s="315"/>
      <c r="AB21" s="315"/>
      <c r="AC21" s="315"/>
      <c r="AD21" s="315"/>
      <c r="AE21" s="315"/>
      <c r="AF21" s="315"/>
      <c r="AG21" s="315"/>
      <c r="AH21" s="315"/>
      <c r="AI21" s="315"/>
      <c r="AJ21" s="315"/>
      <c r="AK21" s="315"/>
      <c r="AL21" s="315"/>
      <c r="AM21" s="315"/>
      <c r="AN21" s="315"/>
      <c r="AO21" s="434">
        <f t="shared" si="5"/>
        <v>0</v>
      </c>
      <c r="AP21" s="201"/>
      <c r="AQ21" s="276"/>
      <c r="AR21" s="276"/>
      <c r="AS21" s="276"/>
      <c r="AT21" s="276"/>
      <c r="AU21" s="276"/>
      <c r="AV21" s="276"/>
      <c r="AW21" s="276"/>
      <c r="AX21" s="276"/>
      <c r="AY21" s="276"/>
    </row>
    <row r="22" spans="1:51" ht="15.75" customHeight="1" x14ac:dyDescent="0.25">
      <c r="A22" s="218" t="s">
        <v>139</v>
      </c>
      <c r="B22" s="219">
        <v>45158</v>
      </c>
      <c r="C22" s="436"/>
      <c r="D22" s="436">
        <f t="shared" si="0"/>
        <v>0</v>
      </c>
      <c r="E22" s="320"/>
      <c r="F22" s="320"/>
      <c r="G22" s="320"/>
      <c r="H22" s="320"/>
      <c r="I22" s="320" t="e">
        <f>'Détail Dépenses'!#REF!</f>
        <v>#REF!</v>
      </c>
      <c r="J22" s="367" t="e">
        <f t="shared" si="1"/>
        <v>#REF!</v>
      </c>
      <c r="K22" s="323" t="e">
        <f t="shared" si="2"/>
        <v>#REF!</v>
      </c>
      <c r="L22" s="323"/>
      <c r="M22" s="323" t="e">
        <f t="shared" si="3"/>
        <v>#REF!</v>
      </c>
      <c r="N22" s="482">
        <f t="shared" si="4"/>
        <v>4757500</v>
      </c>
      <c r="O22" s="437"/>
      <c r="P22" s="327"/>
      <c r="Q22" s="327"/>
      <c r="R22" s="327"/>
      <c r="S22" s="327"/>
      <c r="T22" s="327"/>
      <c r="U22" s="327"/>
      <c r="V22" s="327"/>
      <c r="W22" s="327"/>
      <c r="X22" s="327"/>
      <c r="Y22" s="327"/>
      <c r="Z22" s="327"/>
      <c r="AA22" s="327"/>
      <c r="AB22" s="327"/>
      <c r="AC22" s="327"/>
      <c r="AD22" s="327"/>
      <c r="AE22" s="327"/>
      <c r="AF22" s="327"/>
      <c r="AG22" s="327"/>
      <c r="AH22" s="327"/>
      <c r="AI22" s="327"/>
      <c r="AJ22" s="327"/>
      <c r="AK22" s="327"/>
      <c r="AL22" s="327"/>
      <c r="AM22" s="327"/>
      <c r="AN22" s="327"/>
      <c r="AO22" s="438">
        <f t="shared" si="5"/>
        <v>0</v>
      </c>
      <c r="AP22" s="201"/>
      <c r="AQ22" s="276"/>
      <c r="AR22" s="276"/>
      <c r="AS22" s="276"/>
      <c r="AT22" s="276"/>
      <c r="AU22" s="276"/>
      <c r="AV22" s="276"/>
      <c r="AW22" s="276"/>
      <c r="AX22" s="276"/>
      <c r="AY22" s="276"/>
    </row>
    <row r="23" spans="1:51" ht="15.75" customHeight="1" x14ac:dyDescent="0.25">
      <c r="A23" s="208" t="s">
        <v>140</v>
      </c>
      <c r="B23" s="209">
        <v>45159</v>
      </c>
      <c r="C23" s="427"/>
      <c r="D23" s="427">
        <f t="shared" si="0"/>
        <v>0</v>
      </c>
      <c r="E23" s="243"/>
      <c r="F23" s="243"/>
      <c r="G23" s="243"/>
      <c r="H23" s="243"/>
      <c r="I23" s="243" t="e">
        <f>'Détail Dépenses'!#REF!</f>
        <v>#REF!</v>
      </c>
      <c r="J23" s="360" t="e">
        <f t="shared" si="1"/>
        <v>#REF!</v>
      </c>
      <c r="K23" s="332" t="e">
        <f t="shared" si="2"/>
        <v>#REF!</v>
      </c>
      <c r="L23" s="332"/>
      <c r="M23" s="332" t="e">
        <f t="shared" si="3"/>
        <v>#REF!</v>
      </c>
      <c r="N23" s="428">
        <f t="shared" si="4"/>
        <v>4757500</v>
      </c>
      <c r="O23" s="429"/>
      <c r="P23" s="335"/>
      <c r="Q23" s="335"/>
      <c r="R23" s="335"/>
      <c r="S23" s="335"/>
      <c r="T23" s="335"/>
      <c r="U23" s="335"/>
      <c r="V23" s="335"/>
      <c r="W23" s="335"/>
      <c r="X23" s="335"/>
      <c r="Y23" s="335"/>
      <c r="Z23" s="335"/>
      <c r="AA23" s="335"/>
      <c r="AB23" s="335"/>
      <c r="AC23" s="335"/>
      <c r="AD23" s="335"/>
      <c r="AE23" s="335"/>
      <c r="AF23" s="335"/>
      <c r="AG23" s="335"/>
      <c r="AH23" s="335"/>
      <c r="AI23" s="335"/>
      <c r="AJ23" s="335"/>
      <c r="AK23" s="335"/>
      <c r="AL23" s="335"/>
      <c r="AM23" s="335"/>
      <c r="AN23" s="335"/>
      <c r="AO23" s="430">
        <f t="shared" si="5"/>
        <v>0</v>
      </c>
      <c r="AP23" s="201"/>
      <c r="AQ23" s="276"/>
      <c r="AR23" s="276"/>
      <c r="AS23" s="276"/>
      <c r="AT23" s="276"/>
      <c r="AU23" s="276"/>
      <c r="AV23" s="276"/>
      <c r="AW23" s="276"/>
      <c r="AX23" s="276"/>
      <c r="AY23" s="276"/>
    </row>
    <row r="24" spans="1:51" ht="15.75" customHeight="1" x14ac:dyDescent="0.25">
      <c r="A24" s="212" t="s">
        <v>141</v>
      </c>
      <c r="B24" s="213">
        <v>45160</v>
      </c>
      <c r="C24" s="365"/>
      <c r="D24" s="440">
        <f t="shared" si="0"/>
        <v>0</v>
      </c>
      <c r="E24" s="309"/>
      <c r="F24" s="309"/>
      <c r="G24" s="309"/>
      <c r="H24" s="309"/>
      <c r="I24" s="309" t="e">
        <f>'Détail Dépenses'!#REF!</f>
        <v>#REF!</v>
      </c>
      <c r="J24" s="378" t="e">
        <f t="shared" si="1"/>
        <v>#REF!</v>
      </c>
      <c r="K24" s="312" t="e">
        <f t="shared" si="2"/>
        <v>#REF!</v>
      </c>
      <c r="L24" s="312"/>
      <c r="M24" s="312" t="e">
        <f t="shared" si="3"/>
        <v>#REF!</v>
      </c>
      <c r="N24" s="432">
        <f t="shared" si="4"/>
        <v>4757500</v>
      </c>
      <c r="O24" s="433"/>
      <c r="P24" s="315"/>
      <c r="Q24" s="315"/>
      <c r="R24" s="315"/>
      <c r="S24" s="315"/>
      <c r="T24" s="315"/>
      <c r="U24" s="315"/>
      <c r="V24" s="315"/>
      <c r="W24" s="315"/>
      <c r="X24" s="315"/>
      <c r="Y24" s="315"/>
      <c r="Z24" s="315"/>
      <c r="AA24" s="315"/>
      <c r="AB24" s="315"/>
      <c r="AC24" s="315"/>
      <c r="AD24" s="315"/>
      <c r="AE24" s="315"/>
      <c r="AF24" s="315"/>
      <c r="AG24" s="315"/>
      <c r="AH24" s="315"/>
      <c r="AI24" s="315"/>
      <c r="AJ24" s="315"/>
      <c r="AK24" s="315"/>
      <c r="AL24" s="315"/>
      <c r="AM24" s="315"/>
      <c r="AN24" s="315"/>
      <c r="AO24" s="434">
        <f t="shared" si="5"/>
        <v>0</v>
      </c>
      <c r="AP24" s="201"/>
      <c r="AQ24" s="276"/>
      <c r="AR24" s="276"/>
      <c r="AS24" s="276"/>
      <c r="AT24" s="276"/>
      <c r="AU24" s="276"/>
      <c r="AV24" s="276"/>
      <c r="AW24" s="276"/>
      <c r="AX24" s="276"/>
      <c r="AY24" s="276"/>
    </row>
    <row r="25" spans="1:51" ht="15.75" customHeight="1" x14ac:dyDescent="0.25">
      <c r="A25" s="212" t="s">
        <v>142</v>
      </c>
      <c r="B25" s="213">
        <v>45161</v>
      </c>
      <c r="C25" s="365"/>
      <c r="D25" s="440">
        <f t="shared" si="0"/>
        <v>0</v>
      </c>
      <c r="E25" s="309"/>
      <c r="F25" s="309"/>
      <c r="G25" s="309"/>
      <c r="H25" s="309"/>
      <c r="I25" s="309" t="e">
        <f>'Détail Dépenses'!#REF!</f>
        <v>#REF!</v>
      </c>
      <c r="J25" s="378" t="e">
        <f t="shared" si="1"/>
        <v>#REF!</v>
      </c>
      <c r="K25" s="312" t="e">
        <f t="shared" si="2"/>
        <v>#REF!</v>
      </c>
      <c r="L25" s="312"/>
      <c r="M25" s="312" t="e">
        <f t="shared" si="3"/>
        <v>#REF!</v>
      </c>
      <c r="N25" s="432">
        <f t="shared" si="4"/>
        <v>4757500</v>
      </c>
      <c r="O25" s="433"/>
      <c r="P25" s="315"/>
      <c r="Q25" s="315"/>
      <c r="R25" s="315"/>
      <c r="S25" s="315"/>
      <c r="T25" s="315"/>
      <c r="U25" s="315"/>
      <c r="V25" s="315"/>
      <c r="W25" s="315"/>
      <c r="X25" s="315"/>
      <c r="Y25" s="315"/>
      <c r="Z25" s="315"/>
      <c r="AA25" s="315"/>
      <c r="AB25" s="315"/>
      <c r="AC25" s="315"/>
      <c r="AD25" s="315"/>
      <c r="AE25" s="315"/>
      <c r="AF25" s="315"/>
      <c r="AG25" s="315"/>
      <c r="AH25" s="315"/>
      <c r="AI25" s="315"/>
      <c r="AJ25" s="315"/>
      <c r="AK25" s="315"/>
      <c r="AL25" s="315"/>
      <c r="AM25" s="315"/>
      <c r="AN25" s="315"/>
      <c r="AO25" s="434">
        <f t="shared" si="5"/>
        <v>0</v>
      </c>
      <c r="AP25" s="201"/>
      <c r="AQ25" s="276"/>
      <c r="AR25" s="276"/>
      <c r="AS25" s="276"/>
      <c r="AT25" s="276"/>
      <c r="AU25" s="276"/>
      <c r="AV25" s="276"/>
      <c r="AW25" s="276"/>
      <c r="AX25" s="276"/>
      <c r="AY25" s="276"/>
    </row>
    <row r="26" spans="1:51" ht="15.75" customHeight="1" x14ac:dyDescent="0.25">
      <c r="A26" s="212" t="s">
        <v>143</v>
      </c>
      <c r="B26" s="213">
        <v>45162</v>
      </c>
      <c r="C26" s="440"/>
      <c r="D26" s="440">
        <f t="shared" si="0"/>
        <v>0</v>
      </c>
      <c r="E26" s="309"/>
      <c r="F26" s="309"/>
      <c r="G26" s="309"/>
      <c r="H26" s="309"/>
      <c r="I26" s="309" t="e">
        <f>'Détail Dépenses'!#REF!</f>
        <v>#REF!</v>
      </c>
      <c r="J26" s="378" t="e">
        <f t="shared" si="1"/>
        <v>#REF!</v>
      </c>
      <c r="K26" s="312" t="e">
        <f t="shared" si="2"/>
        <v>#REF!</v>
      </c>
      <c r="L26" s="312"/>
      <c r="M26" s="312" t="e">
        <f t="shared" si="3"/>
        <v>#REF!</v>
      </c>
      <c r="N26" s="432">
        <f t="shared" si="4"/>
        <v>4757500</v>
      </c>
      <c r="O26" s="433"/>
      <c r="P26" s="315"/>
      <c r="Q26" s="315"/>
      <c r="R26" s="315"/>
      <c r="S26" s="315"/>
      <c r="T26" s="315"/>
      <c r="U26" s="315"/>
      <c r="V26" s="315"/>
      <c r="W26" s="315"/>
      <c r="X26" s="315"/>
      <c r="Y26" s="315"/>
      <c r="Z26" s="315"/>
      <c r="AA26" s="315"/>
      <c r="AB26" s="315"/>
      <c r="AC26" s="315"/>
      <c r="AD26" s="315"/>
      <c r="AE26" s="315"/>
      <c r="AF26" s="315"/>
      <c r="AG26" s="315"/>
      <c r="AH26" s="315"/>
      <c r="AI26" s="315"/>
      <c r="AJ26" s="315"/>
      <c r="AK26" s="315"/>
      <c r="AL26" s="315"/>
      <c r="AM26" s="315"/>
      <c r="AN26" s="315"/>
      <c r="AO26" s="434">
        <f t="shared" si="5"/>
        <v>0</v>
      </c>
      <c r="AP26" s="201"/>
      <c r="AQ26" s="276"/>
      <c r="AR26" s="276"/>
      <c r="AS26" s="276"/>
      <c r="AT26" s="276"/>
      <c r="AU26" s="276"/>
      <c r="AV26" s="276"/>
      <c r="AW26" s="276"/>
      <c r="AX26" s="276"/>
      <c r="AY26" s="276"/>
    </row>
    <row r="27" spans="1:51" ht="15.75" customHeight="1" x14ac:dyDescent="0.25">
      <c r="A27" s="212" t="s">
        <v>144</v>
      </c>
      <c r="B27" s="213">
        <v>45163</v>
      </c>
      <c r="C27" s="440"/>
      <c r="D27" s="440">
        <f t="shared" si="0"/>
        <v>0</v>
      </c>
      <c r="E27" s="309"/>
      <c r="F27" s="309"/>
      <c r="G27" s="309"/>
      <c r="H27" s="309"/>
      <c r="I27" s="309" t="e">
        <f>'Détail Dépenses'!#REF!</f>
        <v>#REF!</v>
      </c>
      <c r="J27" s="378" t="e">
        <f t="shared" si="1"/>
        <v>#REF!</v>
      </c>
      <c r="K27" s="312" t="e">
        <f t="shared" si="2"/>
        <v>#REF!</v>
      </c>
      <c r="L27" s="312"/>
      <c r="M27" s="312" t="e">
        <f t="shared" si="3"/>
        <v>#REF!</v>
      </c>
      <c r="N27" s="432">
        <f t="shared" si="4"/>
        <v>4757500</v>
      </c>
      <c r="O27" s="433"/>
      <c r="P27" s="315"/>
      <c r="Q27" s="315"/>
      <c r="R27" s="315"/>
      <c r="S27" s="315"/>
      <c r="T27" s="315"/>
      <c r="U27" s="315"/>
      <c r="V27" s="315"/>
      <c r="W27" s="315"/>
      <c r="X27" s="315"/>
      <c r="Y27" s="315"/>
      <c r="Z27" s="315"/>
      <c r="AA27" s="315"/>
      <c r="AB27" s="315"/>
      <c r="AC27" s="315"/>
      <c r="AD27" s="315"/>
      <c r="AE27" s="315"/>
      <c r="AF27" s="315"/>
      <c r="AG27" s="315"/>
      <c r="AH27" s="315"/>
      <c r="AI27" s="315"/>
      <c r="AJ27" s="315"/>
      <c r="AK27" s="315"/>
      <c r="AL27" s="315"/>
      <c r="AM27" s="315"/>
      <c r="AN27" s="315"/>
      <c r="AO27" s="434">
        <f t="shared" si="5"/>
        <v>0</v>
      </c>
      <c r="AP27" s="201"/>
      <c r="AQ27" s="276"/>
      <c r="AR27" s="276"/>
      <c r="AS27" s="276"/>
      <c r="AT27" s="276"/>
      <c r="AU27" s="276"/>
      <c r="AV27" s="276"/>
      <c r="AW27" s="276"/>
      <c r="AX27" s="276"/>
      <c r="AY27" s="276"/>
    </row>
    <row r="28" spans="1:51" ht="15.75" customHeight="1" x14ac:dyDescent="0.25">
      <c r="A28" s="212" t="s">
        <v>138</v>
      </c>
      <c r="B28" s="213">
        <v>45164</v>
      </c>
      <c r="C28" s="440"/>
      <c r="D28" s="440">
        <f t="shared" si="0"/>
        <v>0</v>
      </c>
      <c r="E28" s="309"/>
      <c r="F28" s="309"/>
      <c r="G28" s="309"/>
      <c r="H28" s="309"/>
      <c r="I28" s="309" t="e">
        <f>'Détail Dépenses'!#REF!</f>
        <v>#REF!</v>
      </c>
      <c r="J28" s="378" t="e">
        <f t="shared" si="1"/>
        <v>#REF!</v>
      </c>
      <c r="K28" s="312" t="e">
        <f t="shared" si="2"/>
        <v>#REF!</v>
      </c>
      <c r="L28" s="312"/>
      <c r="M28" s="312" t="e">
        <f t="shared" si="3"/>
        <v>#REF!</v>
      </c>
      <c r="N28" s="432">
        <f t="shared" si="4"/>
        <v>4757500</v>
      </c>
      <c r="O28" s="433"/>
      <c r="P28" s="315"/>
      <c r="Q28" s="315"/>
      <c r="R28" s="315"/>
      <c r="S28" s="315"/>
      <c r="T28" s="315"/>
      <c r="U28" s="315"/>
      <c r="V28" s="315"/>
      <c r="W28" s="315"/>
      <c r="X28" s="315"/>
      <c r="Y28" s="315"/>
      <c r="Z28" s="315"/>
      <c r="AA28" s="315"/>
      <c r="AB28" s="315"/>
      <c r="AC28" s="315"/>
      <c r="AD28" s="315"/>
      <c r="AE28" s="315"/>
      <c r="AF28" s="315"/>
      <c r="AG28" s="315"/>
      <c r="AH28" s="315"/>
      <c r="AI28" s="315"/>
      <c r="AJ28" s="315"/>
      <c r="AK28" s="315"/>
      <c r="AL28" s="315"/>
      <c r="AM28" s="315"/>
      <c r="AN28" s="315"/>
      <c r="AO28" s="434">
        <f t="shared" si="5"/>
        <v>0</v>
      </c>
      <c r="AP28" s="201"/>
      <c r="AQ28" s="276"/>
      <c r="AR28" s="276"/>
      <c r="AS28" s="276"/>
      <c r="AT28" s="276"/>
      <c r="AU28" s="276"/>
      <c r="AV28" s="276"/>
      <c r="AW28" s="276"/>
      <c r="AX28" s="276"/>
      <c r="AY28" s="276"/>
    </row>
    <row r="29" spans="1:51" ht="15.75" customHeight="1" x14ac:dyDescent="0.25">
      <c r="A29" s="218" t="s">
        <v>139</v>
      </c>
      <c r="B29" s="219">
        <v>45165</v>
      </c>
      <c r="C29" s="371"/>
      <c r="D29" s="436">
        <f t="shared" si="0"/>
        <v>0</v>
      </c>
      <c r="E29" s="320"/>
      <c r="F29" s="320"/>
      <c r="G29" s="320"/>
      <c r="H29" s="320"/>
      <c r="I29" s="320" t="e">
        <f>'Détail Dépenses'!#REF!</f>
        <v>#REF!</v>
      </c>
      <c r="J29" s="367" t="e">
        <f t="shared" si="1"/>
        <v>#REF!</v>
      </c>
      <c r="K29" s="323" t="e">
        <f t="shared" si="2"/>
        <v>#REF!</v>
      </c>
      <c r="L29" s="323"/>
      <c r="M29" s="323" t="e">
        <f t="shared" si="3"/>
        <v>#REF!</v>
      </c>
      <c r="N29" s="482">
        <f t="shared" si="4"/>
        <v>4757500</v>
      </c>
      <c r="O29" s="437"/>
      <c r="P29" s="327"/>
      <c r="Q29" s="327"/>
      <c r="R29" s="327"/>
      <c r="S29" s="327"/>
      <c r="T29" s="327"/>
      <c r="U29" s="327"/>
      <c r="V29" s="327"/>
      <c r="W29" s="327"/>
      <c r="X29" s="327"/>
      <c r="Y29" s="327"/>
      <c r="Z29" s="327"/>
      <c r="AA29" s="327"/>
      <c r="AB29" s="327"/>
      <c r="AC29" s="327"/>
      <c r="AD29" s="327"/>
      <c r="AE29" s="327"/>
      <c r="AF29" s="327"/>
      <c r="AG29" s="327"/>
      <c r="AH29" s="327"/>
      <c r="AI29" s="327"/>
      <c r="AJ29" s="327"/>
      <c r="AK29" s="327"/>
      <c r="AL29" s="327"/>
      <c r="AM29" s="327"/>
      <c r="AN29" s="327"/>
      <c r="AO29" s="438">
        <f t="shared" si="5"/>
        <v>0</v>
      </c>
      <c r="AP29" s="201"/>
      <c r="AQ29" s="276"/>
      <c r="AR29" s="276"/>
      <c r="AS29" s="276"/>
      <c r="AT29" s="276"/>
      <c r="AU29" s="276"/>
      <c r="AV29" s="276"/>
      <c r="AW29" s="276"/>
      <c r="AX29" s="276"/>
      <c r="AY29" s="276"/>
    </row>
    <row r="30" spans="1:51" ht="15.75" customHeight="1" x14ac:dyDescent="0.25">
      <c r="A30" s="208" t="s">
        <v>140</v>
      </c>
      <c r="B30" s="209">
        <v>45166</v>
      </c>
      <c r="C30" s="358"/>
      <c r="D30" s="427">
        <f t="shared" si="0"/>
        <v>0</v>
      </c>
      <c r="E30" s="243"/>
      <c r="F30" s="243"/>
      <c r="G30" s="243"/>
      <c r="H30" s="243"/>
      <c r="I30" s="243" t="e">
        <f>'Détail Dépenses'!#REF!</f>
        <v>#REF!</v>
      </c>
      <c r="J30" s="360" t="e">
        <f t="shared" si="1"/>
        <v>#REF!</v>
      </c>
      <c r="K30" s="332" t="e">
        <f t="shared" si="2"/>
        <v>#REF!</v>
      </c>
      <c r="L30" s="332"/>
      <c r="M30" s="332" t="e">
        <f t="shared" si="3"/>
        <v>#REF!</v>
      </c>
      <c r="N30" s="428">
        <f t="shared" si="4"/>
        <v>4757500</v>
      </c>
      <c r="O30" s="429"/>
      <c r="P30" s="335"/>
      <c r="Q30" s="335"/>
      <c r="R30" s="335"/>
      <c r="S30" s="335"/>
      <c r="T30" s="335"/>
      <c r="U30" s="335"/>
      <c r="V30" s="335"/>
      <c r="W30" s="335"/>
      <c r="X30" s="335"/>
      <c r="Y30" s="335"/>
      <c r="Z30" s="335"/>
      <c r="AA30" s="335"/>
      <c r="AB30" s="335"/>
      <c r="AC30" s="335"/>
      <c r="AD30" s="335"/>
      <c r="AE30" s="335"/>
      <c r="AF30" s="335"/>
      <c r="AG30" s="335"/>
      <c r="AH30" s="335"/>
      <c r="AI30" s="335"/>
      <c r="AJ30" s="335"/>
      <c r="AK30" s="335"/>
      <c r="AL30" s="335"/>
      <c r="AM30" s="335"/>
      <c r="AN30" s="335"/>
      <c r="AO30" s="430">
        <f t="shared" si="5"/>
        <v>0</v>
      </c>
      <c r="AP30" s="201"/>
      <c r="AQ30" s="276"/>
      <c r="AR30" s="276"/>
      <c r="AS30" s="276"/>
      <c r="AT30" s="276"/>
      <c r="AU30" s="276"/>
      <c r="AV30" s="276"/>
      <c r="AW30" s="276"/>
      <c r="AX30" s="276"/>
      <c r="AY30" s="276"/>
    </row>
    <row r="31" spans="1:51" ht="15.75" customHeight="1" x14ac:dyDescent="0.25">
      <c r="A31" s="212" t="s">
        <v>141</v>
      </c>
      <c r="B31" s="213">
        <v>45167</v>
      </c>
      <c r="C31" s="440"/>
      <c r="D31" s="440">
        <f t="shared" si="0"/>
        <v>0</v>
      </c>
      <c r="E31" s="309"/>
      <c r="F31" s="309"/>
      <c r="G31" s="309"/>
      <c r="H31" s="309"/>
      <c r="I31" s="309" t="e">
        <f>'Détail Dépenses'!#REF!</f>
        <v>#REF!</v>
      </c>
      <c r="J31" s="378" t="e">
        <f t="shared" si="1"/>
        <v>#REF!</v>
      </c>
      <c r="K31" s="312" t="e">
        <f t="shared" si="2"/>
        <v>#REF!</v>
      </c>
      <c r="L31" s="312"/>
      <c r="M31" s="312" t="e">
        <f t="shared" si="3"/>
        <v>#REF!</v>
      </c>
      <c r="N31" s="432">
        <f t="shared" si="4"/>
        <v>4757500</v>
      </c>
      <c r="O31" s="433"/>
      <c r="P31" s="315"/>
      <c r="Q31" s="315"/>
      <c r="R31" s="315"/>
      <c r="S31" s="315"/>
      <c r="T31" s="315"/>
      <c r="U31" s="315"/>
      <c r="V31" s="315"/>
      <c r="W31" s="315"/>
      <c r="X31" s="315"/>
      <c r="Y31" s="315"/>
      <c r="Z31" s="315"/>
      <c r="AA31" s="315"/>
      <c r="AB31" s="315"/>
      <c r="AC31" s="315"/>
      <c r="AD31" s="315"/>
      <c r="AE31" s="315"/>
      <c r="AF31" s="315"/>
      <c r="AG31" s="315"/>
      <c r="AH31" s="315"/>
      <c r="AI31" s="315"/>
      <c r="AJ31" s="315"/>
      <c r="AK31" s="315"/>
      <c r="AL31" s="315"/>
      <c r="AM31" s="315"/>
      <c r="AN31" s="315"/>
      <c r="AO31" s="434">
        <f t="shared" si="5"/>
        <v>0</v>
      </c>
      <c r="AP31" s="201"/>
      <c r="AQ31" s="276"/>
      <c r="AR31" s="276"/>
      <c r="AS31" s="276"/>
      <c r="AT31" s="276"/>
      <c r="AU31" s="276"/>
      <c r="AV31" s="276"/>
      <c r="AW31" s="276"/>
      <c r="AX31" s="276"/>
      <c r="AY31" s="276"/>
    </row>
    <row r="32" spans="1:51" ht="15.75" customHeight="1" x14ac:dyDescent="0.25">
      <c r="A32" s="212" t="s">
        <v>142</v>
      </c>
      <c r="B32" s="213">
        <v>45168</v>
      </c>
      <c r="C32" s="440"/>
      <c r="D32" s="440">
        <f t="shared" si="0"/>
        <v>0</v>
      </c>
      <c r="E32" s="309"/>
      <c r="F32" s="309"/>
      <c r="G32" s="309"/>
      <c r="H32" s="309"/>
      <c r="I32" s="309" t="e">
        <f>'Détail Dépenses'!#REF!</f>
        <v>#REF!</v>
      </c>
      <c r="J32" s="378" t="e">
        <f t="shared" si="1"/>
        <v>#REF!</v>
      </c>
      <c r="K32" s="312" t="e">
        <f t="shared" si="2"/>
        <v>#REF!</v>
      </c>
      <c r="L32" s="312"/>
      <c r="M32" s="312" t="e">
        <f t="shared" si="3"/>
        <v>#REF!</v>
      </c>
      <c r="N32" s="432">
        <f t="shared" si="4"/>
        <v>4757500</v>
      </c>
      <c r="O32" s="433"/>
      <c r="P32" s="315"/>
      <c r="Q32" s="315"/>
      <c r="R32" s="315"/>
      <c r="S32" s="315"/>
      <c r="T32" s="315"/>
      <c r="U32" s="315"/>
      <c r="V32" s="315"/>
      <c r="W32" s="315"/>
      <c r="X32" s="315"/>
      <c r="Y32" s="315"/>
      <c r="Z32" s="315"/>
      <c r="AA32" s="315"/>
      <c r="AB32" s="315"/>
      <c r="AC32" s="315"/>
      <c r="AD32" s="315"/>
      <c r="AE32" s="315"/>
      <c r="AF32" s="315"/>
      <c r="AG32" s="315"/>
      <c r="AH32" s="315"/>
      <c r="AI32" s="315"/>
      <c r="AJ32" s="315"/>
      <c r="AK32" s="315"/>
      <c r="AL32" s="315"/>
      <c r="AM32" s="315"/>
      <c r="AN32" s="315"/>
      <c r="AO32" s="434">
        <f t="shared" si="5"/>
        <v>0</v>
      </c>
      <c r="AP32" s="201"/>
      <c r="AQ32" s="276"/>
      <c r="AR32" s="276"/>
      <c r="AS32" s="276"/>
      <c r="AT32" s="276"/>
      <c r="AU32" s="276"/>
      <c r="AV32" s="276"/>
      <c r="AW32" s="276"/>
      <c r="AX32" s="276"/>
      <c r="AY32" s="276"/>
    </row>
    <row r="33" spans="1:51" ht="15.75" customHeight="1" x14ac:dyDescent="0.25">
      <c r="A33" s="253" t="s">
        <v>143</v>
      </c>
      <c r="B33" s="229">
        <v>45169</v>
      </c>
      <c r="C33" s="436"/>
      <c r="D33" s="436">
        <f t="shared" si="0"/>
        <v>0</v>
      </c>
      <c r="E33" s="320"/>
      <c r="F33" s="320"/>
      <c r="G33" s="320"/>
      <c r="H33" s="320"/>
      <c r="I33" s="320" t="e">
        <f>'Détail Dépenses'!#REF!</f>
        <v>#REF!</v>
      </c>
      <c r="J33" s="367" t="e">
        <f t="shared" si="1"/>
        <v>#REF!</v>
      </c>
      <c r="K33" s="323" t="e">
        <f t="shared" si="2"/>
        <v>#REF!</v>
      </c>
      <c r="L33" s="495"/>
      <c r="M33" s="323" t="e">
        <f t="shared" si="3"/>
        <v>#REF!</v>
      </c>
      <c r="N33" s="482">
        <f t="shared" si="4"/>
        <v>4757500</v>
      </c>
      <c r="O33" s="437"/>
      <c r="P33" s="327"/>
      <c r="Q33" s="327"/>
      <c r="R33" s="327"/>
      <c r="S33" s="327"/>
      <c r="T33" s="327"/>
      <c r="U33" s="327"/>
      <c r="V33" s="327"/>
      <c r="W33" s="327"/>
      <c r="X33" s="327"/>
      <c r="Y33" s="327"/>
      <c r="Z33" s="327"/>
      <c r="AA33" s="327"/>
      <c r="AB33" s="327"/>
      <c r="AC33" s="327"/>
      <c r="AD33" s="327"/>
      <c r="AE33" s="327"/>
      <c r="AF33" s="327"/>
      <c r="AG33" s="327"/>
      <c r="AH33" s="327"/>
      <c r="AI33" s="327"/>
      <c r="AJ33" s="327"/>
      <c r="AK33" s="327"/>
      <c r="AL33" s="327"/>
      <c r="AM33" s="327"/>
      <c r="AN33" s="327"/>
      <c r="AO33" s="438">
        <f t="shared" si="5"/>
        <v>0</v>
      </c>
      <c r="AP33" s="201"/>
      <c r="AQ33" s="276"/>
      <c r="AR33" s="276"/>
      <c r="AS33" s="276"/>
      <c r="AT33" s="276"/>
      <c r="AU33" s="276"/>
      <c r="AV33" s="276"/>
      <c r="AW33" s="276"/>
      <c r="AX33" s="276"/>
      <c r="AY33" s="276"/>
    </row>
    <row r="34" spans="1:51" ht="16.5" customHeight="1" x14ac:dyDescent="0.25">
      <c r="A34" s="339"/>
      <c r="B34" s="389" t="s">
        <v>44</v>
      </c>
      <c r="C34" s="487">
        <f t="shared" ref="C34:I34" si="6">SUM(C3:C33)</f>
        <v>7057250</v>
      </c>
      <c r="D34" s="487">
        <f t="shared" si="6"/>
        <v>6962750</v>
      </c>
      <c r="E34" s="487">
        <f t="shared" si="6"/>
        <v>15000</v>
      </c>
      <c r="F34" s="487">
        <f t="shared" si="6"/>
        <v>0</v>
      </c>
      <c r="G34" s="487">
        <f t="shared" si="6"/>
        <v>78000</v>
      </c>
      <c r="H34" s="487">
        <f t="shared" si="6"/>
        <v>1500</v>
      </c>
      <c r="I34" s="487" t="e">
        <f t="shared" si="6"/>
        <v>#REF!</v>
      </c>
      <c r="J34" s="487"/>
      <c r="K34" s="487" t="e">
        <f t="shared" ref="K34:M34" si="7">SUM(K3:K33)</f>
        <v>#REF!</v>
      </c>
      <c r="L34" s="496">
        <f t="shared" si="7"/>
        <v>4757500</v>
      </c>
      <c r="M34" s="487" t="e">
        <f t="shared" si="7"/>
        <v>#REF!</v>
      </c>
      <c r="N34" s="487">
        <f>N33</f>
        <v>4757500</v>
      </c>
      <c r="O34" s="497"/>
      <c r="P34" s="487">
        <f t="shared" ref="P34:AN34" si="8">SUM(P3:P33)</f>
        <v>128000</v>
      </c>
      <c r="Q34" s="487">
        <f t="shared" si="8"/>
        <v>60000</v>
      </c>
      <c r="R34" s="487">
        <f t="shared" si="8"/>
        <v>142000</v>
      </c>
      <c r="S34" s="487">
        <f t="shared" si="8"/>
        <v>34500</v>
      </c>
      <c r="T34" s="487">
        <f t="shared" si="8"/>
        <v>0</v>
      </c>
      <c r="U34" s="487">
        <f t="shared" si="8"/>
        <v>0</v>
      </c>
      <c r="V34" s="487">
        <f t="shared" si="8"/>
        <v>33500</v>
      </c>
      <c r="W34" s="487">
        <f t="shared" si="8"/>
        <v>6000</v>
      </c>
      <c r="X34" s="487">
        <f t="shared" si="8"/>
        <v>1006500</v>
      </c>
      <c r="Y34" s="487">
        <f t="shared" si="8"/>
        <v>99500</v>
      </c>
      <c r="Z34" s="487">
        <f t="shared" si="8"/>
        <v>4000</v>
      </c>
      <c r="AA34" s="487">
        <f t="shared" si="8"/>
        <v>1500</v>
      </c>
      <c r="AB34" s="487">
        <f t="shared" si="8"/>
        <v>2000</v>
      </c>
      <c r="AC34" s="487">
        <f t="shared" si="8"/>
        <v>0</v>
      </c>
      <c r="AD34" s="487">
        <f t="shared" si="8"/>
        <v>0</v>
      </c>
      <c r="AE34" s="487">
        <f t="shared" si="8"/>
        <v>500</v>
      </c>
      <c r="AF34" s="487">
        <f t="shared" si="8"/>
        <v>6500</v>
      </c>
      <c r="AG34" s="487">
        <f t="shared" si="8"/>
        <v>0</v>
      </c>
      <c r="AH34" s="487">
        <f t="shared" si="8"/>
        <v>1000</v>
      </c>
      <c r="AI34" s="487">
        <f t="shared" si="8"/>
        <v>0</v>
      </c>
      <c r="AJ34" s="487">
        <f t="shared" si="8"/>
        <v>0</v>
      </c>
      <c r="AK34" s="487">
        <f t="shared" si="8"/>
        <v>3500</v>
      </c>
      <c r="AL34" s="487">
        <f t="shared" si="8"/>
        <v>4500</v>
      </c>
      <c r="AM34" s="487">
        <f t="shared" si="8"/>
        <v>0</v>
      </c>
      <c r="AN34" s="487">
        <f t="shared" si="8"/>
        <v>2500</v>
      </c>
      <c r="AO34" s="487">
        <f>SUM(P34:AN34)-X34</f>
        <v>529500</v>
      </c>
      <c r="AP34" s="201"/>
      <c r="AQ34" s="276"/>
      <c r="AR34" s="276"/>
      <c r="AS34" s="276"/>
      <c r="AT34" s="276"/>
      <c r="AU34" s="276"/>
      <c r="AV34" s="276"/>
      <c r="AW34" s="276"/>
      <c r="AX34" s="276"/>
      <c r="AY34" s="276"/>
    </row>
    <row r="35" spans="1:51" ht="15.75" customHeight="1" x14ac:dyDescent="0.25">
      <c r="A35" s="391"/>
      <c r="B35" s="451" t="s">
        <v>40</v>
      </c>
      <c r="C35" s="391"/>
      <c r="D35" s="391"/>
      <c r="E35" s="391">
        <f t="shared" ref="E35:I35" si="9">E34/$C$34</f>
        <v>2.1254738035353716E-3</v>
      </c>
      <c r="F35" s="391">
        <f t="shared" si="9"/>
        <v>0</v>
      </c>
      <c r="G35" s="391">
        <f t="shared" si="9"/>
        <v>1.1052463778383932E-2</v>
      </c>
      <c r="H35" s="391">
        <f t="shared" si="9"/>
        <v>2.1254738035353716E-4</v>
      </c>
      <c r="I35" s="391" t="e">
        <f t="shared" si="9"/>
        <v>#REF!</v>
      </c>
      <c r="J35" s="391"/>
      <c r="K35" s="391" t="e">
        <f>K34/$C$34</f>
        <v>#REF!</v>
      </c>
      <c r="L35" s="391">
        <f>L33/$C$34</f>
        <v>0</v>
      </c>
      <c r="M35" s="391" t="e">
        <f>M34/$C$34</f>
        <v>#REF!</v>
      </c>
      <c r="N35" s="391"/>
      <c r="O35" s="489"/>
      <c r="P35" s="391">
        <f t="shared" ref="P35:AL35" si="10">P34/$C$34</f>
        <v>1.8137376456835171E-2</v>
      </c>
      <c r="Q35" s="391">
        <f t="shared" si="10"/>
        <v>8.5018952141414864E-3</v>
      </c>
      <c r="R35" s="391">
        <f t="shared" si="10"/>
        <v>2.0121152006801517E-2</v>
      </c>
      <c r="S35" s="391">
        <f t="shared" si="10"/>
        <v>4.8885897481313542E-3</v>
      </c>
      <c r="T35" s="391">
        <f t="shared" si="10"/>
        <v>0</v>
      </c>
      <c r="U35" s="391">
        <f t="shared" si="10"/>
        <v>0</v>
      </c>
      <c r="V35" s="391">
        <f t="shared" si="10"/>
        <v>4.7468914945623299E-3</v>
      </c>
      <c r="W35" s="391">
        <f t="shared" si="10"/>
        <v>8.5018952141414862E-4</v>
      </c>
      <c r="X35" s="391">
        <f t="shared" si="10"/>
        <v>0.14261929221722341</v>
      </c>
      <c r="Y35" s="391">
        <f t="shared" si="10"/>
        <v>1.4098976230117964E-2</v>
      </c>
      <c r="Z35" s="391">
        <f t="shared" si="10"/>
        <v>5.6679301427609908E-4</v>
      </c>
      <c r="AA35" s="391">
        <f t="shared" si="10"/>
        <v>2.1254738035353716E-4</v>
      </c>
      <c r="AB35" s="391">
        <f t="shared" si="10"/>
        <v>2.8339650713804954E-4</v>
      </c>
      <c r="AC35" s="391">
        <f t="shared" si="10"/>
        <v>0</v>
      </c>
      <c r="AD35" s="391">
        <f t="shared" si="10"/>
        <v>0</v>
      </c>
      <c r="AE35" s="391">
        <f t="shared" si="10"/>
        <v>7.0849126784512385E-5</v>
      </c>
      <c r="AF35" s="391">
        <f t="shared" si="10"/>
        <v>9.2103864819866098E-4</v>
      </c>
      <c r="AG35" s="391">
        <f t="shared" si="10"/>
        <v>0</v>
      </c>
      <c r="AH35" s="391">
        <f t="shared" si="10"/>
        <v>1.4169825356902477E-4</v>
      </c>
      <c r="AI35" s="391">
        <f t="shared" si="10"/>
        <v>0</v>
      </c>
      <c r="AJ35" s="391">
        <f t="shared" si="10"/>
        <v>0</v>
      </c>
      <c r="AK35" s="391">
        <f t="shared" si="10"/>
        <v>4.9594388749158661E-4</v>
      </c>
      <c r="AL35" s="391">
        <f t="shared" si="10"/>
        <v>6.3764214106061144E-4</v>
      </c>
      <c r="AM35" s="391"/>
      <c r="AN35" s="391">
        <f t="shared" ref="AN35:AO35" si="11">AN34/$C$34</f>
        <v>3.542456339225619E-4</v>
      </c>
      <c r="AO35" s="391">
        <f t="shared" si="11"/>
        <v>7.5029225264798605E-2</v>
      </c>
      <c r="AP35" s="201"/>
      <c r="AQ35" s="276"/>
      <c r="AR35" s="276"/>
      <c r="AS35" s="276"/>
      <c r="AT35" s="276"/>
      <c r="AU35" s="276"/>
      <c r="AV35" s="276"/>
      <c r="AW35" s="276"/>
      <c r="AX35" s="276"/>
      <c r="AY35" s="276"/>
    </row>
    <row r="36" spans="1:51" ht="15.75" customHeight="1" x14ac:dyDescent="0.25">
      <c r="A36" s="391"/>
      <c r="B36" s="451" t="s">
        <v>147</v>
      </c>
      <c r="C36" s="391">
        <f>C34/'JUILLET 23'!C33-1</f>
        <v>16.39309919901417</v>
      </c>
      <c r="D36" s="391">
        <f>D34/'JUILLET 23'!D33-1</f>
        <v>16.41776110068793</v>
      </c>
      <c r="E36" s="391" t="e">
        <f>E34/'JUILLET 23'!E33-1</f>
        <v>#DIV/0!</v>
      </c>
      <c r="F36" s="391" t="e">
        <f>F34/'JUILLET 23'!F33-1</f>
        <v>#DIV/0!</v>
      </c>
      <c r="G36" s="391">
        <f>G34/'JUILLET 23'!G33-1</f>
        <v>12</v>
      </c>
      <c r="H36" s="391" t="e">
        <f>H34/'JUILLET 23'!H33-1</f>
        <v>#DIV/0!</v>
      </c>
      <c r="I36" s="391" t="e">
        <f>I34/'JUILLET 23'!I33-1</f>
        <v>#REF!</v>
      </c>
      <c r="J36" s="391">
        <f>J34/'JUILLET 23'!J33-1</f>
        <v>-1</v>
      </c>
      <c r="K36" s="391" t="e">
        <f>K34/'JUILLET 23'!K33-1</f>
        <v>#REF!</v>
      </c>
      <c r="L36" s="391">
        <f>L34/'JUILLET 23'!L33-1</f>
        <v>-12.554341226472374</v>
      </c>
      <c r="M36" s="391" t="e">
        <f>M34/'JUILLET 23'!M33-1</f>
        <v>#REF!</v>
      </c>
      <c r="N36" s="391">
        <f>N34/'JUILLET 23'!N33-1</f>
        <v>-0.50244723796774671</v>
      </c>
      <c r="O36" s="490"/>
      <c r="P36" s="391">
        <f>P34/'JUILLET 23'!P33-1</f>
        <v>18.692307692307693</v>
      </c>
      <c r="Q36" s="391" t="e">
        <f>Q34/'JUILLET 23'!Q33-1</f>
        <v>#DIV/0!</v>
      </c>
      <c r="R36" s="391">
        <f>R34/'JUILLET 23'!R33-1</f>
        <v>8.7931034482758612</v>
      </c>
      <c r="S36" s="391" t="e">
        <f>S34/'JUILLET 23'!S33-1</f>
        <v>#DIV/0!</v>
      </c>
      <c r="T36" s="391" t="e">
        <f>T34/'JUILLET 23'!T33-1</f>
        <v>#DIV/0!</v>
      </c>
      <c r="U36" s="391" t="e">
        <f>U34/'JUILLET 23'!U33-1</f>
        <v>#DIV/0!</v>
      </c>
      <c r="V36" s="391">
        <f>V34/'JUILLET 23'!V33-1</f>
        <v>5.0909090909090908</v>
      </c>
      <c r="W36" s="391" t="e">
        <f>W34/'JUILLET 23'!W33-1</f>
        <v>#DIV/0!</v>
      </c>
      <c r="X36" s="391">
        <f>X34/'JUILLET 23'!X33-1</f>
        <v>11.126506024096386</v>
      </c>
      <c r="Y36" s="391" t="e">
        <f>Y34/'JUILLET 23'!Y33-1</f>
        <v>#DIV/0!</v>
      </c>
      <c r="Z36" s="391">
        <f>Z34/'JUILLET 23'!Z33-1</f>
        <v>3</v>
      </c>
      <c r="AA36" s="391" t="e">
        <f>AA34/'JUILLET 23'!AA33-1</f>
        <v>#DIV/0!</v>
      </c>
      <c r="AB36" s="391">
        <f>AB34/'JUILLET 23'!AB33-1</f>
        <v>3</v>
      </c>
      <c r="AC36" s="391" t="e">
        <f>AC34/'JUILLET 23'!AC33-1</f>
        <v>#DIV/0!</v>
      </c>
      <c r="AD36" s="391" t="e">
        <f>AD34/'JUILLET 23'!AD33-1</f>
        <v>#DIV/0!</v>
      </c>
      <c r="AE36" s="391" t="e">
        <f>AE34/'JUILLET 23'!AE33-1</f>
        <v>#DIV/0!</v>
      </c>
      <c r="AF36" s="391" t="e">
        <f>AF34/'JUILLET 23'!AF33-1</f>
        <v>#DIV/0!</v>
      </c>
      <c r="AG36" s="391" t="e">
        <f>AG34/'JUILLET 23'!AG33-1</f>
        <v>#DIV/0!</v>
      </c>
      <c r="AH36" s="391" t="e">
        <f>AH34/'JUILLET 23'!AH33-1</f>
        <v>#DIV/0!</v>
      </c>
      <c r="AI36" s="391" t="e">
        <f>AI34/'JUILLET 23'!AI33-1</f>
        <v>#DIV/0!</v>
      </c>
      <c r="AJ36" s="391" t="e">
        <f>AJ34/'JUILLET 23'!AJ33-1</f>
        <v>#DIV/0!</v>
      </c>
      <c r="AK36" s="391" t="e">
        <f>AK34/'JUILLET 23'!AK33-1</f>
        <v>#DIV/0!</v>
      </c>
      <c r="AL36" s="391">
        <f>AL34/'JUILLET 23'!AL33-1</f>
        <v>-0.4</v>
      </c>
      <c r="AM36" s="391" t="e">
        <f>AM34/'JUILLET 23'!AM33-1</f>
        <v>#DIV/0!</v>
      </c>
      <c r="AN36" s="391">
        <f>AN34/'JUILLET 23'!AN33-1</f>
        <v>1.5</v>
      </c>
      <c r="AO36" s="391">
        <f>AO34/'JUILLET 23'!AO33-1</f>
        <v>3.4309623430962342</v>
      </c>
      <c r="AP36" s="201"/>
      <c r="AQ36" s="276"/>
      <c r="AR36" s="276"/>
      <c r="AS36" s="276"/>
      <c r="AT36" s="276"/>
      <c r="AU36" s="276"/>
      <c r="AV36" s="276"/>
      <c r="AW36" s="276"/>
      <c r="AX36" s="276"/>
      <c r="AY36" s="276"/>
    </row>
    <row r="37" spans="1:51" ht="15.75" customHeight="1" x14ac:dyDescent="0.25">
      <c r="A37" s="392" t="s">
        <v>157</v>
      </c>
      <c r="B37" s="393">
        <f>C34</f>
        <v>7057250</v>
      </c>
      <c r="C37" s="498"/>
      <c r="D37" s="294"/>
      <c r="E37" s="294"/>
      <c r="F37" s="455"/>
      <c r="G37" s="455"/>
      <c r="H37" s="352"/>
      <c r="I37" s="352"/>
      <c r="J37" s="394"/>
      <c r="K37" s="395"/>
      <c r="L37" s="290"/>
      <c r="M37" s="396"/>
      <c r="N37" s="459"/>
      <c r="O37" s="350" t="s">
        <v>186</v>
      </c>
      <c r="P37" s="351">
        <f>'AVRIL 23'!N15</f>
        <v>25950.000000000004</v>
      </c>
      <c r="Q37" s="351">
        <f>'AVRIL 23'!O15</f>
        <v>94950.000000000015</v>
      </c>
      <c r="R37" s="351">
        <f>'AVRIL 23'!P15</f>
        <v>4500.0000000000009</v>
      </c>
      <c r="S37" s="347"/>
      <c r="T37" s="293"/>
      <c r="U37" s="293"/>
      <c r="V37" s="293"/>
      <c r="W37" s="293"/>
      <c r="X37" s="293"/>
      <c r="Y37" s="293"/>
      <c r="Z37" s="293"/>
      <c r="AA37" s="293"/>
      <c r="AB37" s="293"/>
      <c r="AC37" s="293"/>
      <c r="AD37" s="293"/>
      <c r="AE37" s="293"/>
      <c r="AF37" s="293"/>
      <c r="AG37" s="293"/>
      <c r="AH37" s="293"/>
      <c r="AI37" s="293"/>
      <c r="AJ37" s="293"/>
      <c r="AK37" s="293"/>
      <c r="AL37" s="293"/>
      <c r="AM37" s="293"/>
      <c r="AN37" s="293"/>
      <c r="AO37" s="293"/>
      <c r="AP37" s="276"/>
      <c r="AQ37" s="276"/>
      <c r="AR37" s="276"/>
      <c r="AS37" s="276"/>
      <c r="AT37" s="276"/>
      <c r="AU37" s="276"/>
      <c r="AV37" s="276"/>
      <c r="AW37" s="276"/>
      <c r="AX37" s="276"/>
      <c r="AY37" s="276"/>
    </row>
    <row r="38" spans="1:51" ht="15.75" customHeight="1" x14ac:dyDescent="0.25">
      <c r="A38" s="392" t="s">
        <v>177</v>
      </c>
      <c r="B38" s="393" t="e">
        <f>'Détail Dépenses'!#REF!+'Détail Dépenses'!#REF!+'Détail Dépenses'!#REF!+'Détail Dépenses'!#REF!+'Détail Dépenses'!#REF!</f>
        <v>#REF!</v>
      </c>
      <c r="C38" s="413"/>
      <c r="D38" s="414"/>
      <c r="E38" s="414"/>
      <c r="F38" s="414"/>
      <c r="G38" s="414"/>
      <c r="H38" s="499"/>
      <c r="I38" s="354"/>
      <c r="J38" s="398"/>
      <c r="K38" s="399"/>
      <c r="L38" s="400"/>
      <c r="M38" s="401"/>
      <c r="N38" s="465"/>
      <c r="O38" s="350" t="s">
        <v>187</v>
      </c>
      <c r="P38" s="351">
        <f>'MAI 23'!O37</f>
        <v>107550.00000000001</v>
      </c>
      <c r="Q38" s="351">
        <f>'MAI 23'!P37</f>
        <v>213000.00000000003</v>
      </c>
      <c r="R38" s="351">
        <f>'MAI 23'!Q37</f>
        <v>70950.000000000015</v>
      </c>
      <c r="S38" s="201"/>
      <c r="T38" s="276"/>
      <c r="U38" s="276"/>
      <c r="V38" s="276"/>
      <c r="W38" s="276"/>
      <c r="X38" s="276"/>
      <c r="Y38" s="276"/>
      <c r="Z38" s="276"/>
      <c r="AA38" s="276"/>
      <c r="AB38" s="276"/>
      <c r="AC38" s="276"/>
      <c r="AD38" s="276"/>
      <c r="AE38" s="276"/>
      <c r="AF38" s="276"/>
      <c r="AG38" s="276"/>
      <c r="AH38" s="276"/>
      <c r="AI38" s="276"/>
      <c r="AJ38" s="276"/>
      <c r="AK38" s="276"/>
      <c r="AL38" s="276"/>
      <c r="AM38" s="276"/>
      <c r="AN38" s="276"/>
      <c r="AO38" s="276"/>
      <c r="AP38" s="276"/>
      <c r="AQ38" s="276"/>
      <c r="AR38" s="276"/>
      <c r="AS38" s="276"/>
      <c r="AT38" s="276"/>
      <c r="AU38" s="276"/>
      <c r="AV38" s="276"/>
      <c r="AW38" s="276"/>
      <c r="AX38" s="276"/>
      <c r="AY38" s="276"/>
    </row>
    <row r="39" spans="1:51" ht="15.75" customHeight="1" x14ac:dyDescent="0.25">
      <c r="A39" s="392" t="s">
        <v>178</v>
      </c>
      <c r="B39" s="393" t="e">
        <f>C34-B38</f>
        <v>#REF!</v>
      </c>
      <c r="C39" s="413"/>
      <c r="D39" s="414"/>
      <c r="E39" s="414"/>
      <c r="F39" s="414"/>
      <c r="G39" s="414"/>
      <c r="H39" s="500"/>
      <c r="I39" s="405"/>
      <c r="J39" s="406"/>
      <c r="K39" s="407"/>
      <c r="L39" s="408"/>
      <c r="M39" s="409"/>
      <c r="N39" s="469"/>
      <c r="O39" s="350" t="s">
        <v>213</v>
      </c>
      <c r="P39" s="351">
        <f>'JUIN 23'!P38</f>
        <v>85200.000000000015</v>
      </c>
      <c r="Q39" s="351">
        <f>'JUIN 23'!Q38</f>
        <v>115200.00000000001</v>
      </c>
      <c r="R39" s="351">
        <f>'JUIN 23'!R38</f>
        <v>189150.00000000003</v>
      </c>
      <c r="S39" s="201"/>
      <c r="T39" s="276"/>
      <c r="U39" s="276"/>
      <c r="V39" s="276"/>
      <c r="W39" s="276"/>
      <c r="X39" s="276"/>
      <c r="Y39" s="276"/>
      <c r="Z39" s="276"/>
      <c r="AA39" s="276"/>
      <c r="AB39" s="276"/>
      <c r="AC39" s="276"/>
      <c r="AD39" s="276"/>
      <c r="AE39" s="276"/>
      <c r="AF39" s="276"/>
      <c r="AG39" s="276"/>
      <c r="AH39" s="276"/>
      <c r="AI39" s="276"/>
      <c r="AJ39" s="276"/>
      <c r="AK39" s="276"/>
      <c r="AL39" s="276"/>
      <c r="AM39" s="276"/>
      <c r="AN39" s="276"/>
      <c r="AO39" s="276"/>
      <c r="AP39" s="276"/>
      <c r="AQ39" s="276"/>
      <c r="AR39" s="276"/>
      <c r="AS39" s="276"/>
      <c r="AT39" s="276"/>
      <c r="AU39" s="276"/>
      <c r="AV39" s="276"/>
      <c r="AW39" s="276"/>
      <c r="AX39" s="276"/>
      <c r="AY39" s="276"/>
    </row>
    <row r="40" spans="1:51" ht="15.75" customHeight="1" x14ac:dyDescent="0.25">
      <c r="A40" s="392" t="s">
        <v>179</v>
      </c>
      <c r="B40" s="412" t="e">
        <f>B39/C34</f>
        <v>#REF!</v>
      </c>
      <c r="C40" s="413"/>
      <c r="D40" s="414"/>
      <c r="E40" s="414"/>
      <c r="F40" s="414"/>
      <c r="G40" s="414"/>
      <c r="H40" s="414"/>
      <c r="I40" s="414"/>
      <c r="J40" s="415"/>
      <c r="K40" s="416"/>
      <c r="L40" s="417"/>
      <c r="M40" s="418"/>
      <c r="N40" s="472"/>
      <c r="O40" s="350" t="s">
        <v>219</v>
      </c>
      <c r="P40" s="351">
        <f>'JUILLET 23'!P40</f>
        <v>100275.00000000001</v>
      </c>
      <c r="Q40" s="351">
        <f>'JUILLET 23'!Q40</f>
        <v>63900.000000000007</v>
      </c>
      <c r="R40" s="351">
        <f>'JUILLET 23'!R40</f>
        <v>99375.000000000015</v>
      </c>
      <c r="S40" s="201"/>
      <c r="T40" s="276"/>
      <c r="U40" s="276"/>
      <c r="V40" s="276"/>
      <c r="W40" s="276"/>
      <c r="X40" s="276"/>
      <c r="Y40" s="276"/>
      <c r="Z40" s="276"/>
      <c r="AA40" s="276"/>
      <c r="AB40" s="276"/>
      <c r="AC40" s="276"/>
      <c r="AD40" s="276"/>
      <c r="AE40" s="276"/>
      <c r="AF40" s="276"/>
      <c r="AG40" s="276"/>
      <c r="AH40" s="276"/>
      <c r="AI40" s="276"/>
      <c r="AJ40" s="276"/>
      <c r="AK40" s="276"/>
      <c r="AL40" s="276"/>
      <c r="AM40" s="276"/>
      <c r="AN40" s="276"/>
      <c r="AO40" s="276"/>
      <c r="AP40" s="276"/>
      <c r="AQ40" s="276"/>
      <c r="AR40" s="276"/>
      <c r="AS40" s="276"/>
      <c r="AT40" s="276"/>
      <c r="AU40" s="276"/>
      <c r="AV40" s="276"/>
      <c r="AW40" s="276"/>
      <c r="AX40" s="276"/>
      <c r="AY40" s="276"/>
    </row>
    <row r="41" spans="1:51" ht="15.75" customHeight="1" x14ac:dyDescent="0.25">
      <c r="A41" s="392" t="s">
        <v>20</v>
      </c>
      <c r="B41" s="393" t="e">
        <f>SUM('Détail Dépenses'!#REF!)+'Détail Dépenses'!#REF!</f>
        <v>#REF!</v>
      </c>
      <c r="C41" s="413"/>
      <c r="D41" s="414"/>
      <c r="E41" s="414"/>
      <c r="F41" s="414"/>
      <c r="G41" s="414"/>
      <c r="H41" s="414"/>
      <c r="I41" s="414"/>
      <c r="J41" s="415"/>
      <c r="K41" s="416"/>
      <c r="L41" s="417"/>
      <c r="M41" s="418"/>
      <c r="N41" s="472"/>
      <c r="O41" s="350" t="s">
        <v>222</v>
      </c>
      <c r="P41" s="351">
        <f t="shared" ref="P41:R41" si="12">P34*(1-$O$2)</f>
        <v>38400.000000000007</v>
      </c>
      <c r="Q41" s="351">
        <f t="shared" si="12"/>
        <v>18000.000000000004</v>
      </c>
      <c r="R41" s="351">
        <f t="shared" si="12"/>
        <v>42600.000000000007</v>
      </c>
      <c r="S41" s="201"/>
      <c r="T41" s="276"/>
      <c r="U41" s="276"/>
      <c r="V41" s="276"/>
      <c r="W41" s="276"/>
      <c r="X41" s="276"/>
      <c r="Y41" s="276"/>
      <c r="Z41" s="276"/>
      <c r="AA41" s="276"/>
      <c r="AB41" s="276"/>
      <c r="AC41" s="276"/>
      <c r="AD41" s="276"/>
      <c r="AE41" s="276"/>
      <c r="AF41" s="276"/>
      <c r="AG41" s="276"/>
      <c r="AH41" s="276"/>
      <c r="AI41" s="276"/>
      <c r="AJ41" s="276"/>
      <c r="AK41" s="276"/>
      <c r="AL41" s="276"/>
      <c r="AM41" s="276"/>
      <c r="AN41" s="276"/>
      <c r="AO41" s="276"/>
      <c r="AP41" s="276"/>
      <c r="AQ41" s="276"/>
      <c r="AR41" s="276"/>
      <c r="AS41" s="276"/>
      <c r="AT41" s="276"/>
      <c r="AU41" s="276"/>
      <c r="AV41" s="276"/>
      <c r="AW41" s="276"/>
      <c r="AX41" s="276"/>
      <c r="AY41" s="276"/>
    </row>
    <row r="42" spans="1:51" ht="15.75" customHeight="1" x14ac:dyDescent="0.25">
      <c r="A42" s="392" t="s">
        <v>214</v>
      </c>
      <c r="B42" s="412" t="e">
        <f>B41/B37</f>
        <v>#REF!</v>
      </c>
      <c r="C42" s="413"/>
      <c r="D42" s="414"/>
      <c r="E42" s="414"/>
      <c r="F42" s="414"/>
      <c r="G42" s="414"/>
      <c r="H42" s="414"/>
      <c r="I42" s="414"/>
      <c r="J42" s="415"/>
      <c r="K42" s="416"/>
      <c r="L42" s="417"/>
      <c r="M42" s="418"/>
      <c r="N42" s="472"/>
      <c r="O42" s="410" t="s">
        <v>220</v>
      </c>
      <c r="P42" s="411">
        <f t="shared" ref="P42:R42" si="13">SUM(P37:P41)</f>
        <v>357375.00000000006</v>
      </c>
      <c r="Q42" s="411">
        <f t="shared" si="13"/>
        <v>505050.00000000006</v>
      </c>
      <c r="R42" s="411">
        <f t="shared" si="13"/>
        <v>406575.00000000006</v>
      </c>
      <c r="S42" s="201"/>
      <c r="T42" s="276"/>
      <c r="U42" s="276"/>
      <c r="V42" s="276"/>
      <c r="W42" s="276"/>
      <c r="X42" s="276"/>
      <c r="Y42" s="276"/>
      <c r="Z42" s="276"/>
      <c r="AA42" s="276"/>
      <c r="AB42" s="276"/>
      <c r="AC42" s="276"/>
      <c r="AD42" s="276"/>
      <c r="AE42" s="276"/>
      <c r="AF42" s="276"/>
      <c r="AG42" s="276"/>
      <c r="AH42" s="276"/>
      <c r="AI42" s="276"/>
      <c r="AJ42" s="276"/>
      <c r="AK42" s="276"/>
      <c r="AL42" s="276"/>
      <c r="AM42" s="276"/>
      <c r="AN42" s="276"/>
      <c r="AO42" s="276"/>
      <c r="AP42" s="276"/>
      <c r="AQ42" s="276"/>
      <c r="AR42" s="276"/>
      <c r="AS42" s="276"/>
      <c r="AT42" s="276"/>
      <c r="AU42" s="276"/>
      <c r="AV42" s="276"/>
      <c r="AW42" s="276"/>
      <c r="AX42" s="276"/>
      <c r="AY42" s="276"/>
    </row>
    <row r="43" spans="1:51" ht="15.75" customHeight="1" x14ac:dyDescent="0.25">
      <c r="A43" s="392" t="s">
        <v>180</v>
      </c>
      <c r="B43" s="393" t="e">
        <f>'Détail Dépenses'!#REF!+'Détail Dépenses'!#REF!</f>
        <v>#REF!</v>
      </c>
      <c r="C43" s="413"/>
      <c r="D43" s="414"/>
      <c r="E43" s="414"/>
      <c r="F43" s="414"/>
      <c r="G43" s="414"/>
      <c r="H43" s="414"/>
      <c r="I43" s="414"/>
      <c r="J43" s="415"/>
      <c r="K43" s="416"/>
      <c r="L43" s="417"/>
      <c r="M43" s="418"/>
      <c r="N43" s="418"/>
      <c r="O43" s="473"/>
      <c r="P43" s="293"/>
      <c r="Q43" s="293"/>
      <c r="R43" s="293"/>
      <c r="S43" s="276"/>
      <c r="T43" s="276"/>
      <c r="U43" s="276"/>
      <c r="V43" s="276"/>
      <c r="W43" s="276"/>
      <c r="X43" s="276"/>
      <c r="Y43" s="276"/>
      <c r="Z43" s="276"/>
      <c r="AA43" s="276"/>
      <c r="AB43" s="276"/>
      <c r="AC43" s="276"/>
      <c r="AD43" s="276"/>
      <c r="AE43" s="276"/>
      <c r="AF43" s="276"/>
      <c r="AG43" s="276"/>
      <c r="AH43" s="276"/>
      <c r="AI43" s="276"/>
      <c r="AJ43" s="276"/>
      <c r="AK43" s="276"/>
      <c r="AL43" s="276"/>
      <c r="AM43" s="276"/>
      <c r="AN43" s="276"/>
      <c r="AO43" s="276"/>
      <c r="AP43" s="276"/>
      <c r="AQ43" s="276"/>
      <c r="AR43" s="276"/>
      <c r="AS43" s="276"/>
      <c r="AT43" s="276"/>
      <c r="AU43" s="276"/>
      <c r="AV43" s="276"/>
      <c r="AW43" s="276"/>
      <c r="AX43" s="276"/>
      <c r="AY43" s="276"/>
    </row>
    <row r="44" spans="1:51" ht="15.75" customHeight="1" x14ac:dyDescent="0.25">
      <c r="A44" s="392" t="s">
        <v>181</v>
      </c>
      <c r="B44" s="393" t="e">
        <f>B39-B41-B43</f>
        <v>#REF!</v>
      </c>
      <c r="C44" s="413"/>
      <c r="D44" s="414"/>
      <c r="E44" s="414"/>
      <c r="F44" s="414"/>
      <c r="G44" s="414"/>
      <c r="H44" s="414"/>
      <c r="I44" s="414"/>
      <c r="J44" s="415"/>
      <c r="K44" s="416"/>
      <c r="L44" s="417"/>
      <c r="M44" s="418"/>
      <c r="N44" s="418"/>
      <c r="O44" s="419"/>
      <c r="P44" s="276"/>
      <c r="Q44" s="276"/>
      <c r="R44" s="276"/>
      <c r="S44" s="276"/>
      <c r="T44" s="276"/>
      <c r="U44" s="276"/>
      <c r="V44" s="276"/>
      <c r="W44" s="276"/>
      <c r="X44" s="276"/>
      <c r="Y44" s="276"/>
      <c r="Z44" s="276"/>
      <c r="AA44" s="276"/>
      <c r="AB44" s="276"/>
      <c r="AC44" s="276"/>
      <c r="AD44" s="276"/>
      <c r="AE44" s="276"/>
      <c r="AF44" s="276"/>
      <c r="AG44" s="276"/>
      <c r="AH44" s="276"/>
      <c r="AI44" s="276"/>
      <c r="AJ44" s="276"/>
      <c r="AK44" s="276"/>
      <c r="AL44" s="276"/>
      <c r="AM44" s="276"/>
      <c r="AN44" s="276"/>
      <c r="AO44" s="276"/>
      <c r="AP44" s="276"/>
      <c r="AQ44" s="276"/>
      <c r="AR44" s="276"/>
      <c r="AS44" s="276"/>
      <c r="AT44" s="276"/>
      <c r="AU44" s="276"/>
      <c r="AV44" s="276"/>
      <c r="AW44" s="276"/>
      <c r="AX44" s="276"/>
      <c r="AY44" s="276"/>
    </row>
    <row r="45" spans="1:51" ht="15.75" customHeight="1" x14ac:dyDescent="0.25">
      <c r="A45" s="392" t="s">
        <v>182</v>
      </c>
      <c r="B45" s="412" t="e">
        <f>B44/C34</f>
        <v>#REF!</v>
      </c>
      <c r="C45" s="413"/>
      <c r="D45" s="414"/>
      <c r="E45" s="414"/>
      <c r="F45" s="414"/>
      <c r="G45" s="414"/>
      <c r="H45" s="414"/>
      <c r="I45" s="414"/>
      <c r="J45" s="415"/>
      <c r="K45" s="416"/>
      <c r="L45" s="417"/>
      <c r="M45" s="418"/>
      <c r="N45" s="418"/>
      <c r="O45" s="419"/>
      <c r="P45" s="276"/>
      <c r="Q45" s="276"/>
      <c r="R45" s="276"/>
      <c r="S45" s="276"/>
      <c r="T45" s="276"/>
      <c r="U45" s="276"/>
      <c r="V45" s="276"/>
      <c r="W45" s="276"/>
      <c r="X45" s="276"/>
      <c r="Y45" s="276"/>
      <c r="Z45" s="276"/>
      <c r="AA45" s="276"/>
      <c r="AB45" s="276"/>
      <c r="AC45" s="276"/>
      <c r="AD45" s="276"/>
      <c r="AE45" s="276"/>
      <c r="AF45" s="276"/>
      <c r="AG45" s="276"/>
      <c r="AH45" s="276"/>
      <c r="AI45" s="276"/>
      <c r="AJ45" s="276"/>
      <c r="AK45" s="276"/>
      <c r="AL45" s="276"/>
      <c r="AM45" s="276"/>
      <c r="AN45" s="276"/>
      <c r="AO45" s="276"/>
      <c r="AP45" s="276"/>
      <c r="AQ45" s="276"/>
      <c r="AR45" s="276"/>
      <c r="AS45" s="276"/>
      <c r="AT45" s="276"/>
      <c r="AU45" s="276"/>
      <c r="AV45" s="276"/>
      <c r="AW45" s="276"/>
      <c r="AX45" s="276"/>
      <c r="AY45" s="276"/>
    </row>
    <row r="46" spans="1:51" ht="15.75" customHeight="1" x14ac:dyDescent="0.25">
      <c r="A46" s="392" t="s">
        <v>215</v>
      </c>
      <c r="B46" s="393">
        <f>RHv!J58</f>
        <v>0</v>
      </c>
      <c r="C46" s="413"/>
      <c r="D46" s="414"/>
      <c r="E46" s="414"/>
      <c r="F46" s="414"/>
      <c r="G46" s="414"/>
      <c r="H46" s="414"/>
      <c r="I46" s="414"/>
      <c r="J46" s="415"/>
      <c r="K46" s="416"/>
      <c r="L46" s="417"/>
      <c r="M46" s="418"/>
      <c r="N46" s="418"/>
      <c r="O46" s="419"/>
      <c r="P46" s="276"/>
      <c r="Q46" s="276"/>
      <c r="R46" s="276"/>
      <c r="S46" s="276"/>
      <c r="T46" s="276"/>
      <c r="U46" s="276"/>
      <c r="V46" s="276"/>
      <c r="W46" s="276"/>
      <c r="X46" s="276"/>
      <c r="Y46" s="276"/>
      <c r="Z46" s="276"/>
      <c r="AA46" s="276"/>
      <c r="AB46" s="276"/>
      <c r="AC46" s="276"/>
      <c r="AD46" s="276"/>
      <c r="AE46" s="276"/>
      <c r="AF46" s="276"/>
      <c r="AG46" s="276"/>
      <c r="AH46" s="276"/>
      <c r="AI46" s="276"/>
      <c r="AJ46" s="276"/>
      <c r="AK46" s="276"/>
      <c r="AL46" s="276"/>
      <c r="AM46" s="276"/>
      <c r="AN46" s="276"/>
      <c r="AO46" s="276"/>
      <c r="AP46" s="276"/>
      <c r="AQ46" s="276"/>
      <c r="AR46" s="276"/>
      <c r="AS46" s="276"/>
      <c r="AT46" s="276"/>
      <c r="AU46" s="276"/>
      <c r="AV46" s="276"/>
      <c r="AW46" s="276"/>
      <c r="AX46" s="276"/>
      <c r="AY46" s="276"/>
    </row>
    <row r="47" spans="1:51" ht="15.75" customHeight="1" x14ac:dyDescent="0.25">
      <c r="A47" s="392" t="s">
        <v>216</v>
      </c>
      <c r="B47" s="412">
        <f>B46/B37</f>
        <v>0</v>
      </c>
      <c r="C47" s="413"/>
      <c r="D47" s="414"/>
      <c r="E47" s="414"/>
      <c r="F47" s="414"/>
      <c r="G47" s="414"/>
      <c r="H47" s="414"/>
      <c r="I47" s="414"/>
      <c r="J47" s="415"/>
      <c r="K47" s="416"/>
      <c r="L47" s="417"/>
      <c r="M47" s="418"/>
      <c r="N47" s="418"/>
      <c r="O47" s="419"/>
      <c r="P47" s="276"/>
      <c r="Q47" s="276"/>
      <c r="R47" s="276"/>
      <c r="S47" s="276"/>
      <c r="T47" s="276"/>
      <c r="U47" s="276"/>
      <c r="V47" s="276"/>
      <c r="W47" s="276"/>
      <c r="X47" s="276"/>
      <c r="Y47" s="276"/>
      <c r="Z47" s="276"/>
      <c r="AA47" s="276"/>
      <c r="AB47" s="276"/>
      <c r="AC47" s="276"/>
      <c r="AD47" s="276"/>
      <c r="AE47" s="276"/>
      <c r="AF47" s="276"/>
      <c r="AG47" s="276"/>
      <c r="AH47" s="276"/>
      <c r="AI47" s="276"/>
      <c r="AJ47" s="276"/>
      <c r="AK47" s="276"/>
      <c r="AL47" s="276"/>
      <c r="AM47" s="276"/>
      <c r="AN47" s="276"/>
      <c r="AO47" s="276"/>
      <c r="AP47" s="276"/>
      <c r="AQ47" s="276"/>
      <c r="AR47" s="276"/>
      <c r="AS47" s="276"/>
      <c r="AT47" s="276"/>
      <c r="AU47" s="276"/>
      <c r="AV47" s="276"/>
      <c r="AW47" s="276"/>
      <c r="AX47" s="276"/>
      <c r="AY47" s="276"/>
    </row>
    <row r="48" spans="1:51" ht="15.75" customHeight="1" x14ac:dyDescent="0.25">
      <c r="A48" s="392" t="s">
        <v>217</v>
      </c>
      <c r="B48" s="393" t="e">
        <f>B38+B41+B43+B46</f>
        <v>#REF!</v>
      </c>
      <c r="C48" s="493" t="s">
        <v>221</v>
      </c>
      <c r="D48" s="414"/>
      <c r="E48" s="414"/>
      <c r="F48" s="414"/>
      <c r="G48" s="414"/>
      <c r="H48" s="414"/>
      <c r="I48" s="414"/>
      <c r="J48" s="415"/>
      <c r="K48" s="416"/>
      <c r="L48" s="417"/>
      <c r="M48" s="418"/>
      <c r="N48" s="418"/>
      <c r="O48" s="419"/>
      <c r="P48" s="276"/>
      <c r="Q48" s="276"/>
      <c r="R48" s="276"/>
      <c r="S48" s="276"/>
      <c r="T48" s="276"/>
      <c r="U48" s="276"/>
      <c r="V48" s="276"/>
      <c r="W48" s="276"/>
      <c r="X48" s="276"/>
      <c r="Y48" s="276"/>
      <c r="Z48" s="276"/>
      <c r="AA48" s="276"/>
      <c r="AB48" s="276"/>
      <c r="AC48" s="276"/>
      <c r="AD48" s="276"/>
      <c r="AE48" s="276"/>
      <c r="AF48" s="276"/>
      <c r="AG48" s="276"/>
      <c r="AH48" s="276"/>
      <c r="AI48" s="276"/>
      <c r="AJ48" s="276"/>
      <c r="AK48" s="276"/>
      <c r="AL48" s="276"/>
      <c r="AM48" s="276"/>
      <c r="AN48" s="276"/>
      <c r="AO48" s="276"/>
      <c r="AP48" s="276"/>
      <c r="AQ48" s="276"/>
      <c r="AR48" s="276"/>
      <c r="AS48" s="276"/>
      <c r="AT48" s="276"/>
      <c r="AU48" s="276"/>
      <c r="AV48" s="276"/>
      <c r="AW48" s="276"/>
      <c r="AX48" s="276"/>
      <c r="AY48" s="276"/>
    </row>
    <row r="49" spans="1:51" ht="15.75" customHeight="1" x14ac:dyDescent="0.25">
      <c r="A49" s="392" t="s">
        <v>184</v>
      </c>
      <c r="B49" s="356" t="e">
        <f>B44-B46</f>
        <v>#REF!</v>
      </c>
      <c r="C49" s="470">
        <f>N34+E34-B46</f>
        <v>4772500</v>
      </c>
      <c r="D49" s="414"/>
      <c r="E49" s="414"/>
      <c r="F49" s="414"/>
      <c r="G49" s="414"/>
      <c r="H49" s="414"/>
      <c r="I49" s="414"/>
      <c r="J49" s="415"/>
      <c r="K49" s="416"/>
      <c r="L49" s="417"/>
      <c r="M49" s="418"/>
      <c r="N49" s="494"/>
      <c r="O49" s="276"/>
      <c r="P49" s="276"/>
      <c r="Q49" s="276"/>
      <c r="R49" s="276"/>
      <c r="S49" s="276"/>
      <c r="T49" s="276"/>
      <c r="U49" s="276"/>
      <c r="V49" s="276"/>
      <c r="W49" s="276"/>
      <c r="X49" s="276"/>
      <c r="Y49" s="276"/>
      <c r="Z49" s="276"/>
      <c r="AA49" s="276"/>
      <c r="AB49" s="276"/>
      <c r="AC49" s="276"/>
      <c r="AD49" s="276"/>
      <c r="AE49" s="276"/>
      <c r="AF49" s="276"/>
      <c r="AG49" s="276"/>
      <c r="AH49" s="276"/>
      <c r="AI49" s="276"/>
      <c r="AJ49" s="276"/>
      <c r="AK49" s="276"/>
      <c r="AL49" s="276"/>
      <c r="AM49" s="276"/>
      <c r="AN49" s="276"/>
      <c r="AO49" s="276"/>
      <c r="AP49" s="276"/>
      <c r="AQ49" s="276"/>
      <c r="AR49" s="276"/>
      <c r="AS49" s="276"/>
      <c r="AT49" s="276"/>
      <c r="AU49" s="276"/>
      <c r="AV49" s="276"/>
      <c r="AW49" s="276"/>
      <c r="AX49" s="276"/>
      <c r="AY49" s="276"/>
    </row>
    <row r="50" spans="1:51" ht="15.75" customHeight="1" x14ac:dyDescent="0.25">
      <c r="A50" s="392" t="s">
        <v>185</v>
      </c>
      <c r="B50" s="412" t="e">
        <f>B49/B37</f>
        <v>#REF!</v>
      </c>
      <c r="C50" s="413"/>
      <c r="D50" s="414"/>
      <c r="E50" s="414"/>
      <c r="F50" s="414"/>
      <c r="G50" s="414"/>
      <c r="H50" s="414"/>
      <c r="I50" s="414"/>
      <c r="J50" s="415"/>
      <c r="K50" s="416"/>
      <c r="L50" s="417"/>
      <c r="M50" s="418"/>
      <c r="N50" s="418"/>
      <c r="O50" s="419"/>
      <c r="P50" s="276"/>
      <c r="Q50" s="276"/>
      <c r="R50" s="276"/>
      <c r="S50" s="276"/>
      <c r="T50" s="276"/>
      <c r="U50" s="276"/>
      <c r="V50" s="276"/>
      <c r="W50" s="276"/>
      <c r="X50" s="276"/>
      <c r="Y50" s="276"/>
      <c r="Z50" s="276"/>
      <c r="AA50" s="276"/>
      <c r="AB50" s="276"/>
      <c r="AC50" s="276"/>
      <c r="AD50" s="276"/>
      <c r="AE50" s="276"/>
      <c r="AF50" s="276"/>
      <c r="AG50" s="276"/>
      <c r="AH50" s="276"/>
      <c r="AI50" s="276"/>
      <c r="AJ50" s="276"/>
      <c r="AK50" s="276"/>
      <c r="AL50" s="276"/>
      <c r="AM50" s="276"/>
      <c r="AN50" s="276"/>
      <c r="AO50" s="276"/>
      <c r="AP50" s="276"/>
      <c r="AQ50" s="276"/>
      <c r="AR50" s="276"/>
      <c r="AS50" s="276"/>
      <c r="AT50" s="276"/>
      <c r="AU50" s="276"/>
      <c r="AV50" s="276"/>
      <c r="AW50" s="276"/>
      <c r="AX50" s="276"/>
      <c r="AY50" s="276"/>
    </row>
    <row r="51" spans="1:51" ht="15.75" customHeight="1" x14ac:dyDescent="0.25">
      <c r="A51" s="293"/>
      <c r="B51" s="293"/>
      <c r="C51" s="423"/>
      <c r="D51" s="422"/>
      <c r="E51" s="422"/>
      <c r="F51" s="422"/>
      <c r="G51" s="422"/>
      <c r="H51" s="422"/>
      <c r="I51" s="422"/>
      <c r="J51" s="423"/>
      <c r="K51" s="422"/>
      <c r="L51" s="422"/>
      <c r="M51" s="422"/>
      <c r="N51" s="422"/>
      <c r="O51" s="276"/>
      <c r="P51" s="276"/>
      <c r="Q51" s="276"/>
      <c r="R51" s="276"/>
      <c r="S51" s="276"/>
      <c r="T51" s="276"/>
      <c r="U51" s="276"/>
      <c r="V51" s="276"/>
      <c r="W51" s="276"/>
      <c r="X51" s="276"/>
      <c r="Y51" s="276"/>
      <c r="Z51" s="276"/>
      <c r="AA51" s="276"/>
      <c r="AB51" s="276"/>
      <c r="AC51" s="276"/>
      <c r="AD51" s="276"/>
      <c r="AE51" s="276"/>
      <c r="AF51" s="276"/>
      <c r="AG51" s="276"/>
      <c r="AH51" s="276"/>
      <c r="AI51" s="276"/>
      <c r="AJ51" s="276"/>
      <c r="AK51" s="276"/>
      <c r="AL51" s="276"/>
      <c r="AM51" s="276"/>
      <c r="AN51" s="276"/>
      <c r="AO51" s="276"/>
      <c r="AP51" s="276"/>
      <c r="AQ51" s="276"/>
      <c r="AR51" s="276"/>
      <c r="AS51" s="276"/>
      <c r="AT51" s="276"/>
      <c r="AU51" s="276"/>
      <c r="AV51" s="276"/>
      <c r="AW51" s="276"/>
      <c r="AX51" s="276"/>
      <c r="AY51" s="276"/>
    </row>
    <row r="52" spans="1:51" ht="15.75" customHeight="1" x14ac:dyDescent="0.25">
      <c r="A52" s="276"/>
      <c r="B52" s="276"/>
      <c r="C52" s="353"/>
      <c r="D52" s="276"/>
      <c r="E52" s="276"/>
      <c r="F52" s="276"/>
      <c r="G52" s="276"/>
      <c r="H52" s="276"/>
      <c r="I52" s="276"/>
      <c r="J52" s="353"/>
      <c r="K52" s="276"/>
      <c r="L52" s="276"/>
      <c r="M52" s="276"/>
      <c r="N52" s="276"/>
      <c r="O52" s="276"/>
      <c r="P52" s="276"/>
      <c r="Q52" s="276"/>
      <c r="R52" s="276"/>
      <c r="S52" s="276"/>
      <c r="T52" s="276"/>
      <c r="U52" s="276"/>
      <c r="V52" s="276"/>
      <c r="W52" s="276"/>
      <c r="X52" s="276"/>
      <c r="Y52" s="276"/>
      <c r="Z52" s="276"/>
      <c r="AA52" s="276"/>
      <c r="AB52" s="276"/>
      <c r="AC52" s="276"/>
      <c r="AD52" s="276"/>
      <c r="AE52" s="276"/>
      <c r="AF52" s="276"/>
      <c r="AG52" s="276"/>
      <c r="AH52" s="276"/>
      <c r="AI52" s="276"/>
      <c r="AJ52" s="276"/>
      <c r="AK52" s="276"/>
      <c r="AL52" s="276"/>
      <c r="AM52" s="276"/>
      <c r="AN52" s="276"/>
      <c r="AO52" s="276"/>
      <c r="AP52" s="276"/>
      <c r="AQ52" s="276"/>
      <c r="AR52" s="276"/>
      <c r="AS52" s="276"/>
      <c r="AT52" s="276"/>
      <c r="AU52" s="276"/>
      <c r="AV52" s="276"/>
      <c r="AW52" s="276"/>
      <c r="AX52" s="276"/>
      <c r="AY52" s="276"/>
    </row>
    <row r="53" spans="1:51" ht="15.75" customHeight="1" x14ac:dyDescent="0.25">
      <c r="A53" s="276"/>
      <c r="B53" s="276"/>
      <c r="C53" s="353"/>
      <c r="D53" s="276"/>
      <c r="E53" s="276"/>
      <c r="F53" s="276"/>
      <c r="G53" s="276"/>
      <c r="H53" s="276"/>
      <c r="I53" s="276"/>
      <c r="J53" s="353"/>
      <c r="K53" s="276"/>
      <c r="L53" s="276"/>
      <c r="M53" s="276"/>
      <c r="N53" s="276"/>
      <c r="O53" s="276"/>
      <c r="P53" s="276"/>
      <c r="Q53" s="276"/>
      <c r="R53" s="276"/>
      <c r="S53" s="276"/>
      <c r="T53" s="276"/>
      <c r="U53" s="276"/>
      <c r="V53" s="276"/>
      <c r="W53" s="276"/>
      <c r="X53" s="276"/>
      <c r="Y53" s="276"/>
      <c r="Z53" s="276"/>
      <c r="AA53" s="276"/>
      <c r="AB53" s="276"/>
      <c r="AC53" s="276"/>
      <c r="AD53" s="276"/>
      <c r="AE53" s="276"/>
      <c r="AF53" s="276"/>
      <c r="AG53" s="276"/>
      <c r="AH53" s="276"/>
      <c r="AI53" s="276"/>
      <c r="AJ53" s="276"/>
      <c r="AK53" s="276"/>
      <c r="AL53" s="276"/>
      <c r="AM53" s="276"/>
      <c r="AN53" s="276"/>
      <c r="AO53" s="276"/>
      <c r="AP53" s="276"/>
      <c r="AQ53" s="276"/>
      <c r="AR53" s="276"/>
      <c r="AS53" s="276"/>
      <c r="AT53" s="276"/>
      <c r="AU53" s="276"/>
      <c r="AV53" s="276"/>
      <c r="AW53" s="276"/>
      <c r="AX53" s="276"/>
      <c r="AY53" s="276"/>
    </row>
    <row r="54" spans="1:51" ht="15.75" customHeight="1" x14ac:dyDescent="0.25">
      <c r="A54" s="276"/>
      <c r="B54" s="276"/>
      <c r="C54" s="353"/>
      <c r="D54" s="276"/>
      <c r="E54" s="276"/>
      <c r="F54" s="276"/>
      <c r="G54" s="276"/>
      <c r="H54" s="276"/>
      <c r="I54" s="276"/>
      <c r="J54" s="353"/>
      <c r="K54" s="276"/>
      <c r="L54" s="276"/>
      <c r="M54" s="276"/>
      <c r="N54" s="276"/>
      <c r="O54" s="276"/>
      <c r="P54" s="276"/>
      <c r="Q54" s="276"/>
      <c r="R54" s="276"/>
      <c r="S54" s="276"/>
      <c r="T54" s="276"/>
      <c r="U54" s="276"/>
      <c r="V54" s="276"/>
      <c r="W54" s="276"/>
      <c r="X54" s="276"/>
      <c r="Y54" s="276"/>
      <c r="Z54" s="276"/>
      <c r="AA54" s="276"/>
      <c r="AB54" s="276"/>
      <c r="AC54" s="276"/>
      <c r="AD54" s="276"/>
      <c r="AE54" s="276"/>
      <c r="AF54" s="276"/>
      <c r="AG54" s="276"/>
      <c r="AH54" s="276"/>
      <c r="AI54" s="276"/>
      <c r="AJ54" s="276"/>
      <c r="AK54" s="276"/>
      <c r="AL54" s="276"/>
      <c r="AM54" s="276"/>
      <c r="AN54" s="276"/>
      <c r="AO54" s="276"/>
      <c r="AP54" s="276"/>
      <c r="AQ54" s="276"/>
      <c r="AR54" s="276"/>
      <c r="AS54" s="276"/>
      <c r="AT54" s="276"/>
      <c r="AU54" s="276"/>
      <c r="AV54" s="276"/>
      <c r="AW54" s="276"/>
      <c r="AX54" s="276"/>
      <c r="AY54" s="276"/>
    </row>
    <row r="55" spans="1:51" ht="15.75" customHeight="1" x14ac:dyDescent="0.25">
      <c r="A55" s="276"/>
      <c r="B55" s="276"/>
      <c r="C55" s="353"/>
      <c r="D55" s="276"/>
      <c r="E55" s="276"/>
      <c r="F55" s="276"/>
      <c r="G55" s="276"/>
      <c r="H55" s="276"/>
      <c r="I55" s="276"/>
      <c r="J55" s="353"/>
      <c r="K55" s="276"/>
      <c r="L55" s="276"/>
      <c r="M55" s="276"/>
      <c r="N55" s="276"/>
      <c r="O55" s="276"/>
      <c r="P55" s="276"/>
      <c r="Q55" s="276"/>
      <c r="R55" s="276"/>
      <c r="S55" s="276"/>
      <c r="T55" s="276"/>
      <c r="U55" s="276"/>
      <c r="V55" s="276"/>
      <c r="W55" s="276"/>
      <c r="X55" s="276"/>
      <c r="Y55" s="276"/>
      <c r="Z55" s="276"/>
      <c r="AA55" s="276"/>
      <c r="AB55" s="276"/>
      <c r="AC55" s="276"/>
      <c r="AD55" s="276"/>
      <c r="AE55" s="276"/>
      <c r="AF55" s="276"/>
      <c r="AG55" s="276"/>
      <c r="AH55" s="276"/>
      <c r="AI55" s="276"/>
      <c r="AJ55" s="276"/>
      <c r="AK55" s="276"/>
      <c r="AL55" s="276"/>
      <c r="AM55" s="276"/>
      <c r="AN55" s="276"/>
      <c r="AO55" s="276"/>
      <c r="AP55" s="276"/>
      <c r="AQ55" s="276"/>
      <c r="AR55" s="276"/>
      <c r="AS55" s="276"/>
      <c r="AT55" s="276"/>
      <c r="AU55" s="276"/>
      <c r="AV55" s="276"/>
      <c r="AW55" s="276"/>
      <c r="AX55" s="276"/>
      <c r="AY55" s="276"/>
    </row>
    <row r="56" spans="1:51" ht="15.75" customHeight="1" x14ac:dyDescent="0.25">
      <c r="A56" s="276"/>
      <c r="B56" s="276"/>
      <c r="C56" s="353"/>
      <c r="D56" s="276"/>
      <c r="E56" s="276"/>
      <c r="F56" s="276"/>
      <c r="G56" s="276"/>
      <c r="H56" s="276"/>
      <c r="I56" s="276"/>
      <c r="J56" s="353"/>
      <c r="K56" s="276"/>
      <c r="L56" s="276"/>
      <c r="M56" s="276"/>
      <c r="N56" s="276"/>
      <c r="O56" s="276"/>
      <c r="P56" s="276"/>
      <c r="Q56" s="276"/>
      <c r="R56" s="276"/>
      <c r="S56" s="276"/>
      <c r="T56" s="276"/>
      <c r="U56" s="276"/>
      <c r="V56" s="276"/>
      <c r="W56" s="276"/>
      <c r="X56" s="276"/>
      <c r="Y56" s="276"/>
      <c r="Z56" s="276"/>
      <c r="AA56" s="276"/>
      <c r="AB56" s="276"/>
      <c r="AC56" s="276"/>
      <c r="AD56" s="276"/>
      <c r="AE56" s="276"/>
      <c r="AF56" s="276"/>
      <c r="AG56" s="276"/>
      <c r="AH56" s="276"/>
      <c r="AI56" s="276"/>
      <c r="AJ56" s="276"/>
      <c r="AK56" s="276"/>
      <c r="AL56" s="276"/>
      <c r="AM56" s="276"/>
      <c r="AN56" s="276"/>
      <c r="AO56" s="276"/>
      <c r="AP56" s="276"/>
      <c r="AQ56" s="276"/>
      <c r="AR56" s="276"/>
      <c r="AS56" s="276"/>
      <c r="AT56" s="276"/>
      <c r="AU56" s="276"/>
      <c r="AV56" s="276"/>
      <c r="AW56" s="276"/>
      <c r="AX56" s="276"/>
      <c r="AY56" s="276"/>
    </row>
    <row r="57" spans="1:51" ht="15.75" customHeight="1" x14ac:dyDescent="0.25">
      <c r="A57" s="276"/>
      <c r="B57" s="276"/>
      <c r="C57" s="353"/>
      <c r="D57" s="276"/>
      <c r="E57" s="276"/>
      <c r="F57" s="276"/>
      <c r="G57" s="276"/>
      <c r="H57" s="276"/>
      <c r="I57" s="276"/>
      <c r="J57" s="353"/>
      <c r="K57" s="276"/>
      <c r="L57" s="276"/>
      <c r="M57" s="276"/>
      <c r="N57" s="276"/>
      <c r="O57" s="276"/>
      <c r="P57" s="276"/>
      <c r="Q57" s="276"/>
      <c r="R57" s="276"/>
      <c r="S57" s="276"/>
      <c r="T57" s="276"/>
      <c r="U57" s="276"/>
      <c r="V57" s="276"/>
      <c r="W57" s="276"/>
      <c r="X57" s="276"/>
      <c r="Y57" s="276"/>
      <c r="Z57" s="276"/>
      <c r="AA57" s="276"/>
      <c r="AB57" s="276"/>
      <c r="AC57" s="276"/>
      <c r="AD57" s="276"/>
      <c r="AE57" s="276"/>
      <c r="AF57" s="276"/>
      <c r="AG57" s="276"/>
      <c r="AH57" s="276"/>
      <c r="AI57" s="276"/>
      <c r="AJ57" s="276"/>
      <c r="AK57" s="276"/>
      <c r="AL57" s="276"/>
      <c r="AM57" s="276"/>
      <c r="AN57" s="276"/>
      <c r="AO57" s="276"/>
      <c r="AP57" s="276"/>
      <c r="AQ57" s="276"/>
      <c r="AR57" s="276"/>
      <c r="AS57" s="276"/>
      <c r="AT57" s="276"/>
      <c r="AU57" s="276"/>
      <c r="AV57" s="276"/>
      <c r="AW57" s="276"/>
      <c r="AX57" s="276"/>
      <c r="AY57" s="276"/>
    </row>
    <row r="58" spans="1:51" ht="15.75" customHeight="1" x14ac:dyDescent="0.25">
      <c r="A58" s="276"/>
      <c r="B58" s="276"/>
      <c r="C58" s="353"/>
      <c r="D58" s="276"/>
      <c r="E58" s="276"/>
      <c r="F58" s="276"/>
      <c r="G58" s="276"/>
      <c r="H58" s="276"/>
      <c r="I58" s="276"/>
      <c r="J58" s="353"/>
      <c r="K58" s="276"/>
      <c r="L58" s="276"/>
      <c r="M58" s="276"/>
      <c r="N58" s="276"/>
      <c r="O58" s="276"/>
      <c r="P58" s="276"/>
      <c r="Q58" s="276"/>
      <c r="R58" s="276"/>
      <c r="S58" s="276"/>
      <c r="T58" s="276"/>
      <c r="U58" s="276"/>
      <c r="V58" s="276"/>
      <c r="W58" s="276"/>
      <c r="X58" s="276"/>
      <c r="Y58" s="276"/>
      <c r="Z58" s="276"/>
      <c r="AA58" s="276"/>
      <c r="AB58" s="276"/>
      <c r="AC58" s="276"/>
      <c r="AD58" s="276"/>
      <c r="AE58" s="276"/>
      <c r="AF58" s="276"/>
      <c r="AG58" s="276"/>
      <c r="AH58" s="276"/>
      <c r="AI58" s="276"/>
      <c r="AJ58" s="276"/>
      <c r="AK58" s="276"/>
      <c r="AL58" s="276"/>
      <c r="AM58" s="276"/>
      <c r="AN58" s="276"/>
      <c r="AO58" s="276"/>
      <c r="AP58" s="276"/>
      <c r="AQ58" s="276"/>
      <c r="AR58" s="276"/>
      <c r="AS58" s="276"/>
      <c r="AT58" s="276"/>
      <c r="AU58" s="276"/>
      <c r="AV58" s="276"/>
      <c r="AW58" s="276"/>
      <c r="AX58" s="276"/>
      <c r="AY58" s="276"/>
    </row>
    <row r="59" spans="1:51" ht="15.75" customHeight="1" x14ac:dyDescent="0.25">
      <c r="A59" s="276"/>
      <c r="B59" s="276"/>
      <c r="C59" s="353"/>
      <c r="D59" s="276"/>
      <c r="E59" s="276"/>
      <c r="F59" s="276"/>
      <c r="G59" s="276"/>
      <c r="H59" s="276"/>
      <c r="I59" s="276"/>
      <c r="J59" s="353"/>
      <c r="K59" s="276"/>
      <c r="L59" s="276"/>
      <c r="M59" s="276"/>
      <c r="N59" s="276"/>
      <c r="O59" s="276"/>
      <c r="P59" s="276"/>
      <c r="Q59" s="276"/>
      <c r="R59" s="276"/>
      <c r="S59" s="276"/>
      <c r="T59" s="276"/>
      <c r="U59" s="276"/>
      <c r="V59" s="276"/>
      <c r="W59" s="276"/>
      <c r="X59" s="276"/>
      <c r="Y59" s="276"/>
      <c r="Z59" s="276"/>
      <c r="AA59" s="276"/>
      <c r="AB59" s="276"/>
      <c r="AC59" s="276"/>
      <c r="AD59" s="276"/>
      <c r="AE59" s="276"/>
      <c r="AF59" s="276"/>
      <c r="AG59" s="276"/>
      <c r="AH59" s="276"/>
      <c r="AI59" s="276"/>
      <c r="AJ59" s="276"/>
      <c r="AK59" s="276"/>
      <c r="AL59" s="276"/>
      <c r="AM59" s="276"/>
      <c r="AN59" s="276"/>
      <c r="AO59" s="276"/>
      <c r="AP59" s="276"/>
      <c r="AQ59" s="276"/>
      <c r="AR59" s="276"/>
      <c r="AS59" s="276"/>
      <c r="AT59" s="276"/>
      <c r="AU59" s="276"/>
      <c r="AV59" s="276"/>
      <c r="AW59" s="276"/>
      <c r="AX59" s="276"/>
      <c r="AY59" s="276"/>
    </row>
    <row r="60" spans="1:51" ht="15.75" customHeight="1" x14ac:dyDescent="0.25">
      <c r="A60" s="276"/>
      <c r="B60" s="276"/>
      <c r="C60" s="353"/>
      <c r="D60" s="276"/>
      <c r="E60" s="276"/>
      <c r="F60" s="276"/>
      <c r="G60" s="276"/>
      <c r="H60" s="276"/>
      <c r="I60" s="276"/>
      <c r="J60" s="353"/>
      <c r="K60" s="276"/>
      <c r="L60" s="276"/>
      <c r="M60" s="276"/>
      <c r="N60" s="276"/>
      <c r="O60" s="276"/>
      <c r="P60" s="276"/>
      <c r="Q60" s="276"/>
      <c r="R60" s="276"/>
      <c r="S60" s="276"/>
      <c r="T60" s="276"/>
      <c r="U60" s="276"/>
      <c r="V60" s="276"/>
      <c r="W60" s="276"/>
      <c r="X60" s="276"/>
      <c r="Y60" s="276"/>
      <c r="Z60" s="276"/>
      <c r="AA60" s="276"/>
      <c r="AB60" s="276"/>
      <c r="AC60" s="276"/>
      <c r="AD60" s="276"/>
      <c r="AE60" s="276"/>
      <c r="AF60" s="276"/>
      <c r="AG60" s="276"/>
      <c r="AH60" s="276"/>
      <c r="AI60" s="276"/>
      <c r="AJ60" s="276"/>
      <c r="AK60" s="276"/>
      <c r="AL60" s="276"/>
      <c r="AM60" s="276"/>
      <c r="AN60" s="276"/>
      <c r="AO60" s="276"/>
      <c r="AP60" s="276"/>
      <c r="AQ60" s="276"/>
      <c r="AR60" s="276"/>
      <c r="AS60" s="276"/>
      <c r="AT60" s="276"/>
      <c r="AU60" s="276"/>
      <c r="AV60" s="276"/>
      <c r="AW60" s="276"/>
      <c r="AX60" s="276"/>
      <c r="AY60" s="276"/>
    </row>
    <row r="61" spans="1:51" ht="15.75" customHeight="1" x14ac:dyDescent="0.25">
      <c r="A61" s="276"/>
      <c r="B61" s="276"/>
      <c r="C61" s="353"/>
      <c r="D61" s="276"/>
      <c r="E61" s="276"/>
      <c r="F61" s="276"/>
      <c r="G61" s="276"/>
      <c r="H61" s="276"/>
      <c r="I61" s="276"/>
      <c r="J61" s="353"/>
      <c r="K61" s="276"/>
      <c r="L61" s="276"/>
      <c r="M61" s="276"/>
      <c r="N61" s="276"/>
      <c r="O61" s="276"/>
      <c r="P61" s="276"/>
      <c r="Q61" s="276"/>
      <c r="R61" s="276"/>
      <c r="S61" s="276"/>
      <c r="T61" s="276"/>
      <c r="U61" s="276"/>
      <c r="V61" s="276"/>
      <c r="W61" s="276"/>
      <c r="X61" s="276"/>
      <c r="Y61" s="276"/>
      <c r="Z61" s="276"/>
      <c r="AA61" s="276"/>
      <c r="AB61" s="276"/>
      <c r="AC61" s="276"/>
      <c r="AD61" s="276"/>
      <c r="AE61" s="276"/>
      <c r="AF61" s="276"/>
      <c r="AG61" s="276"/>
      <c r="AH61" s="276"/>
      <c r="AI61" s="276"/>
      <c r="AJ61" s="276"/>
      <c r="AK61" s="276"/>
      <c r="AL61" s="276"/>
      <c r="AM61" s="276"/>
      <c r="AN61" s="276"/>
      <c r="AO61" s="276"/>
      <c r="AP61" s="276"/>
      <c r="AQ61" s="276"/>
      <c r="AR61" s="276"/>
      <c r="AS61" s="276"/>
      <c r="AT61" s="276"/>
      <c r="AU61" s="276"/>
      <c r="AV61" s="276"/>
      <c r="AW61" s="276"/>
      <c r="AX61" s="276"/>
      <c r="AY61" s="276"/>
    </row>
    <row r="62" spans="1:51" ht="15.75" customHeight="1" x14ac:dyDescent="0.25">
      <c r="A62" s="276"/>
      <c r="B62" s="276"/>
      <c r="C62" s="353"/>
      <c r="D62" s="276"/>
      <c r="E62" s="276"/>
      <c r="F62" s="276"/>
      <c r="G62" s="276"/>
      <c r="H62" s="276"/>
      <c r="I62" s="276"/>
      <c r="J62" s="353"/>
      <c r="K62" s="276"/>
      <c r="L62" s="276"/>
      <c r="M62" s="276"/>
      <c r="N62" s="276"/>
      <c r="O62" s="276"/>
      <c r="P62" s="276"/>
      <c r="Q62" s="276"/>
      <c r="R62" s="276"/>
      <c r="S62" s="276"/>
      <c r="T62" s="276"/>
      <c r="U62" s="276"/>
      <c r="V62" s="276"/>
      <c r="W62" s="276"/>
      <c r="X62" s="276"/>
      <c r="Y62" s="276"/>
      <c r="Z62" s="276"/>
      <c r="AA62" s="276"/>
      <c r="AB62" s="276"/>
      <c r="AC62" s="276"/>
      <c r="AD62" s="276"/>
      <c r="AE62" s="276"/>
      <c r="AF62" s="276"/>
      <c r="AG62" s="276"/>
      <c r="AH62" s="276"/>
      <c r="AI62" s="276"/>
      <c r="AJ62" s="276"/>
      <c r="AK62" s="276"/>
      <c r="AL62" s="276"/>
      <c r="AM62" s="276"/>
      <c r="AN62" s="276"/>
      <c r="AO62" s="276"/>
      <c r="AP62" s="276"/>
      <c r="AQ62" s="276"/>
      <c r="AR62" s="276"/>
      <c r="AS62" s="276"/>
      <c r="AT62" s="276"/>
      <c r="AU62" s="276"/>
      <c r="AV62" s="276"/>
      <c r="AW62" s="276"/>
      <c r="AX62" s="276"/>
      <c r="AY62" s="276"/>
    </row>
    <row r="63" spans="1:51" ht="15.75" customHeight="1" x14ac:dyDescent="0.25">
      <c r="A63" s="276"/>
      <c r="B63" s="276"/>
      <c r="C63" s="353"/>
      <c r="D63" s="276"/>
      <c r="E63" s="276"/>
      <c r="F63" s="276"/>
      <c r="G63" s="276"/>
      <c r="H63" s="276"/>
      <c r="I63" s="276"/>
      <c r="J63" s="353"/>
      <c r="K63" s="276"/>
      <c r="L63" s="276"/>
      <c r="M63" s="276"/>
      <c r="N63" s="276"/>
      <c r="O63" s="276"/>
      <c r="P63" s="276"/>
      <c r="Q63" s="276"/>
      <c r="R63" s="276"/>
      <c r="S63" s="276"/>
      <c r="T63" s="276"/>
      <c r="U63" s="276"/>
      <c r="V63" s="276"/>
      <c r="W63" s="276"/>
      <c r="X63" s="276"/>
      <c r="Y63" s="276"/>
      <c r="Z63" s="276"/>
      <c r="AA63" s="276"/>
      <c r="AB63" s="276"/>
      <c r="AC63" s="276"/>
      <c r="AD63" s="276"/>
      <c r="AE63" s="276"/>
      <c r="AF63" s="276"/>
      <c r="AG63" s="276"/>
      <c r="AH63" s="276"/>
      <c r="AI63" s="276"/>
      <c r="AJ63" s="276"/>
      <c r="AK63" s="276"/>
      <c r="AL63" s="276"/>
      <c r="AM63" s="276"/>
      <c r="AN63" s="276"/>
      <c r="AO63" s="276"/>
      <c r="AP63" s="276"/>
      <c r="AQ63" s="276"/>
      <c r="AR63" s="276"/>
      <c r="AS63" s="276"/>
      <c r="AT63" s="276"/>
      <c r="AU63" s="276"/>
      <c r="AV63" s="276"/>
      <c r="AW63" s="276"/>
      <c r="AX63" s="276"/>
      <c r="AY63" s="276"/>
    </row>
    <row r="64" spans="1:51" ht="15.75" customHeight="1" x14ac:dyDescent="0.25">
      <c r="A64" s="276"/>
      <c r="B64" s="276"/>
      <c r="C64" s="353"/>
      <c r="D64" s="276"/>
      <c r="E64" s="276"/>
      <c r="F64" s="276"/>
      <c r="G64" s="276"/>
      <c r="H64" s="276"/>
      <c r="I64" s="276"/>
      <c r="J64" s="353"/>
      <c r="K64" s="276"/>
      <c r="L64" s="276"/>
      <c r="M64" s="276"/>
      <c r="N64" s="276"/>
      <c r="O64" s="276"/>
      <c r="P64" s="276"/>
      <c r="Q64" s="276"/>
      <c r="R64" s="276"/>
      <c r="S64" s="276"/>
      <c r="T64" s="276"/>
      <c r="U64" s="276"/>
      <c r="V64" s="276"/>
      <c r="W64" s="276"/>
      <c r="X64" s="276"/>
      <c r="Y64" s="276"/>
      <c r="Z64" s="276"/>
      <c r="AA64" s="276"/>
      <c r="AB64" s="276"/>
      <c r="AC64" s="276"/>
      <c r="AD64" s="276"/>
      <c r="AE64" s="276"/>
      <c r="AF64" s="276"/>
      <c r="AG64" s="276"/>
      <c r="AH64" s="276"/>
      <c r="AI64" s="276"/>
      <c r="AJ64" s="276"/>
      <c r="AK64" s="276"/>
      <c r="AL64" s="276"/>
      <c r="AM64" s="276"/>
      <c r="AN64" s="276"/>
      <c r="AO64" s="276"/>
      <c r="AP64" s="276"/>
      <c r="AQ64" s="276"/>
      <c r="AR64" s="276"/>
      <c r="AS64" s="276"/>
      <c r="AT64" s="276"/>
      <c r="AU64" s="276"/>
      <c r="AV64" s="276"/>
      <c r="AW64" s="276"/>
      <c r="AX64" s="276"/>
      <c r="AY64" s="276"/>
    </row>
    <row r="65" spans="1:51" ht="15.75" customHeight="1" x14ac:dyDescent="0.25">
      <c r="A65" s="276"/>
      <c r="B65" s="276"/>
      <c r="C65" s="353"/>
      <c r="D65" s="276"/>
      <c r="E65" s="276"/>
      <c r="F65" s="276"/>
      <c r="G65" s="276"/>
      <c r="H65" s="276"/>
      <c r="I65" s="276"/>
      <c r="J65" s="353"/>
      <c r="K65" s="276"/>
      <c r="L65" s="276"/>
      <c r="M65" s="276"/>
      <c r="N65" s="276"/>
      <c r="O65" s="276"/>
      <c r="P65" s="276"/>
      <c r="Q65" s="276"/>
      <c r="R65" s="276"/>
      <c r="S65" s="276"/>
      <c r="T65" s="276"/>
      <c r="U65" s="276"/>
      <c r="V65" s="276"/>
      <c r="W65" s="276"/>
      <c r="X65" s="276"/>
      <c r="Y65" s="276"/>
      <c r="Z65" s="276"/>
      <c r="AA65" s="276"/>
      <c r="AB65" s="276"/>
      <c r="AC65" s="276"/>
      <c r="AD65" s="276"/>
      <c r="AE65" s="276"/>
      <c r="AF65" s="276"/>
      <c r="AG65" s="276"/>
      <c r="AH65" s="276"/>
      <c r="AI65" s="276"/>
      <c r="AJ65" s="276"/>
      <c r="AK65" s="276"/>
      <c r="AL65" s="276"/>
      <c r="AM65" s="276"/>
      <c r="AN65" s="276"/>
      <c r="AO65" s="276"/>
      <c r="AP65" s="276"/>
      <c r="AQ65" s="276"/>
      <c r="AR65" s="276"/>
      <c r="AS65" s="276"/>
      <c r="AT65" s="276"/>
      <c r="AU65" s="276"/>
      <c r="AV65" s="276"/>
      <c r="AW65" s="276"/>
      <c r="AX65" s="276"/>
      <c r="AY65" s="276"/>
    </row>
    <row r="66" spans="1:51" ht="15.75" customHeight="1" x14ac:dyDescent="0.25">
      <c r="A66" s="276"/>
      <c r="B66" s="276"/>
      <c r="C66" s="353"/>
      <c r="D66" s="276"/>
      <c r="E66" s="276"/>
      <c r="F66" s="276"/>
      <c r="G66" s="276"/>
      <c r="H66" s="276"/>
      <c r="I66" s="276"/>
      <c r="J66" s="353"/>
      <c r="K66" s="276"/>
      <c r="L66" s="276"/>
      <c r="M66" s="276"/>
      <c r="N66" s="276"/>
      <c r="O66" s="276"/>
      <c r="P66" s="276"/>
      <c r="Q66" s="276"/>
      <c r="R66" s="276"/>
      <c r="S66" s="276"/>
      <c r="T66" s="276"/>
      <c r="U66" s="276"/>
      <c r="V66" s="276"/>
      <c r="W66" s="276"/>
      <c r="X66" s="276"/>
      <c r="Y66" s="276"/>
      <c r="Z66" s="276"/>
      <c r="AA66" s="276"/>
      <c r="AB66" s="276"/>
      <c r="AC66" s="276"/>
      <c r="AD66" s="276"/>
      <c r="AE66" s="276"/>
      <c r="AF66" s="276"/>
      <c r="AG66" s="276"/>
      <c r="AH66" s="276"/>
      <c r="AI66" s="276"/>
      <c r="AJ66" s="276"/>
      <c r="AK66" s="276"/>
      <c r="AL66" s="276"/>
      <c r="AM66" s="276"/>
      <c r="AN66" s="276"/>
      <c r="AO66" s="276"/>
      <c r="AP66" s="276"/>
      <c r="AQ66" s="276"/>
      <c r="AR66" s="276"/>
      <c r="AS66" s="276"/>
      <c r="AT66" s="276"/>
      <c r="AU66" s="276"/>
      <c r="AV66" s="276"/>
      <c r="AW66" s="276"/>
      <c r="AX66" s="276"/>
      <c r="AY66" s="276"/>
    </row>
    <row r="67" spans="1:51" ht="15.75" customHeight="1" x14ac:dyDescent="0.25">
      <c r="A67" s="276"/>
      <c r="B67" s="276"/>
      <c r="C67" s="353"/>
      <c r="D67" s="276"/>
      <c r="E67" s="276"/>
      <c r="F67" s="276"/>
      <c r="G67" s="276"/>
      <c r="H67" s="276"/>
      <c r="I67" s="276"/>
      <c r="J67" s="353"/>
      <c r="K67" s="276"/>
      <c r="L67" s="276"/>
      <c r="M67" s="276"/>
      <c r="N67" s="276"/>
      <c r="O67" s="276"/>
      <c r="P67" s="276"/>
      <c r="Q67" s="276"/>
      <c r="R67" s="276"/>
      <c r="S67" s="276"/>
      <c r="T67" s="276"/>
      <c r="U67" s="276"/>
      <c r="V67" s="276"/>
      <c r="W67" s="276"/>
      <c r="X67" s="276"/>
      <c r="Y67" s="276"/>
      <c r="Z67" s="276"/>
      <c r="AA67" s="276"/>
      <c r="AB67" s="276"/>
      <c r="AC67" s="276"/>
      <c r="AD67" s="276"/>
      <c r="AE67" s="276"/>
      <c r="AF67" s="276"/>
      <c r="AG67" s="276"/>
      <c r="AH67" s="276"/>
      <c r="AI67" s="276"/>
      <c r="AJ67" s="276"/>
      <c r="AK67" s="276"/>
      <c r="AL67" s="276"/>
      <c r="AM67" s="276"/>
      <c r="AN67" s="276"/>
      <c r="AO67" s="276"/>
      <c r="AP67" s="276"/>
      <c r="AQ67" s="276"/>
      <c r="AR67" s="276"/>
      <c r="AS67" s="276"/>
      <c r="AT67" s="276"/>
      <c r="AU67" s="276"/>
      <c r="AV67" s="276"/>
      <c r="AW67" s="276"/>
      <c r="AX67" s="276"/>
      <c r="AY67" s="276"/>
    </row>
    <row r="68" spans="1:51" ht="15.75" customHeight="1" x14ac:dyDescent="0.25">
      <c r="A68" s="276"/>
      <c r="B68" s="276"/>
      <c r="C68" s="353"/>
      <c r="D68" s="276"/>
      <c r="E68" s="276"/>
      <c r="F68" s="276"/>
      <c r="G68" s="276"/>
      <c r="H68" s="276"/>
      <c r="I68" s="276"/>
      <c r="J68" s="353"/>
      <c r="K68" s="276"/>
      <c r="L68" s="276"/>
      <c r="M68" s="276"/>
      <c r="N68" s="276"/>
      <c r="O68" s="276"/>
      <c r="P68" s="276"/>
      <c r="Q68" s="276"/>
      <c r="R68" s="276"/>
      <c r="S68" s="276"/>
      <c r="T68" s="276"/>
      <c r="U68" s="276"/>
      <c r="V68" s="276"/>
      <c r="W68" s="276"/>
      <c r="X68" s="276"/>
      <c r="Y68" s="276"/>
      <c r="Z68" s="276"/>
      <c r="AA68" s="276"/>
      <c r="AB68" s="276"/>
      <c r="AC68" s="276"/>
      <c r="AD68" s="276"/>
      <c r="AE68" s="276"/>
      <c r="AF68" s="276"/>
      <c r="AG68" s="276"/>
      <c r="AH68" s="276"/>
      <c r="AI68" s="276"/>
      <c r="AJ68" s="276"/>
      <c r="AK68" s="276"/>
      <c r="AL68" s="276"/>
      <c r="AM68" s="276"/>
      <c r="AN68" s="276"/>
      <c r="AO68" s="276"/>
      <c r="AP68" s="276"/>
      <c r="AQ68" s="276"/>
      <c r="AR68" s="276"/>
      <c r="AS68" s="276"/>
      <c r="AT68" s="276"/>
      <c r="AU68" s="276"/>
      <c r="AV68" s="276"/>
      <c r="AW68" s="276"/>
      <c r="AX68" s="276"/>
      <c r="AY68" s="276"/>
    </row>
    <row r="69" spans="1:51" ht="15.75" customHeight="1" x14ac:dyDescent="0.25">
      <c r="A69" s="276"/>
      <c r="B69" s="276"/>
      <c r="C69" s="353"/>
      <c r="D69" s="276"/>
      <c r="E69" s="276"/>
      <c r="F69" s="276"/>
      <c r="G69" s="276"/>
      <c r="H69" s="276"/>
      <c r="I69" s="276"/>
      <c r="J69" s="353"/>
      <c r="K69" s="276"/>
      <c r="L69" s="276"/>
      <c r="M69" s="276"/>
      <c r="N69" s="276"/>
      <c r="O69" s="276"/>
      <c r="P69" s="276"/>
      <c r="Q69" s="276"/>
      <c r="R69" s="276"/>
      <c r="S69" s="276"/>
      <c r="T69" s="276"/>
      <c r="U69" s="276"/>
      <c r="V69" s="276"/>
      <c r="W69" s="276"/>
      <c r="X69" s="276"/>
      <c r="Y69" s="276"/>
      <c r="Z69" s="276"/>
      <c r="AA69" s="276"/>
      <c r="AB69" s="276"/>
      <c r="AC69" s="276"/>
      <c r="AD69" s="276"/>
      <c r="AE69" s="276"/>
      <c r="AF69" s="276"/>
      <c r="AG69" s="276"/>
      <c r="AH69" s="276"/>
      <c r="AI69" s="276"/>
      <c r="AJ69" s="276"/>
      <c r="AK69" s="276"/>
      <c r="AL69" s="276"/>
      <c r="AM69" s="276"/>
      <c r="AN69" s="276"/>
      <c r="AO69" s="276"/>
      <c r="AP69" s="276"/>
      <c r="AQ69" s="276"/>
      <c r="AR69" s="276"/>
      <c r="AS69" s="276"/>
      <c r="AT69" s="276"/>
      <c r="AU69" s="276"/>
      <c r="AV69" s="276"/>
      <c r="AW69" s="276"/>
      <c r="AX69" s="276"/>
      <c r="AY69" s="276"/>
    </row>
    <row r="70" spans="1:51" ht="15.75" customHeight="1" x14ac:dyDescent="0.25">
      <c r="A70" s="276"/>
      <c r="B70" s="276"/>
      <c r="C70" s="353"/>
      <c r="D70" s="276"/>
      <c r="E70" s="276"/>
      <c r="F70" s="276"/>
      <c r="G70" s="276"/>
      <c r="H70" s="276"/>
      <c r="I70" s="276"/>
      <c r="J70" s="353"/>
      <c r="K70" s="276"/>
      <c r="L70" s="276"/>
      <c r="M70" s="276"/>
      <c r="N70" s="276"/>
      <c r="O70" s="276"/>
      <c r="P70" s="276"/>
      <c r="Q70" s="276"/>
      <c r="R70" s="276"/>
      <c r="S70" s="276"/>
      <c r="T70" s="276"/>
      <c r="U70" s="276"/>
      <c r="V70" s="276"/>
      <c r="W70" s="276"/>
      <c r="X70" s="276"/>
      <c r="Y70" s="276"/>
      <c r="Z70" s="276"/>
      <c r="AA70" s="276"/>
      <c r="AB70" s="276"/>
      <c r="AC70" s="276"/>
      <c r="AD70" s="276"/>
      <c r="AE70" s="276"/>
      <c r="AF70" s="276"/>
      <c r="AG70" s="276"/>
      <c r="AH70" s="276"/>
      <c r="AI70" s="276"/>
      <c r="AJ70" s="276"/>
      <c r="AK70" s="276"/>
      <c r="AL70" s="276"/>
      <c r="AM70" s="276"/>
      <c r="AN70" s="276"/>
      <c r="AO70" s="276"/>
      <c r="AP70" s="276"/>
      <c r="AQ70" s="276"/>
      <c r="AR70" s="276"/>
      <c r="AS70" s="276"/>
      <c r="AT70" s="276"/>
      <c r="AU70" s="276"/>
      <c r="AV70" s="276"/>
      <c r="AW70" s="276"/>
      <c r="AX70" s="276"/>
      <c r="AY70" s="276"/>
    </row>
    <row r="71" spans="1:51" ht="15.75" customHeight="1" x14ac:dyDescent="0.25">
      <c r="A71" s="276"/>
      <c r="B71" s="276"/>
      <c r="C71" s="353"/>
      <c r="D71" s="276"/>
      <c r="E71" s="276"/>
      <c r="F71" s="276"/>
      <c r="G71" s="276"/>
      <c r="H71" s="276"/>
      <c r="I71" s="276"/>
      <c r="J71" s="353"/>
      <c r="K71" s="276"/>
      <c r="L71" s="276"/>
      <c r="M71" s="276"/>
      <c r="N71" s="276"/>
      <c r="O71" s="276"/>
      <c r="P71" s="276"/>
      <c r="Q71" s="276"/>
      <c r="R71" s="276"/>
      <c r="S71" s="276"/>
      <c r="T71" s="276"/>
      <c r="U71" s="276"/>
      <c r="V71" s="276"/>
      <c r="W71" s="276"/>
      <c r="X71" s="276"/>
      <c r="Y71" s="276"/>
      <c r="Z71" s="276"/>
      <c r="AA71" s="276"/>
      <c r="AB71" s="276"/>
      <c r="AC71" s="276"/>
      <c r="AD71" s="276"/>
      <c r="AE71" s="276"/>
      <c r="AF71" s="276"/>
      <c r="AG71" s="276"/>
      <c r="AH71" s="276"/>
      <c r="AI71" s="276"/>
      <c r="AJ71" s="276"/>
      <c r="AK71" s="276"/>
      <c r="AL71" s="276"/>
      <c r="AM71" s="276"/>
      <c r="AN71" s="276"/>
      <c r="AO71" s="276"/>
      <c r="AP71" s="276"/>
      <c r="AQ71" s="276"/>
      <c r="AR71" s="276"/>
      <c r="AS71" s="276"/>
      <c r="AT71" s="276"/>
      <c r="AU71" s="276"/>
      <c r="AV71" s="276"/>
      <c r="AW71" s="276"/>
      <c r="AX71" s="276"/>
      <c r="AY71" s="276"/>
    </row>
    <row r="72" spans="1:51" ht="15.75" customHeight="1" x14ac:dyDescent="0.25">
      <c r="A72" s="276"/>
      <c r="B72" s="276"/>
      <c r="C72" s="353"/>
      <c r="D72" s="276"/>
      <c r="E72" s="276"/>
      <c r="F72" s="276"/>
      <c r="G72" s="276"/>
      <c r="H72" s="276"/>
      <c r="I72" s="276"/>
      <c r="J72" s="353"/>
      <c r="K72" s="276"/>
      <c r="L72" s="276"/>
      <c r="M72" s="276"/>
      <c r="N72" s="276"/>
      <c r="O72" s="276"/>
      <c r="P72" s="276"/>
      <c r="Q72" s="276"/>
      <c r="R72" s="276"/>
      <c r="S72" s="276"/>
      <c r="T72" s="276"/>
      <c r="U72" s="276"/>
      <c r="V72" s="276"/>
      <c r="W72" s="276"/>
      <c r="X72" s="276"/>
      <c r="Y72" s="276"/>
      <c r="Z72" s="276"/>
      <c r="AA72" s="276"/>
      <c r="AB72" s="276"/>
      <c r="AC72" s="276"/>
      <c r="AD72" s="276"/>
      <c r="AE72" s="276"/>
      <c r="AF72" s="276"/>
      <c r="AG72" s="276"/>
      <c r="AH72" s="276"/>
      <c r="AI72" s="276"/>
      <c r="AJ72" s="276"/>
      <c r="AK72" s="276"/>
      <c r="AL72" s="276"/>
      <c r="AM72" s="276"/>
      <c r="AN72" s="276"/>
      <c r="AO72" s="276"/>
      <c r="AP72" s="276"/>
      <c r="AQ72" s="276"/>
      <c r="AR72" s="276"/>
      <c r="AS72" s="276"/>
      <c r="AT72" s="276"/>
      <c r="AU72" s="276"/>
      <c r="AV72" s="276"/>
      <c r="AW72" s="276"/>
      <c r="AX72" s="276"/>
      <c r="AY72" s="276"/>
    </row>
    <row r="73" spans="1:51" ht="15.75" customHeight="1" x14ac:dyDescent="0.25">
      <c r="A73" s="276"/>
      <c r="B73" s="276"/>
      <c r="C73" s="353"/>
      <c r="D73" s="276"/>
      <c r="E73" s="276"/>
      <c r="F73" s="276"/>
      <c r="G73" s="276"/>
      <c r="H73" s="276"/>
      <c r="I73" s="276"/>
      <c r="J73" s="353"/>
      <c r="K73" s="276"/>
      <c r="L73" s="276"/>
      <c r="M73" s="276"/>
      <c r="N73" s="276"/>
      <c r="O73" s="276"/>
      <c r="P73" s="276"/>
      <c r="Q73" s="276"/>
      <c r="R73" s="276"/>
      <c r="S73" s="276"/>
      <c r="T73" s="276"/>
      <c r="U73" s="276"/>
      <c r="V73" s="276"/>
      <c r="W73" s="276"/>
      <c r="X73" s="276"/>
      <c r="Y73" s="276"/>
      <c r="Z73" s="276"/>
      <c r="AA73" s="276"/>
      <c r="AB73" s="276"/>
      <c r="AC73" s="276"/>
      <c r="AD73" s="276"/>
      <c r="AE73" s="276"/>
      <c r="AF73" s="276"/>
      <c r="AG73" s="276"/>
      <c r="AH73" s="276"/>
      <c r="AI73" s="276"/>
      <c r="AJ73" s="276"/>
      <c r="AK73" s="276"/>
      <c r="AL73" s="276"/>
      <c r="AM73" s="276"/>
      <c r="AN73" s="276"/>
      <c r="AO73" s="276"/>
      <c r="AP73" s="276"/>
      <c r="AQ73" s="276"/>
      <c r="AR73" s="276"/>
      <c r="AS73" s="276"/>
      <c r="AT73" s="276"/>
      <c r="AU73" s="276"/>
      <c r="AV73" s="276"/>
      <c r="AW73" s="276"/>
      <c r="AX73" s="276"/>
      <c r="AY73" s="276"/>
    </row>
    <row r="74" spans="1:51" ht="15.75" customHeight="1" x14ac:dyDescent="0.25">
      <c r="A74" s="276"/>
      <c r="B74" s="276"/>
      <c r="C74" s="353"/>
      <c r="D74" s="276"/>
      <c r="E74" s="276"/>
      <c r="F74" s="276"/>
      <c r="G74" s="276"/>
      <c r="H74" s="276"/>
      <c r="I74" s="276"/>
      <c r="J74" s="353"/>
      <c r="K74" s="276"/>
      <c r="L74" s="276"/>
      <c r="M74" s="276"/>
      <c r="N74" s="276"/>
      <c r="O74" s="276"/>
      <c r="P74" s="276"/>
      <c r="Q74" s="276"/>
      <c r="R74" s="276"/>
      <c r="S74" s="276"/>
      <c r="T74" s="276"/>
      <c r="U74" s="276"/>
      <c r="V74" s="276"/>
      <c r="W74" s="276"/>
      <c r="X74" s="276"/>
      <c r="Y74" s="276"/>
      <c r="Z74" s="276"/>
      <c r="AA74" s="276"/>
      <c r="AB74" s="276"/>
      <c r="AC74" s="276"/>
      <c r="AD74" s="276"/>
      <c r="AE74" s="276"/>
      <c r="AF74" s="276"/>
      <c r="AG74" s="276"/>
      <c r="AH74" s="276"/>
      <c r="AI74" s="276"/>
      <c r="AJ74" s="276"/>
      <c r="AK74" s="276"/>
      <c r="AL74" s="276"/>
      <c r="AM74" s="276"/>
      <c r="AN74" s="276"/>
      <c r="AO74" s="276"/>
      <c r="AP74" s="276"/>
      <c r="AQ74" s="276"/>
      <c r="AR74" s="276"/>
      <c r="AS74" s="276"/>
      <c r="AT74" s="276"/>
      <c r="AU74" s="276"/>
      <c r="AV74" s="276"/>
      <c r="AW74" s="276"/>
      <c r="AX74" s="276"/>
      <c r="AY74" s="276"/>
    </row>
    <row r="75" spans="1:51" ht="15.75" customHeight="1" x14ac:dyDescent="0.25">
      <c r="A75" s="276"/>
      <c r="B75" s="276"/>
      <c r="C75" s="353"/>
      <c r="D75" s="276"/>
      <c r="E75" s="276"/>
      <c r="F75" s="276"/>
      <c r="G75" s="276"/>
      <c r="H75" s="276"/>
      <c r="I75" s="276"/>
      <c r="J75" s="353"/>
      <c r="K75" s="276"/>
      <c r="L75" s="276"/>
      <c r="M75" s="276"/>
      <c r="N75" s="276"/>
      <c r="O75" s="276"/>
      <c r="P75" s="276"/>
      <c r="Q75" s="276"/>
      <c r="R75" s="276"/>
      <c r="S75" s="276"/>
      <c r="T75" s="276"/>
      <c r="U75" s="276"/>
      <c r="V75" s="276"/>
      <c r="W75" s="276"/>
      <c r="X75" s="276"/>
      <c r="Y75" s="276"/>
      <c r="Z75" s="276"/>
      <c r="AA75" s="276"/>
      <c r="AB75" s="276"/>
      <c r="AC75" s="276"/>
      <c r="AD75" s="276"/>
      <c r="AE75" s="276"/>
      <c r="AF75" s="276"/>
      <c r="AG75" s="276"/>
      <c r="AH75" s="276"/>
      <c r="AI75" s="276"/>
      <c r="AJ75" s="276"/>
      <c r="AK75" s="276"/>
      <c r="AL75" s="276"/>
      <c r="AM75" s="276"/>
      <c r="AN75" s="276"/>
      <c r="AO75" s="276"/>
      <c r="AP75" s="276"/>
      <c r="AQ75" s="276"/>
      <c r="AR75" s="276"/>
      <c r="AS75" s="276"/>
      <c r="AT75" s="276"/>
      <c r="AU75" s="276"/>
      <c r="AV75" s="276"/>
      <c r="AW75" s="276"/>
      <c r="AX75" s="276"/>
      <c r="AY75" s="276"/>
    </row>
    <row r="76" spans="1:51" ht="15.75" customHeight="1" x14ac:dyDescent="0.25">
      <c r="A76" s="276"/>
      <c r="B76" s="276"/>
      <c r="C76" s="353"/>
      <c r="D76" s="276"/>
      <c r="E76" s="276"/>
      <c r="F76" s="276"/>
      <c r="G76" s="276"/>
      <c r="H76" s="276"/>
      <c r="I76" s="276"/>
      <c r="J76" s="353"/>
      <c r="K76" s="276"/>
      <c r="L76" s="276"/>
      <c r="M76" s="276"/>
      <c r="N76" s="276"/>
      <c r="O76" s="276"/>
      <c r="P76" s="276"/>
      <c r="Q76" s="276"/>
      <c r="R76" s="276"/>
      <c r="S76" s="276"/>
      <c r="T76" s="276"/>
      <c r="U76" s="276"/>
      <c r="V76" s="276"/>
      <c r="W76" s="276"/>
      <c r="X76" s="276"/>
      <c r="Y76" s="276"/>
      <c r="Z76" s="276"/>
      <c r="AA76" s="276"/>
      <c r="AB76" s="276"/>
      <c r="AC76" s="276"/>
      <c r="AD76" s="276"/>
      <c r="AE76" s="276"/>
      <c r="AF76" s="276"/>
      <c r="AG76" s="276"/>
      <c r="AH76" s="276"/>
      <c r="AI76" s="276"/>
      <c r="AJ76" s="276"/>
      <c r="AK76" s="276"/>
      <c r="AL76" s="276"/>
      <c r="AM76" s="276"/>
      <c r="AN76" s="276"/>
      <c r="AO76" s="276"/>
      <c r="AP76" s="276"/>
      <c r="AQ76" s="276"/>
      <c r="AR76" s="276"/>
      <c r="AS76" s="276"/>
      <c r="AT76" s="276"/>
      <c r="AU76" s="276"/>
      <c r="AV76" s="276"/>
      <c r="AW76" s="276"/>
      <c r="AX76" s="276"/>
      <c r="AY76" s="276"/>
    </row>
    <row r="77" spans="1:51" ht="15.75" customHeight="1" x14ac:dyDescent="0.25">
      <c r="A77" s="276"/>
      <c r="B77" s="276"/>
      <c r="C77" s="353"/>
      <c r="D77" s="276"/>
      <c r="E77" s="276"/>
      <c r="F77" s="276"/>
      <c r="G77" s="276"/>
      <c r="H77" s="276"/>
      <c r="I77" s="276"/>
      <c r="J77" s="353"/>
      <c r="K77" s="276"/>
      <c r="L77" s="276"/>
      <c r="M77" s="276"/>
      <c r="N77" s="276"/>
      <c r="O77" s="276"/>
      <c r="P77" s="276"/>
      <c r="Q77" s="276"/>
      <c r="R77" s="276"/>
      <c r="S77" s="276"/>
      <c r="T77" s="276"/>
      <c r="U77" s="276"/>
      <c r="V77" s="276"/>
      <c r="W77" s="276"/>
      <c r="X77" s="276"/>
      <c r="Y77" s="276"/>
      <c r="Z77" s="276"/>
      <c r="AA77" s="276"/>
      <c r="AB77" s="276"/>
      <c r="AC77" s="276"/>
      <c r="AD77" s="276"/>
      <c r="AE77" s="276"/>
      <c r="AF77" s="276"/>
      <c r="AG77" s="276"/>
      <c r="AH77" s="276"/>
      <c r="AI77" s="276"/>
      <c r="AJ77" s="276"/>
      <c r="AK77" s="276"/>
      <c r="AL77" s="276"/>
      <c r="AM77" s="276"/>
      <c r="AN77" s="276"/>
      <c r="AO77" s="276"/>
      <c r="AP77" s="276"/>
      <c r="AQ77" s="276"/>
      <c r="AR77" s="276"/>
      <c r="AS77" s="276"/>
      <c r="AT77" s="276"/>
      <c r="AU77" s="276"/>
      <c r="AV77" s="276"/>
      <c r="AW77" s="276"/>
      <c r="AX77" s="276"/>
      <c r="AY77" s="276"/>
    </row>
    <row r="78" spans="1:51" ht="15.75" customHeight="1" x14ac:dyDescent="0.25">
      <c r="A78" s="276"/>
      <c r="B78" s="276"/>
      <c r="C78" s="353"/>
      <c r="D78" s="276"/>
      <c r="E78" s="276"/>
      <c r="F78" s="276"/>
      <c r="G78" s="276"/>
      <c r="H78" s="276"/>
      <c r="I78" s="276"/>
      <c r="J78" s="353"/>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c r="AQ78" s="276"/>
      <c r="AR78" s="276"/>
      <c r="AS78" s="276"/>
      <c r="AT78" s="276"/>
      <c r="AU78" s="276"/>
      <c r="AV78" s="276"/>
      <c r="AW78" s="276"/>
      <c r="AX78" s="276"/>
      <c r="AY78" s="276"/>
    </row>
    <row r="79" spans="1:51" ht="15.75" customHeight="1" x14ac:dyDescent="0.25">
      <c r="A79" s="276"/>
      <c r="B79" s="276"/>
      <c r="C79" s="353"/>
      <c r="D79" s="276"/>
      <c r="E79" s="276"/>
      <c r="F79" s="276"/>
      <c r="G79" s="276"/>
      <c r="H79" s="276"/>
      <c r="I79" s="276"/>
      <c r="J79" s="353"/>
      <c r="K79" s="276"/>
      <c r="L79" s="276"/>
      <c r="M79" s="276"/>
      <c r="N79" s="276"/>
      <c r="O79" s="276"/>
      <c r="P79" s="276"/>
      <c r="Q79" s="276"/>
      <c r="R79" s="276"/>
      <c r="S79" s="276"/>
      <c r="T79" s="276"/>
      <c r="U79" s="276"/>
      <c r="V79" s="276"/>
      <c r="W79" s="276"/>
      <c r="X79" s="276"/>
      <c r="Y79" s="276"/>
      <c r="Z79" s="276"/>
      <c r="AA79" s="276"/>
      <c r="AB79" s="276"/>
      <c r="AC79" s="276"/>
      <c r="AD79" s="276"/>
      <c r="AE79" s="276"/>
      <c r="AF79" s="276"/>
      <c r="AG79" s="276"/>
      <c r="AH79" s="276"/>
      <c r="AI79" s="276"/>
      <c r="AJ79" s="276"/>
      <c r="AK79" s="276"/>
      <c r="AL79" s="276"/>
      <c r="AM79" s="276"/>
      <c r="AN79" s="276"/>
      <c r="AO79" s="276"/>
      <c r="AP79" s="276"/>
      <c r="AQ79" s="276"/>
      <c r="AR79" s="276"/>
      <c r="AS79" s="276"/>
      <c r="AT79" s="276"/>
      <c r="AU79" s="276"/>
      <c r="AV79" s="276"/>
      <c r="AW79" s="276"/>
      <c r="AX79" s="276"/>
      <c r="AY79" s="276"/>
    </row>
    <row r="80" spans="1:51" ht="15.75" customHeight="1" x14ac:dyDescent="0.25">
      <c r="A80" s="276"/>
      <c r="B80" s="276"/>
      <c r="C80" s="353"/>
      <c r="D80" s="276"/>
      <c r="E80" s="276"/>
      <c r="F80" s="276"/>
      <c r="G80" s="276"/>
      <c r="H80" s="276"/>
      <c r="I80" s="276"/>
      <c r="J80" s="353"/>
      <c r="K80" s="276"/>
      <c r="L80" s="276"/>
      <c r="M80" s="276"/>
      <c r="N80" s="276"/>
      <c r="O80" s="276"/>
      <c r="P80" s="276"/>
      <c r="Q80" s="276"/>
      <c r="R80" s="276"/>
      <c r="S80" s="276"/>
      <c r="T80" s="276"/>
      <c r="U80" s="276"/>
      <c r="V80" s="276"/>
      <c r="W80" s="276"/>
      <c r="X80" s="276"/>
      <c r="Y80" s="276"/>
      <c r="Z80" s="276"/>
      <c r="AA80" s="276"/>
      <c r="AB80" s="276"/>
      <c r="AC80" s="276"/>
      <c r="AD80" s="276"/>
      <c r="AE80" s="276"/>
      <c r="AF80" s="276"/>
      <c r="AG80" s="276"/>
      <c r="AH80" s="276"/>
      <c r="AI80" s="276"/>
      <c r="AJ80" s="276"/>
      <c r="AK80" s="276"/>
      <c r="AL80" s="276"/>
      <c r="AM80" s="276"/>
      <c r="AN80" s="276"/>
      <c r="AO80" s="276"/>
      <c r="AP80" s="276"/>
      <c r="AQ80" s="276"/>
      <c r="AR80" s="276"/>
      <c r="AS80" s="276"/>
      <c r="AT80" s="276"/>
      <c r="AU80" s="276"/>
      <c r="AV80" s="276"/>
      <c r="AW80" s="276"/>
      <c r="AX80" s="276"/>
      <c r="AY80" s="276"/>
    </row>
    <row r="81" spans="1:51" ht="15.75" customHeight="1" x14ac:dyDescent="0.25">
      <c r="A81" s="276"/>
      <c r="B81" s="276"/>
      <c r="C81" s="353"/>
      <c r="D81" s="276"/>
      <c r="E81" s="276"/>
      <c r="F81" s="276"/>
      <c r="G81" s="276"/>
      <c r="H81" s="276"/>
      <c r="I81" s="276"/>
      <c r="J81" s="353"/>
      <c r="K81" s="276"/>
      <c r="L81" s="276"/>
      <c r="M81" s="276"/>
      <c r="N81" s="276"/>
      <c r="O81" s="276"/>
      <c r="P81" s="276"/>
      <c r="Q81" s="276"/>
      <c r="R81" s="276"/>
      <c r="S81" s="276"/>
      <c r="T81" s="276"/>
      <c r="U81" s="276"/>
      <c r="V81" s="276"/>
      <c r="W81" s="276"/>
      <c r="X81" s="276"/>
      <c r="Y81" s="276"/>
      <c r="Z81" s="276"/>
      <c r="AA81" s="276"/>
      <c r="AB81" s="276"/>
      <c r="AC81" s="276"/>
      <c r="AD81" s="276"/>
      <c r="AE81" s="276"/>
      <c r="AF81" s="276"/>
      <c r="AG81" s="276"/>
      <c r="AH81" s="276"/>
      <c r="AI81" s="276"/>
      <c r="AJ81" s="276"/>
      <c r="AK81" s="276"/>
      <c r="AL81" s="276"/>
      <c r="AM81" s="276"/>
      <c r="AN81" s="276"/>
      <c r="AO81" s="276"/>
      <c r="AP81" s="276"/>
      <c r="AQ81" s="276"/>
      <c r="AR81" s="276"/>
      <c r="AS81" s="276"/>
      <c r="AT81" s="276"/>
      <c r="AU81" s="276"/>
      <c r="AV81" s="276"/>
      <c r="AW81" s="276"/>
      <c r="AX81" s="276"/>
      <c r="AY81" s="276"/>
    </row>
    <row r="82" spans="1:51" ht="15.75" customHeight="1" x14ac:dyDescent="0.25">
      <c r="A82" s="276"/>
      <c r="B82" s="276"/>
      <c r="C82" s="353"/>
      <c r="D82" s="276"/>
      <c r="E82" s="276"/>
      <c r="F82" s="276"/>
      <c r="G82" s="276"/>
      <c r="H82" s="276"/>
      <c r="I82" s="276"/>
      <c r="J82" s="353"/>
      <c r="K82" s="276"/>
      <c r="L82" s="276"/>
      <c r="M82" s="276"/>
      <c r="N82" s="276"/>
      <c r="O82" s="276"/>
      <c r="P82" s="276"/>
      <c r="Q82" s="276"/>
      <c r="R82" s="276"/>
      <c r="S82" s="276"/>
      <c r="T82" s="276"/>
      <c r="U82" s="276"/>
      <c r="V82" s="276"/>
      <c r="W82" s="276"/>
      <c r="X82" s="276"/>
      <c r="Y82" s="276"/>
      <c r="Z82" s="276"/>
      <c r="AA82" s="276"/>
      <c r="AB82" s="276"/>
      <c r="AC82" s="276"/>
      <c r="AD82" s="276"/>
      <c r="AE82" s="276"/>
      <c r="AF82" s="276"/>
      <c r="AG82" s="276"/>
      <c r="AH82" s="276"/>
      <c r="AI82" s="276"/>
      <c r="AJ82" s="276"/>
      <c r="AK82" s="276"/>
      <c r="AL82" s="276"/>
      <c r="AM82" s="276"/>
      <c r="AN82" s="276"/>
      <c r="AO82" s="276"/>
      <c r="AP82" s="276"/>
      <c r="AQ82" s="276"/>
      <c r="AR82" s="276"/>
      <c r="AS82" s="276"/>
      <c r="AT82" s="276"/>
      <c r="AU82" s="276"/>
      <c r="AV82" s="276"/>
      <c r="AW82" s="276"/>
      <c r="AX82" s="276"/>
      <c r="AY82" s="276"/>
    </row>
    <row r="83" spans="1:51" ht="15.75" customHeight="1" x14ac:dyDescent="0.25">
      <c r="A83" s="276"/>
      <c r="B83" s="276"/>
      <c r="C83" s="353"/>
      <c r="D83" s="276"/>
      <c r="E83" s="276"/>
      <c r="F83" s="276"/>
      <c r="G83" s="276"/>
      <c r="H83" s="276"/>
      <c r="I83" s="276"/>
      <c r="J83" s="353"/>
      <c r="K83" s="276"/>
      <c r="L83" s="276"/>
      <c r="M83" s="276"/>
      <c r="N83" s="276"/>
      <c r="O83" s="276"/>
      <c r="P83" s="276"/>
      <c r="Q83" s="276"/>
      <c r="R83" s="276"/>
      <c r="S83" s="276"/>
      <c r="T83" s="276"/>
      <c r="U83" s="276"/>
      <c r="V83" s="276"/>
      <c r="W83" s="276"/>
      <c r="X83" s="276"/>
      <c r="Y83" s="276"/>
      <c r="Z83" s="276"/>
      <c r="AA83" s="276"/>
      <c r="AB83" s="276"/>
      <c r="AC83" s="276"/>
      <c r="AD83" s="276"/>
      <c r="AE83" s="276"/>
      <c r="AF83" s="276"/>
      <c r="AG83" s="276"/>
      <c r="AH83" s="276"/>
      <c r="AI83" s="276"/>
      <c r="AJ83" s="276"/>
      <c r="AK83" s="276"/>
      <c r="AL83" s="276"/>
      <c r="AM83" s="276"/>
      <c r="AN83" s="276"/>
      <c r="AO83" s="276"/>
      <c r="AP83" s="276"/>
      <c r="AQ83" s="276"/>
      <c r="AR83" s="276"/>
      <c r="AS83" s="276"/>
      <c r="AT83" s="276"/>
      <c r="AU83" s="276"/>
      <c r="AV83" s="276"/>
      <c r="AW83" s="276"/>
      <c r="AX83" s="276"/>
      <c r="AY83" s="276"/>
    </row>
    <row r="84" spans="1:51" ht="15.75" customHeight="1" x14ac:dyDescent="0.25">
      <c r="A84" s="276"/>
      <c r="B84" s="276"/>
      <c r="C84" s="353"/>
      <c r="D84" s="276"/>
      <c r="E84" s="276"/>
      <c r="F84" s="276"/>
      <c r="G84" s="276"/>
      <c r="H84" s="276"/>
      <c r="I84" s="276"/>
      <c r="J84" s="353"/>
      <c r="K84" s="276"/>
      <c r="L84" s="276"/>
      <c r="M84" s="276"/>
      <c r="N84" s="276"/>
      <c r="O84" s="276"/>
      <c r="P84" s="276"/>
      <c r="Q84" s="276"/>
      <c r="R84" s="276"/>
      <c r="S84" s="276"/>
      <c r="T84" s="276"/>
      <c r="U84" s="276"/>
      <c r="V84" s="276"/>
      <c r="W84" s="276"/>
      <c r="X84" s="276"/>
      <c r="Y84" s="276"/>
      <c r="Z84" s="276"/>
      <c r="AA84" s="276"/>
      <c r="AB84" s="276"/>
      <c r="AC84" s="276"/>
      <c r="AD84" s="276"/>
      <c r="AE84" s="276"/>
      <c r="AF84" s="276"/>
      <c r="AG84" s="276"/>
      <c r="AH84" s="276"/>
      <c r="AI84" s="276"/>
      <c r="AJ84" s="276"/>
      <c r="AK84" s="276"/>
      <c r="AL84" s="276"/>
      <c r="AM84" s="276"/>
      <c r="AN84" s="276"/>
      <c r="AO84" s="276"/>
      <c r="AP84" s="276"/>
      <c r="AQ84" s="276"/>
      <c r="AR84" s="276"/>
      <c r="AS84" s="276"/>
      <c r="AT84" s="276"/>
      <c r="AU84" s="276"/>
      <c r="AV84" s="276"/>
      <c r="AW84" s="276"/>
      <c r="AX84" s="276"/>
      <c r="AY84" s="276"/>
    </row>
    <row r="85" spans="1:51" ht="15.75" customHeight="1" x14ac:dyDescent="0.25">
      <c r="A85" s="276"/>
      <c r="B85" s="276"/>
      <c r="C85" s="353"/>
      <c r="D85" s="276"/>
      <c r="E85" s="276"/>
      <c r="F85" s="276"/>
      <c r="G85" s="276"/>
      <c r="H85" s="276"/>
      <c r="I85" s="276"/>
      <c r="J85" s="353"/>
      <c r="K85" s="276"/>
      <c r="L85" s="276"/>
      <c r="M85" s="276"/>
      <c r="N85" s="276"/>
      <c r="O85" s="276"/>
      <c r="P85" s="276"/>
      <c r="Q85" s="276"/>
      <c r="R85" s="276"/>
      <c r="S85" s="276"/>
      <c r="T85" s="276"/>
      <c r="U85" s="276"/>
      <c r="V85" s="276"/>
      <c r="W85" s="276"/>
      <c r="X85" s="276"/>
      <c r="Y85" s="276"/>
      <c r="Z85" s="276"/>
      <c r="AA85" s="276"/>
      <c r="AB85" s="276"/>
      <c r="AC85" s="276"/>
      <c r="AD85" s="276"/>
      <c r="AE85" s="276"/>
      <c r="AF85" s="276"/>
      <c r="AG85" s="276"/>
      <c r="AH85" s="276"/>
      <c r="AI85" s="276"/>
      <c r="AJ85" s="276"/>
      <c r="AK85" s="276"/>
      <c r="AL85" s="276"/>
      <c r="AM85" s="276"/>
      <c r="AN85" s="276"/>
      <c r="AO85" s="276"/>
      <c r="AP85" s="276"/>
      <c r="AQ85" s="276"/>
      <c r="AR85" s="276"/>
      <c r="AS85" s="276"/>
      <c r="AT85" s="276"/>
      <c r="AU85" s="276"/>
      <c r="AV85" s="276"/>
      <c r="AW85" s="276"/>
      <c r="AX85" s="276"/>
      <c r="AY85" s="276"/>
    </row>
    <row r="86" spans="1:51" ht="15.75" customHeight="1" x14ac:dyDescent="0.25">
      <c r="A86" s="276"/>
      <c r="B86" s="276"/>
      <c r="C86" s="353"/>
      <c r="D86" s="276"/>
      <c r="E86" s="276"/>
      <c r="F86" s="276"/>
      <c r="G86" s="276"/>
      <c r="H86" s="276"/>
      <c r="I86" s="276"/>
      <c r="J86" s="353"/>
      <c r="K86" s="276"/>
      <c r="L86" s="276"/>
      <c r="M86" s="276"/>
      <c r="N86" s="276"/>
      <c r="O86" s="276"/>
      <c r="P86" s="276"/>
      <c r="Q86" s="276"/>
      <c r="R86" s="276"/>
      <c r="S86" s="276"/>
      <c r="T86" s="276"/>
      <c r="U86" s="276"/>
      <c r="V86" s="276"/>
      <c r="W86" s="276"/>
      <c r="X86" s="276"/>
      <c r="Y86" s="276"/>
      <c r="Z86" s="276"/>
      <c r="AA86" s="276"/>
      <c r="AB86" s="276"/>
      <c r="AC86" s="276"/>
      <c r="AD86" s="276"/>
      <c r="AE86" s="276"/>
      <c r="AF86" s="276"/>
      <c r="AG86" s="276"/>
      <c r="AH86" s="276"/>
      <c r="AI86" s="276"/>
      <c r="AJ86" s="276"/>
      <c r="AK86" s="276"/>
      <c r="AL86" s="276"/>
      <c r="AM86" s="276"/>
      <c r="AN86" s="276"/>
      <c r="AO86" s="276"/>
      <c r="AP86" s="276"/>
      <c r="AQ86" s="276"/>
      <c r="AR86" s="276"/>
      <c r="AS86" s="276"/>
      <c r="AT86" s="276"/>
      <c r="AU86" s="276"/>
      <c r="AV86" s="276"/>
      <c r="AW86" s="276"/>
      <c r="AX86" s="276"/>
      <c r="AY86" s="276"/>
    </row>
    <row r="87" spans="1:51" ht="15.75" customHeight="1" x14ac:dyDescent="0.25">
      <c r="A87" s="276"/>
      <c r="B87" s="276"/>
      <c r="C87" s="353"/>
      <c r="D87" s="276"/>
      <c r="E87" s="276"/>
      <c r="F87" s="276"/>
      <c r="G87" s="276"/>
      <c r="H87" s="276"/>
      <c r="I87" s="276"/>
      <c r="J87" s="353"/>
      <c r="K87" s="276"/>
      <c r="L87" s="276"/>
      <c r="M87" s="276"/>
      <c r="N87" s="276"/>
      <c r="O87" s="276"/>
      <c r="P87" s="276"/>
      <c r="Q87" s="276"/>
      <c r="R87" s="276"/>
      <c r="S87" s="276"/>
      <c r="T87" s="276"/>
      <c r="U87" s="276"/>
      <c r="V87" s="276"/>
      <c r="W87" s="276"/>
      <c r="X87" s="276"/>
      <c r="Y87" s="276"/>
      <c r="Z87" s="276"/>
      <c r="AA87" s="276"/>
      <c r="AB87" s="276"/>
      <c r="AC87" s="276"/>
      <c r="AD87" s="276"/>
      <c r="AE87" s="276"/>
      <c r="AF87" s="276"/>
      <c r="AG87" s="276"/>
      <c r="AH87" s="276"/>
      <c r="AI87" s="276"/>
      <c r="AJ87" s="276"/>
      <c r="AK87" s="276"/>
      <c r="AL87" s="276"/>
      <c r="AM87" s="276"/>
      <c r="AN87" s="276"/>
      <c r="AO87" s="276"/>
      <c r="AP87" s="276"/>
      <c r="AQ87" s="276"/>
      <c r="AR87" s="276"/>
      <c r="AS87" s="276"/>
      <c r="AT87" s="276"/>
      <c r="AU87" s="276"/>
      <c r="AV87" s="276"/>
      <c r="AW87" s="276"/>
      <c r="AX87" s="276"/>
      <c r="AY87" s="276"/>
    </row>
    <row r="88" spans="1:51" ht="15.75" customHeight="1" x14ac:dyDescent="0.25">
      <c r="A88" s="276"/>
      <c r="B88" s="276"/>
      <c r="C88" s="353"/>
      <c r="D88" s="276"/>
      <c r="E88" s="276"/>
      <c r="F88" s="276"/>
      <c r="G88" s="276"/>
      <c r="H88" s="276"/>
      <c r="I88" s="276"/>
      <c r="J88" s="353"/>
      <c r="K88" s="276"/>
      <c r="L88" s="276"/>
      <c r="M88" s="276"/>
      <c r="N88" s="276"/>
      <c r="O88" s="276"/>
      <c r="P88" s="276"/>
      <c r="Q88" s="276"/>
      <c r="R88" s="276"/>
      <c r="S88" s="276"/>
      <c r="T88" s="276"/>
      <c r="U88" s="276"/>
      <c r="V88" s="276"/>
      <c r="W88" s="276"/>
      <c r="X88" s="276"/>
      <c r="Y88" s="276"/>
      <c r="Z88" s="276"/>
      <c r="AA88" s="276"/>
      <c r="AB88" s="276"/>
      <c r="AC88" s="276"/>
      <c r="AD88" s="276"/>
      <c r="AE88" s="276"/>
      <c r="AF88" s="276"/>
      <c r="AG88" s="276"/>
      <c r="AH88" s="276"/>
      <c r="AI88" s="276"/>
      <c r="AJ88" s="276"/>
      <c r="AK88" s="276"/>
      <c r="AL88" s="276"/>
      <c r="AM88" s="276"/>
      <c r="AN88" s="276"/>
      <c r="AO88" s="276"/>
      <c r="AP88" s="276"/>
      <c r="AQ88" s="276"/>
      <c r="AR88" s="276"/>
      <c r="AS88" s="276"/>
      <c r="AT88" s="276"/>
      <c r="AU88" s="276"/>
      <c r="AV88" s="276"/>
      <c r="AW88" s="276"/>
      <c r="AX88" s="276"/>
      <c r="AY88" s="276"/>
    </row>
    <row r="89" spans="1:51" ht="15.75" customHeight="1" x14ac:dyDescent="0.25">
      <c r="A89" s="276"/>
      <c r="B89" s="276"/>
      <c r="C89" s="353"/>
      <c r="D89" s="276"/>
      <c r="E89" s="276"/>
      <c r="F89" s="276"/>
      <c r="G89" s="276"/>
      <c r="H89" s="276"/>
      <c r="I89" s="276"/>
      <c r="J89" s="353"/>
      <c r="K89" s="276"/>
      <c r="L89" s="276"/>
      <c r="M89" s="276"/>
      <c r="N89" s="276"/>
      <c r="O89" s="276"/>
      <c r="P89" s="276"/>
      <c r="Q89" s="276"/>
      <c r="R89" s="276"/>
      <c r="S89" s="276"/>
      <c r="T89" s="276"/>
      <c r="U89" s="276"/>
      <c r="V89" s="276"/>
      <c r="W89" s="276"/>
      <c r="X89" s="276"/>
      <c r="Y89" s="276"/>
      <c r="Z89" s="276"/>
      <c r="AA89" s="276"/>
      <c r="AB89" s="276"/>
      <c r="AC89" s="276"/>
      <c r="AD89" s="276"/>
      <c r="AE89" s="276"/>
      <c r="AF89" s="276"/>
      <c r="AG89" s="276"/>
      <c r="AH89" s="276"/>
      <c r="AI89" s="276"/>
      <c r="AJ89" s="276"/>
      <c r="AK89" s="276"/>
      <c r="AL89" s="276"/>
      <c r="AM89" s="276"/>
      <c r="AN89" s="276"/>
      <c r="AO89" s="276"/>
      <c r="AP89" s="276"/>
      <c r="AQ89" s="276"/>
      <c r="AR89" s="276"/>
      <c r="AS89" s="276"/>
      <c r="AT89" s="276"/>
      <c r="AU89" s="276"/>
      <c r="AV89" s="276"/>
      <c r="AW89" s="276"/>
      <c r="AX89" s="276"/>
      <c r="AY89" s="276"/>
    </row>
    <row r="90" spans="1:51" ht="15.75" customHeight="1" x14ac:dyDescent="0.25">
      <c r="A90" s="276"/>
      <c r="B90" s="276"/>
      <c r="C90" s="353"/>
      <c r="D90" s="276"/>
      <c r="E90" s="276"/>
      <c r="F90" s="276"/>
      <c r="G90" s="276"/>
      <c r="H90" s="276"/>
      <c r="I90" s="276"/>
      <c r="J90" s="353"/>
      <c r="K90" s="276"/>
      <c r="L90" s="276"/>
      <c r="M90" s="276"/>
      <c r="N90" s="276"/>
      <c r="O90" s="276"/>
      <c r="P90" s="276"/>
      <c r="Q90" s="276"/>
      <c r="R90" s="276"/>
      <c r="S90" s="276"/>
      <c r="T90" s="276"/>
      <c r="U90" s="276"/>
      <c r="V90" s="276"/>
      <c r="W90" s="276"/>
      <c r="X90" s="276"/>
      <c r="Y90" s="276"/>
      <c r="Z90" s="276"/>
      <c r="AA90" s="276"/>
      <c r="AB90" s="276"/>
      <c r="AC90" s="276"/>
      <c r="AD90" s="276"/>
      <c r="AE90" s="276"/>
      <c r="AF90" s="276"/>
      <c r="AG90" s="276"/>
      <c r="AH90" s="276"/>
      <c r="AI90" s="276"/>
      <c r="AJ90" s="276"/>
      <c r="AK90" s="276"/>
      <c r="AL90" s="276"/>
      <c r="AM90" s="276"/>
      <c r="AN90" s="276"/>
      <c r="AO90" s="276"/>
      <c r="AP90" s="276"/>
      <c r="AQ90" s="276"/>
      <c r="AR90" s="276"/>
      <c r="AS90" s="276"/>
      <c r="AT90" s="276"/>
      <c r="AU90" s="276"/>
      <c r="AV90" s="276"/>
      <c r="AW90" s="276"/>
      <c r="AX90" s="276"/>
      <c r="AY90" s="276"/>
    </row>
    <row r="91" spans="1:51" ht="15.75" customHeight="1" x14ac:dyDescent="0.25">
      <c r="A91" s="276"/>
      <c r="B91" s="276"/>
      <c r="C91" s="353"/>
      <c r="D91" s="276"/>
      <c r="E91" s="276"/>
      <c r="F91" s="276"/>
      <c r="G91" s="276"/>
      <c r="H91" s="276"/>
      <c r="I91" s="276"/>
      <c r="J91" s="353"/>
      <c r="K91" s="276"/>
      <c r="L91" s="276"/>
      <c r="M91" s="276"/>
      <c r="N91" s="276"/>
      <c r="O91" s="276"/>
      <c r="P91" s="276"/>
      <c r="Q91" s="276"/>
      <c r="R91" s="276"/>
      <c r="S91" s="276"/>
      <c r="T91" s="276"/>
      <c r="U91" s="276"/>
      <c r="V91" s="276"/>
      <c r="W91" s="276"/>
      <c r="X91" s="276"/>
      <c r="Y91" s="276"/>
      <c r="Z91" s="276"/>
      <c r="AA91" s="276"/>
      <c r="AB91" s="276"/>
      <c r="AC91" s="276"/>
      <c r="AD91" s="276"/>
      <c r="AE91" s="276"/>
      <c r="AF91" s="276"/>
      <c r="AG91" s="276"/>
      <c r="AH91" s="276"/>
      <c r="AI91" s="276"/>
      <c r="AJ91" s="276"/>
      <c r="AK91" s="276"/>
      <c r="AL91" s="276"/>
      <c r="AM91" s="276"/>
      <c r="AN91" s="276"/>
      <c r="AO91" s="276"/>
      <c r="AP91" s="276"/>
      <c r="AQ91" s="276"/>
      <c r="AR91" s="276"/>
      <c r="AS91" s="276"/>
      <c r="AT91" s="276"/>
      <c r="AU91" s="276"/>
      <c r="AV91" s="276"/>
      <c r="AW91" s="276"/>
      <c r="AX91" s="276"/>
      <c r="AY91" s="276"/>
    </row>
    <row r="92" spans="1:51" ht="15.75" customHeight="1" x14ac:dyDescent="0.25">
      <c r="A92" s="276"/>
      <c r="B92" s="276"/>
      <c r="C92" s="353"/>
      <c r="D92" s="276"/>
      <c r="E92" s="276"/>
      <c r="F92" s="276"/>
      <c r="G92" s="276"/>
      <c r="H92" s="276"/>
      <c r="I92" s="276"/>
      <c r="J92" s="353"/>
      <c r="K92" s="276"/>
      <c r="L92" s="276"/>
      <c r="M92" s="276"/>
      <c r="N92" s="276"/>
      <c r="O92" s="276"/>
      <c r="P92" s="276"/>
      <c r="Q92" s="276"/>
      <c r="R92" s="276"/>
      <c r="S92" s="276"/>
      <c r="T92" s="276"/>
      <c r="U92" s="276"/>
      <c r="V92" s="276"/>
      <c r="W92" s="276"/>
      <c r="X92" s="276"/>
      <c r="Y92" s="276"/>
      <c r="Z92" s="276"/>
      <c r="AA92" s="276"/>
      <c r="AB92" s="276"/>
      <c r="AC92" s="276"/>
      <c r="AD92" s="276"/>
      <c r="AE92" s="276"/>
      <c r="AF92" s="276"/>
      <c r="AG92" s="276"/>
      <c r="AH92" s="276"/>
      <c r="AI92" s="276"/>
      <c r="AJ92" s="276"/>
      <c r="AK92" s="276"/>
      <c r="AL92" s="276"/>
      <c r="AM92" s="276"/>
      <c r="AN92" s="276"/>
      <c r="AO92" s="276"/>
      <c r="AP92" s="276"/>
      <c r="AQ92" s="276"/>
      <c r="AR92" s="276"/>
      <c r="AS92" s="276"/>
      <c r="AT92" s="276"/>
      <c r="AU92" s="276"/>
      <c r="AV92" s="276"/>
      <c r="AW92" s="276"/>
      <c r="AX92" s="276"/>
      <c r="AY92" s="276"/>
    </row>
    <row r="93" spans="1:51" ht="15.75" customHeight="1" x14ac:dyDescent="0.25">
      <c r="A93" s="276"/>
      <c r="B93" s="276"/>
      <c r="C93" s="353"/>
      <c r="D93" s="276"/>
      <c r="E93" s="276"/>
      <c r="F93" s="276"/>
      <c r="G93" s="276"/>
      <c r="H93" s="276"/>
      <c r="I93" s="276"/>
      <c r="J93" s="353"/>
      <c r="K93" s="276"/>
      <c r="L93" s="276"/>
      <c r="M93" s="276"/>
      <c r="N93" s="276"/>
      <c r="O93" s="276"/>
      <c r="P93" s="276"/>
      <c r="Q93" s="276"/>
      <c r="R93" s="276"/>
      <c r="S93" s="276"/>
      <c r="T93" s="276"/>
      <c r="U93" s="276"/>
      <c r="V93" s="276"/>
      <c r="W93" s="276"/>
      <c r="X93" s="276"/>
      <c r="Y93" s="276"/>
      <c r="Z93" s="276"/>
      <c r="AA93" s="276"/>
      <c r="AB93" s="276"/>
      <c r="AC93" s="276"/>
      <c r="AD93" s="276"/>
      <c r="AE93" s="276"/>
      <c r="AF93" s="276"/>
      <c r="AG93" s="276"/>
      <c r="AH93" s="276"/>
      <c r="AI93" s="276"/>
      <c r="AJ93" s="276"/>
      <c r="AK93" s="276"/>
      <c r="AL93" s="276"/>
      <c r="AM93" s="276"/>
      <c r="AN93" s="276"/>
      <c r="AO93" s="276"/>
      <c r="AP93" s="276"/>
      <c r="AQ93" s="276"/>
      <c r="AR93" s="276"/>
      <c r="AS93" s="276"/>
      <c r="AT93" s="276"/>
      <c r="AU93" s="276"/>
      <c r="AV93" s="276"/>
      <c r="AW93" s="276"/>
      <c r="AX93" s="276"/>
      <c r="AY93" s="276"/>
    </row>
    <row r="94" spans="1:51" ht="15.75" customHeight="1" x14ac:dyDescent="0.25">
      <c r="A94" s="276"/>
      <c r="B94" s="276"/>
      <c r="C94" s="353"/>
      <c r="D94" s="276"/>
      <c r="E94" s="276"/>
      <c r="F94" s="276"/>
      <c r="G94" s="276"/>
      <c r="H94" s="276"/>
      <c r="I94" s="276"/>
      <c r="J94" s="353"/>
      <c r="K94" s="276"/>
      <c r="L94" s="276"/>
      <c r="M94" s="276"/>
      <c r="N94" s="276"/>
      <c r="O94" s="276"/>
      <c r="P94" s="276"/>
      <c r="Q94" s="276"/>
      <c r="R94" s="276"/>
      <c r="S94" s="276"/>
      <c r="T94" s="276"/>
      <c r="U94" s="276"/>
      <c r="V94" s="276"/>
      <c r="W94" s="276"/>
      <c r="X94" s="276"/>
      <c r="Y94" s="276"/>
      <c r="Z94" s="276"/>
      <c r="AA94" s="276"/>
      <c r="AB94" s="276"/>
      <c r="AC94" s="276"/>
      <c r="AD94" s="276"/>
      <c r="AE94" s="276"/>
      <c r="AF94" s="276"/>
      <c r="AG94" s="276"/>
      <c r="AH94" s="276"/>
      <c r="AI94" s="276"/>
      <c r="AJ94" s="276"/>
      <c r="AK94" s="276"/>
      <c r="AL94" s="276"/>
      <c r="AM94" s="276"/>
      <c r="AN94" s="276"/>
      <c r="AO94" s="276"/>
      <c r="AP94" s="276"/>
      <c r="AQ94" s="276"/>
      <c r="AR94" s="276"/>
      <c r="AS94" s="276"/>
      <c r="AT94" s="276"/>
      <c r="AU94" s="276"/>
      <c r="AV94" s="276"/>
      <c r="AW94" s="276"/>
      <c r="AX94" s="276"/>
      <c r="AY94" s="276"/>
    </row>
    <row r="95" spans="1:51" ht="15.75" customHeight="1" x14ac:dyDescent="0.25">
      <c r="A95" s="276"/>
      <c r="B95" s="276"/>
      <c r="C95" s="353"/>
      <c r="D95" s="276"/>
      <c r="E95" s="276"/>
      <c r="F95" s="276"/>
      <c r="G95" s="276"/>
      <c r="H95" s="276"/>
      <c r="I95" s="276"/>
      <c r="J95" s="353"/>
      <c r="K95" s="276"/>
      <c r="L95" s="276"/>
      <c r="M95" s="276"/>
      <c r="N95" s="276"/>
      <c r="O95" s="276"/>
      <c r="P95" s="276"/>
      <c r="Q95" s="276"/>
      <c r="R95" s="276"/>
      <c r="S95" s="276"/>
      <c r="T95" s="276"/>
      <c r="U95" s="276"/>
      <c r="V95" s="276"/>
      <c r="W95" s="276"/>
      <c r="X95" s="276"/>
      <c r="Y95" s="276"/>
      <c r="Z95" s="276"/>
      <c r="AA95" s="276"/>
      <c r="AB95" s="276"/>
      <c r="AC95" s="276"/>
      <c r="AD95" s="276"/>
      <c r="AE95" s="276"/>
      <c r="AF95" s="276"/>
      <c r="AG95" s="276"/>
      <c r="AH95" s="276"/>
      <c r="AI95" s="276"/>
      <c r="AJ95" s="276"/>
      <c r="AK95" s="276"/>
      <c r="AL95" s="276"/>
      <c r="AM95" s="276"/>
      <c r="AN95" s="276"/>
      <c r="AO95" s="276"/>
      <c r="AP95" s="276"/>
      <c r="AQ95" s="276"/>
      <c r="AR95" s="276"/>
      <c r="AS95" s="276"/>
      <c r="AT95" s="276"/>
      <c r="AU95" s="276"/>
      <c r="AV95" s="276"/>
      <c r="AW95" s="276"/>
      <c r="AX95" s="276"/>
      <c r="AY95" s="276"/>
    </row>
    <row r="96" spans="1:51" ht="15.75" customHeight="1" x14ac:dyDescent="0.25">
      <c r="A96" s="276"/>
      <c r="B96" s="276"/>
      <c r="C96" s="353"/>
      <c r="D96" s="276"/>
      <c r="E96" s="276"/>
      <c r="F96" s="276"/>
      <c r="G96" s="276"/>
      <c r="H96" s="276"/>
      <c r="I96" s="276"/>
      <c r="J96" s="353"/>
      <c r="K96" s="276"/>
      <c r="L96" s="276"/>
      <c r="M96" s="276"/>
      <c r="N96" s="276"/>
      <c r="O96" s="276"/>
      <c r="P96" s="276"/>
      <c r="Q96" s="276"/>
      <c r="R96" s="276"/>
      <c r="S96" s="276"/>
      <c r="T96" s="276"/>
      <c r="U96" s="276"/>
      <c r="V96" s="276"/>
      <c r="W96" s="276"/>
      <c r="X96" s="276"/>
      <c r="Y96" s="276"/>
      <c r="Z96" s="276"/>
      <c r="AA96" s="276"/>
      <c r="AB96" s="276"/>
      <c r="AC96" s="276"/>
      <c r="AD96" s="276"/>
      <c r="AE96" s="276"/>
      <c r="AF96" s="276"/>
      <c r="AG96" s="276"/>
      <c r="AH96" s="276"/>
      <c r="AI96" s="276"/>
      <c r="AJ96" s="276"/>
      <c r="AK96" s="276"/>
      <c r="AL96" s="276"/>
      <c r="AM96" s="276"/>
      <c r="AN96" s="276"/>
      <c r="AO96" s="276"/>
      <c r="AP96" s="276"/>
      <c r="AQ96" s="276"/>
      <c r="AR96" s="276"/>
      <c r="AS96" s="276"/>
      <c r="AT96" s="276"/>
      <c r="AU96" s="276"/>
      <c r="AV96" s="276"/>
      <c r="AW96" s="276"/>
      <c r="AX96" s="276"/>
      <c r="AY96" s="276"/>
    </row>
    <row r="97" spans="1:51" ht="15.75" customHeight="1" x14ac:dyDescent="0.25">
      <c r="A97" s="276"/>
      <c r="B97" s="276"/>
      <c r="C97" s="353"/>
      <c r="D97" s="276"/>
      <c r="E97" s="276"/>
      <c r="F97" s="276"/>
      <c r="G97" s="276"/>
      <c r="H97" s="276"/>
      <c r="I97" s="276"/>
      <c r="J97" s="353"/>
      <c r="K97" s="276"/>
      <c r="L97" s="276"/>
      <c r="M97" s="276"/>
      <c r="N97" s="276"/>
      <c r="O97" s="276"/>
      <c r="P97" s="276"/>
      <c r="Q97" s="276"/>
      <c r="R97" s="276"/>
      <c r="S97" s="276"/>
      <c r="T97" s="276"/>
      <c r="U97" s="276"/>
      <c r="V97" s="276"/>
      <c r="W97" s="276"/>
      <c r="X97" s="276"/>
      <c r="Y97" s="276"/>
      <c r="Z97" s="276"/>
      <c r="AA97" s="276"/>
      <c r="AB97" s="276"/>
      <c r="AC97" s="276"/>
      <c r="AD97" s="276"/>
      <c r="AE97" s="276"/>
      <c r="AF97" s="276"/>
      <c r="AG97" s="276"/>
      <c r="AH97" s="276"/>
      <c r="AI97" s="276"/>
      <c r="AJ97" s="276"/>
      <c r="AK97" s="276"/>
      <c r="AL97" s="276"/>
      <c r="AM97" s="276"/>
      <c r="AN97" s="276"/>
      <c r="AO97" s="276"/>
      <c r="AP97" s="276"/>
      <c r="AQ97" s="276"/>
      <c r="AR97" s="276"/>
      <c r="AS97" s="276"/>
      <c r="AT97" s="276"/>
      <c r="AU97" s="276"/>
      <c r="AV97" s="276"/>
      <c r="AW97" s="276"/>
      <c r="AX97" s="276"/>
      <c r="AY97" s="276"/>
    </row>
    <row r="98" spans="1:51" ht="15.75" customHeight="1" x14ac:dyDescent="0.25">
      <c r="A98" s="276"/>
      <c r="B98" s="276"/>
      <c r="C98" s="353"/>
      <c r="D98" s="276"/>
      <c r="E98" s="276"/>
      <c r="F98" s="276"/>
      <c r="G98" s="276"/>
      <c r="H98" s="276"/>
      <c r="I98" s="276"/>
      <c r="J98" s="353"/>
      <c r="K98" s="276"/>
      <c r="L98" s="276"/>
      <c r="M98" s="276"/>
      <c r="N98" s="276"/>
      <c r="O98" s="276"/>
      <c r="P98" s="276"/>
      <c r="Q98" s="276"/>
      <c r="R98" s="276"/>
      <c r="S98" s="276"/>
      <c r="T98" s="276"/>
      <c r="U98" s="276"/>
      <c r="V98" s="276"/>
      <c r="W98" s="276"/>
      <c r="X98" s="276"/>
      <c r="Y98" s="276"/>
      <c r="Z98" s="276"/>
      <c r="AA98" s="276"/>
      <c r="AB98" s="276"/>
      <c r="AC98" s="276"/>
      <c r="AD98" s="276"/>
      <c r="AE98" s="276"/>
      <c r="AF98" s="276"/>
      <c r="AG98" s="276"/>
      <c r="AH98" s="276"/>
      <c r="AI98" s="276"/>
      <c r="AJ98" s="276"/>
      <c r="AK98" s="276"/>
      <c r="AL98" s="276"/>
      <c r="AM98" s="276"/>
      <c r="AN98" s="276"/>
      <c r="AO98" s="276"/>
      <c r="AP98" s="276"/>
      <c r="AQ98" s="276"/>
      <c r="AR98" s="276"/>
      <c r="AS98" s="276"/>
      <c r="AT98" s="276"/>
      <c r="AU98" s="276"/>
      <c r="AV98" s="276"/>
      <c r="AW98" s="276"/>
      <c r="AX98" s="276"/>
      <c r="AY98" s="276"/>
    </row>
    <row r="99" spans="1:51" ht="15.75" customHeight="1" x14ac:dyDescent="0.25">
      <c r="A99" s="276"/>
      <c r="B99" s="276"/>
      <c r="C99" s="353"/>
      <c r="D99" s="276"/>
      <c r="E99" s="276"/>
      <c r="F99" s="276"/>
      <c r="G99" s="276"/>
      <c r="H99" s="276"/>
      <c r="I99" s="276"/>
      <c r="J99" s="353"/>
      <c r="K99" s="276"/>
      <c r="L99" s="276"/>
      <c r="M99" s="276"/>
      <c r="N99" s="276"/>
      <c r="O99" s="276"/>
      <c r="P99" s="276"/>
      <c r="Q99" s="276"/>
      <c r="R99" s="276"/>
      <c r="S99" s="276"/>
      <c r="T99" s="276"/>
      <c r="U99" s="276"/>
      <c r="V99" s="276"/>
      <c r="W99" s="276"/>
      <c r="X99" s="276"/>
      <c r="Y99" s="276"/>
      <c r="Z99" s="276"/>
      <c r="AA99" s="276"/>
      <c r="AB99" s="276"/>
      <c r="AC99" s="276"/>
      <c r="AD99" s="276"/>
      <c r="AE99" s="276"/>
      <c r="AF99" s="276"/>
      <c r="AG99" s="276"/>
      <c r="AH99" s="276"/>
      <c r="AI99" s="276"/>
      <c r="AJ99" s="276"/>
      <c r="AK99" s="276"/>
      <c r="AL99" s="276"/>
      <c r="AM99" s="276"/>
      <c r="AN99" s="276"/>
      <c r="AO99" s="276"/>
      <c r="AP99" s="276"/>
      <c r="AQ99" s="276"/>
      <c r="AR99" s="276"/>
      <c r="AS99" s="276"/>
      <c r="AT99" s="276"/>
      <c r="AU99" s="276"/>
      <c r="AV99" s="276"/>
      <c r="AW99" s="276"/>
      <c r="AX99" s="276"/>
      <c r="AY99" s="276"/>
    </row>
    <row r="100" spans="1:51" ht="15.75" customHeight="1" x14ac:dyDescent="0.25">
      <c r="A100" s="276"/>
      <c r="B100" s="276"/>
      <c r="C100" s="353"/>
      <c r="D100" s="276"/>
      <c r="E100" s="276"/>
      <c r="F100" s="276"/>
      <c r="G100" s="276"/>
      <c r="H100" s="276"/>
      <c r="I100" s="276"/>
      <c r="J100" s="353"/>
      <c r="K100" s="276"/>
      <c r="L100" s="276"/>
      <c r="M100" s="276"/>
      <c r="N100" s="276"/>
      <c r="O100" s="276"/>
      <c r="P100" s="276"/>
      <c r="Q100" s="276"/>
      <c r="R100" s="276"/>
      <c r="S100" s="276"/>
      <c r="T100" s="276"/>
      <c r="U100" s="276"/>
      <c r="V100" s="276"/>
      <c r="W100" s="276"/>
      <c r="X100" s="276"/>
      <c r="Y100" s="276"/>
      <c r="Z100" s="276"/>
      <c r="AA100" s="276"/>
      <c r="AB100" s="276"/>
      <c r="AC100" s="276"/>
      <c r="AD100" s="276"/>
      <c r="AE100" s="276"/>
      <c r="AF100" s="276"/>
      <c r="AG100" s="276"/>
      <c r="AH100" s="276"/>
      <c r="AI100" s="276"/>
      <c r="AJ100" s="276"/>
      <c r="AK100" s="276"/>
      <c r="AL100" s="276"/>
      <c r="AM100" s="276"/>
      <c r="AN100" s="276"/>
      <c r="AO100" s="276"/>
      <c r="AP100" s="276"/>
      <c r="AQ100" s="276"/>
      <c r="AR100" s="276"/>
      <c r="AS100" s="276"/>
      <c r="AT100" s="276"/>
      <c r="AU100" s="276"/>
      <c r="AV100" s="276"/>
      <c r="AW100" s="276"/>
      <c r="AX100" s="276"/>
      <c r="AY100" s="276"/>
    </row>
    <row r="101" spans="1:51" ht="15.75" customHeight="1" x14ac:dyDescent="0.25">
      <c r="A101" s="276"/>
      <c r="B101" s="276"/>
      <c r="C101" s="353"/>
      <c r="D101" s="276"/>
      <c r="E101" s="276"/>
      <c r="F101" s="276"/>
      <c r="G101" s="276"/>
      <c r="H101" s="276"/>
      <c r="I101" s="276"/>
      <c r="J101" s="353"/>
      <c r="K101" s="276"/>
      <c r="L101" s="276"/>
      <c r="M101" s="276"/>
      <c r="N101" s="276"/>
      <c r="O101" s="276"/>
      <c r="P101" s="276"/>
      <c r="Q101" s="276"/>
      <c r="R101" s="276"/>
      <c r="S101" s="276"/>
      <c r="T101" s="276"/>
      <c r="U101" s="276"/>
      <c r="V101" s="276"/>
      <c r="W101" s="276"/>
      <c r="X101" s="276"/>
      <c r="Y101" s="276"/>
      <c r="Z101" s="276"/>
      <c r="AA101" s="276"/>
      <c r="AB101" s="276"/>
      <c r="AC101" s="276"/>
      <c r="AD101" s="276"/>
      <c r="AE101" s="276"/>
      <c r="AF101" s="276"/>
      <c r="AG101" s="276"/>
      <c r="AH101" s="276"/>
      <c r="AI101" s="276"/>
      <c r="AJ101" s="276"/>
      <c r="AK101" s="276"/>
      <c r="AL101" s="276"/>
      <c r="AM101" s="276"/>
      <c r="AN101" s="276"/>
      <c r="AO101" s="276"/>
      <c r="AP101" s="276"/>
      <c r="AQ101" s="276"/>
      <c r="AR101" s="276"/>
      <c r="AS101" s="276"/>
      <c r="AT101" s="276"/>
      <c r="AU101" s="276"/>
      <c r="AV101" s="276"/>
      <c r="AW101" s="276"/>
      <c r="AX101" s="276"/>
      <c r="AY101" s="276"/>
    </row>
    <row r="102" spans="1:51" ht="15.75" customHeight="1" x14ac:dyDescent="0.25">
      <c r="A102" s="276"/>
      <c r="B102" s="276"/>
      <c r="C102" s="353"/>
      <c r="D102" s="276"/>
      <c r="E102" s="276"/>
      <c r="F102" s="276"/>
      <c r="G102" s="276"/>
      <c r="H102" s="276"/>
      <c r="I102" s="276"/>
      <c r="J102" s="353"/>
      <c r="K102" s="276"/>
      <c r="L102" s="276"/>
      <c r="M102" s="276"/>
      <c r="N102" s="276"/>
      <c r="O102" s="276"/>
      <c r="P102" s="276"/>
      <c r="Q102" s="276"/>
      <c r="R102" s="276"/>
      <c r="S102" s="276"/>
      <c r="T102" s="276"/>
      <c r="U102" s="276"/>
      <c r="V102" s="276"/>
      <c r="W102" s="276"/>
      <c r="X102" s="276"/>
      <c r="Y102" s="276"/>
      <c r="Z102" s="276"/>
      <c r="AA102" s="276"/>
      <c r="AB102" s="276"/>
      <c r="AC102" s="276"/>
      <c r="AD102" s="276"/>
      <c r="AE102" s="276"/>
      <c r="AF102" s="276"/>
      <c r="AG102" s="276"/>
      <c r="AH102" s="276"/>
      <c r="AI102" s="276"/>
      <c r="AJ102" s="276"/>
      <c r="AK102" s="276"/>
      <c r="AL102" s="276"/>
      <c r="AM102" s="276"/>
      <c r="AN102" s="276"/>
      <c r="AO102" s="276"/>
      <c r="AP102" s="276"/>
      <c r="AQ102" s="276"/>
      <c r="AR102" s="276"/>
      <c r="AS102" s="276"/>
      <c r="AT102" s="276"/>
      <c r="AU102" s="276"/>
      <c r="AV102" s="276"/>
      <c r="AW102" s="276"/>
      <c r="AX102" s="276"/>
      <c r="AY102" s="276"/>
    </row>
    <row r="103" spans="1:51" ht="15.75" customHeight="1" x14ac:dyDescent="0.25">
      <c r="A103" s="276"/>
      <c r="B103" s="276"/>
      <c r="C103" s="353"/>
      <c r="D103" s="276"/>
      <c r="E103" s="276"/>
      <c r="F103" s="276"/>
      <c r="G103" s="276"/>
      <c r="H103" s="276"/>
      <c r="I103" s="276"/>
      <c r="J103" s="353"/>
      <c r="K103" s="276"/>
      <c r="L103" s="276"/>
      <c r="M103" s="276"/>
      <c r="N103" s="276"/>
      <c r="O103" s="276"/>
      <c r="P103" s="276"/>
      <c r="Q103" s="276"/>
      <c r="R103" s="276"/>
      <c r="S103" s="276"/>
      <c r="T103" s="276"/>
      <c r="U103" s="276"/>
      <c r="V103" s="276"/>
      <c r="W103" s="276"/>
      <c r="X103" s="276"/>
      <c r="Y103" s="276"/>
      <c r="Z103" s="276"/>
      <c r="AA103" s="276"/>
      <c r="AB103" s="276"/>
      <c r="AC103" s="276"/>
      <c r="AD103" s="276"/>
      <c r="AE103" s="276"/>
      <c r="AF103" s="276"/>
      <c r="AG103" s="276"/>
      <c r="AH103" s="276"/>
      <c r="AI103" s="276"/>
      <c r="AJ103" s="276"/>
      <c r="AK103" s="276"/>
      <c r="AL103" s="276"/>
      <c r="AM103" s="276"/>
      <c r="AN103" s="276"/>
      <c r="AO103" s="276"/>
      <c r="AP103" s="276"/>
      <c r="AQ103" s="276"/>
      <c r="AR103" s="276"/>
      <c r="AS103" s="276"/>
      <c r="AT103" s="276"/>
      <c r="AU103" s="276"/>
      <c r="AV103" s="276"/>
      <c r="AW103" s="276"/>
      <c r="AX103" s="276"/>
      <c r="AY103" s="276"/>
    </row>
    <row r="104" spans="1:51" ht="15.75" customHeight="1" x14ac:dyDescent="0.25">
      <c r="A104" s="276"/>
      <c r="B104" s="276"/>
      <c r="C104" s="353"/>
      <c r="D104" s="276"/>
      <c r="E104" s="276"/>
      <c r="F104" s="276"/>
      <c r="G104" s="276"/>
      <c r="H104" s="276"/>
      <c r="I104" s="276"/>
      <c r="J104" s="353"/>
      <c r="K104" s="276"/>
      <c r="L104" s="276"/>
      <c r="M104" s="276"/>
      <c r="N104" s="276"/>
      <c r="O104" s="276"/>
      <c r="P104" s="276"/>
      <c r="Q104" s="276"/>
      <c r="R104" s="276"/>
      <c r="S104" s="276"/>
      <c r="T104" s="276"/>
      <c r="U104" s="276"/>
      <c r="V104" s="276"/>
      <c r="W104" s="276"/>
      <c r="X104" s="276"/>
      <c r="Y104" s="276"/>
      <c r="Z104" s="276"/>
      <c r="AA104" s="276"/>
      <c r="AB104" s="276"/>
      <c r="AC104" s="276"/>
      <c r="AD104" s="276"/>
      <c r="AE104" s="276"/>
      <c r="AF104" s="276"/>
      <c r="AG104" s="276"/>
      <c r="AH104" s="276"/>
      <c r="AI104" s="276"/>
      <c r="AJ104" s="276"/>
      <c r="AK104" s="276"/>
      <c r="AL104" s="276"/>
      <c r="AM104" s="276"/>
      <c r="AN104" s="276"/>
      <c r="AO104" s="276"/>
      <c r="AP104" s="276"/>
      <c r="AQ104" s="276"/>
      <c r="AR104" s="276"/>
      <c r="AS104" s="276"/>
      <c r="AT104" s="276"/>
      <c r="AU104" s="276"/>
      <c r="AV104" s="276"/>
      <c r="AW104" s="276"/>
      <c r="AX104" s="276"/>
      <c r="AY104" s="276"/>
    </row>
    <row r="105" spans="1:51" ht="15.75" customHeight="1" x14ac:dyDescent="0.25">
      <c r="A105" s="276"/>
      <c r="B105" s="276"/>
      <c r="C105" s="353"/>
      <c r="D105" s="276"/>
      <c r="E105" s="276"/>
      <c r="F105" s="276"/>
      <c r="G105" s="276"/>
      <c r="H105" s="276"/>
      <c r="I105" s="276"/>
      <c r="J105" s="353"/>
      <c r="K105" s="276"/>
      <c r="L105" s="276"/>
      <c r="M105" s="276"/>
      <c r="N105" s="276"/>
      <c r="O105" s="276"/>
      <c r="P105" s="276"/>
      <c r="Q105" s="276"/>
      <c r="R105" s="276"/>
      <c r="S105" s="276"/>
      <c r="T105" s="276"/>
      <c r="U105" s="276"/>
      <c r="V105" s="276"/>
      <c r="W105" s="276"/>
      <c r="X105" s="276"/>
      <c r="Y105" s="276"/>
      <c r="Z105" s="276"/>
      <c r="AA105" s="276"/>
      <c r="AB105" s="276"/>
      <c r="AC105" s="276"/>
      <c r="AD105" s="276"/>
      <c r="AE105" s="276"/>
      <c r="AF105" s="276"/>
      <c r="AG105" s="276"/>
      <c r="AH105" s="276"/>
      <c r="AI105" s="276"/>
      <c r="AJ105" s="276"/>
      <c r="AK105" s="276"/>
      <c r="AL105" s="276"/>
      <c r="AM105" s="276"/>
      <c r="AN105" s="276"/>
      <c r="AO105" s="276"/>
      <c r="AP105" s="276"/>
      <c r="AQ105" s="276"/>
      <c r="AR105" s="276"/>
      <c r="AS105" s="276"/>
      <c r="AT105" s="276"/>
      <c r="AU105" s="276"/>
      <c r="AV105" s="276"/>
      <c r="AW105" s="276"/>
      <c r="AX105" s="276"/>
      <c r="AY105" s="276"/>
    </row>
    <row r="106" spans="1:51" ht="15.75" customHeight="1" x14ac:dyDescent="0.25">
      <c r="A106" s="276"/>
      <c r="B106" s="276"/>
      <c r="C106" s="353"/>
      <c r="D106" s="276"/>
      <c r="E106" s="276"/>
      <c r="F106" s="276"/>
      <c r="G106" s="276"/>
      <c r="H106" s="276"/>
      <c r="I106" s="276"/>
      <c r="J106" s="353"/>
      <c r="K106" s="276"/>
      <c r="L106" s="276"/>
      <c r="M106" s="276"/>
      <c r="N106" s="276"/>
      <c r="O106" s="276"/>
      <c r="P106" s="276"/>
      <c r="Q106" s="276"/>
      <c r="R106" s="276"/>
      <c r="S106" s="276"/>
      <c r="T106" s="276"/>
      <c r="U106" s="276"/>
      <c r="V106" s="276"/>
      <c r="W106" s="276"/>
      <c r="X106" s="276"/>
      <c r="Y106" s="276"/>
      <c r="Z106" s="276"/>
      <c r="AA106" s="276"/>
      <c r="AB106" s="276"/>
      <c r="AC106" s="276"/>
      <c r="AD106" s="276"/>
      <c r="AE106" s="276"/>
      <c r="AF106" s="276"/>
      <c r="AG106" s="276"/>
      <c r="AH106" s="276"/>
      <c r="AI106" s="276"/>
      <c r="AJ106" s="276"/>
      <c r="AK106" s="276"/>
      <c r="AL106" s="276"/>
      <c r="AM106" s="276"/>
      <c r="AN106" s="276"/>
      <c r="AO106" s="276"/>
      <c r="AP106" s="276"/>
      <c r="AQ106" s="276"/>
      <c r="AR106" s="276"/>
      <c r="AS106" s="276"/>
      <c r="AT106" s="276"/>
      <c r="AU106" s="276"/>
      <c r="AV106" s="276"/>
      <c r="AW106" s="276"/>
      <c r="AX106" s="276"/>
      <c r="AY106" s="276"/>
    </row>
    <row r="107" spans="1:51" ht="15.75" customHeight="1" x14ac:dyDescent="0.25">
      <c r="A107" s="276"/>
      <c r="B107" s="276"/>
      <c r="C107" s="353"/>
      <c r="D107" s="276"/>
      <c r="E107" s="276"/>
      <c r="F107" s="276"/>
      <c r="G107" s="276"/>
      <c r="H107" s="276"/>
      <c r="I107" s="276"/>
      <c r="J107" s="353"/>
      <c r="K107" s="276"/>
      <c r="L107" s="276"/>
      <c r="M107" s="276"/>
      <c r="N107" s="276"/>
      <c r="O107" s="276"/>
      <c r="P107" s="276"/>
      <c r="Q107" s="276"/>
      <c r="R107" s="276"/>
      <c r="S107" s="276"/>
      <c r="T107" s="276"/>
      <c r="U107" s="276"/>
      <c r="V107" s="276"/>
      <c r="W107" s="276"/>
      <c r="X107" s="276"/>
      <c r="Y107" s="276"/>
      <c r="Z107" s="276"/>
      <c r="AA107" s="276"/>
      <c r="AB107" s="276"/>
      <c r="AC107" s="276"/>
      <c r="AD107" s="276"/>
      <c r="AE107" s="276"/>
      <c r="AF107" s="276"/>
      <c r="AG107" s="276"/>
      <c r="AH107" s="276"/>
      <c r="AI107" s="276"/>
      <c r="AJ107" s="276"/>
      <c r="AK107" s="276"/>
      <c r="AL107" s="276"/>
      <c r="AM107" s="276"/>
      <c r="AN107" s="276"/>
      <c r="AO107" s="276"/>
      <c r="AP107" s="276"/>
      <c r="AQ107" s="276"/>
      <c r="AR107" s="276"/>
      <c r="AS107" s="276"/>
      <c r="AT107" s="276"/>
      <c r="AU107" s="276"/>
      <c r="AV107" s="276"/>
      <c r="AW107" s="276"/>
      <c r="AX107" s="276"/>
      <c r="AY107" s="276"/>
    </row>
    <row r="108" spans="1:51" ht="15.75" customHeight="1" x14ac:dyDescent="0.25">
      <c r="A108" s="276"/>
      <c r="B108" s="276"/>
      <c r="C108" s="353"/>
      <c r="D108" s="276"/>
      <c r="E108" s="276"/>
      <c r="F108" s="276"/>
      <c r="G108" s="276"/>
      <c r="H108" s="276"/>
      <c r="I108" s="276"/>
      <c r="J108" s="353"/>
      <c r="K108" s="276"/>
      <c r="L108" s="276"/>
      <c r="M108" s="276"/>
      <c r="N108" s="276"/>
      <c r="O108" s="276"/>
      <c r="P108" s="276"/>
      <c r="Q108" s="276"/>
      <c r="R108" s="276"/>
      <c r="S108" s="276"/>
      <c r="T108" s="276"/>
      <c r="U108" s="276"/>
      <c r="V108" s="276"/>
      <c r="W108" s="276"/>
      <c r="X108" s="276"/>
      <c r="Y108" s="276"/>
      <c r="Z108" s="276"/>
      <c r="AA108" s="276"/>
      <c r="AB108" s="276"/>
      <c r="AC108" s="276"/>
      <c r="AD108" s="276"/>
      <c r="AE108" s="276"/>
      <c r="AF108" s="276"/>
      <c r="AG108" s="276"/>
      <c r="AH108" s="276"/>
      <c r="AI108" s="276"/>
      <c r="AJ108" s="276"/>
      <c r="AK108" s="276"/>
      <c r="AL108" s="276"/>
      <c r="AM108" s="276"/>
      <c r="AN108" s="276"/>
      <c r="AO108" s="276"/>
      <c r="AP108" s="276"/>
      <c r="AQ108" s="276"/>
      <c r="AR108" s="276"/>
      <c r="AS108" s="276"/>
      <c r="AT108" s="276"/>
      <c r="AU108" s="276"/>
      <c r="AV108" s="276"/>
      <c r="AW108" s="276"/>
      <c r="AX108" s="276"/>
      <c r="AY108" s="276"/>
    </row>
    <row r="109" spans="1:51" ht="15.75" customHeight="1" x14ac:dyDescent="0.25">
      <c r="A109" s="276"/>
      <c r="B109" s="276"/>
      <c r="C109" s="353"/>
      <c r="D109" s="276"/>
      <c r="E109" s="276"/>
      <c r="F109" s="276"/>
      <c r="G109" s="276"/>
      <c r="H109" s="276"/>
      <c r="I109" s="276"/>
      <c r="J109" s="353"/>
      <c r="K109" s="276"/>
      <c r="L109" s="276"/>
      <c r="M109" s="276"/>
      <c r="N109" s="276"/>
      <c r="O109" s="276"/>
      <c r="P109" s="276"/>
      <c r="Q109" s="276"/>
      <c r="R109" s="276"/>
      <c r="S109" s="276"/>
      <c r="T109" s="276"/>
      <c r="U109" s="276"/>
      <c r="V109" s="276"/>
      <c r="W109" s="276"/>
      <c r="X109" s="276"/>
      <c r="Y109" s="276"/>
      <c r="Z109" s="276"/>
      <c r="AA109" s="276"/>
      <c r="AB109" s="276"/>
      <c r="AC109" s="276"/>
      <c r="AD109" s="276"/>
      <c r="AE109" s="276"/>
      <c r="AF109" s="276"/>
      <c r="AG109" s="276"/>
      <c r="AH109" s="276"/>
      <c r="AI109" s="276"/>
      <c r="AJ109" s="276"/>
      <c r="AK109" s="276"/>
      <c r="AL109" s="276"/>
      <c r="AM109" s="276"/>
      <c r="AN109" s="276"/>
      <c r="AO109" s="276"/>
      <c r="AP109" s="276"/>
      <c r="AQ109" s="276"/>
      <c r="AR109" s="276"/>
      <c r="AS109" s="276"/>
      <c r="AT109" s="276"/>
      <c r="AU109" s="276"/>
      <c r="AV109" s="276"/>
      <c r="AW109" s="276"/>
      <c r="AX109" s="276"/>
      <c r="AY109" s="276"/>
    </row>
    <row r="110" spans="1:51" ht="15.75" customHeight="1" x14ac:dyDescent="0.25">
      <c r="A110" s="276"/>
      <c r="B110" s="276"/>
      <c r="C110" s="353"/>
      <c r="D110" s="276"/>
      <c r="E110" s="276"/>
      <c r="F110" s="276"/>
      <c r="G110" s="276"/>
      <c r="H110" s="276"/>
      <c r="I110" s="276"/>
      <c r="J110" s="353"/>
      <c r="K110" s="276"/>
      <c r="L110" s="276"/>
      <c r="M110" s="276"/>
      <c r="N110" s="276"/>
      <c r="O110" s="276"/>
      <c r="P110" s="276"/>
      <c r="Q110" s="276"/>
      <c r="R110" s="276"/>
      <c r="S110" s="276"/>
      <c r="T110" s="276"/>
      <c r="U110" s="276"/>
      <c r="V110" s="276"/>
      <c r="W110" s="276"/>
      <c r="X110" s="276"/>
      <c r="Y110" s="276"/>
      <c r="Z110" s="276"/>
      <c r="AA110" s="276"/>
      <c r="AB110" s="276"/>
      <c r="AC110" s="276"/>
      <c r="AD110" s="276"/>
      <c r="AE110" s="276"/>
      <c r="AF110" s="276"/>
      <c r="AG110" s="276"/>
      <c r="AH110" s="276"/>
      <c r="AI110" s="276"/>
      <c r="AJ110" s="276"/>
      <c r="AK110" s="276"/>
      <c r="AL110" s="276"/>
      <c r="AM110" s="276"/>
      <c r="AN110" s="276"/>
      <c r="AO110" s="276"/>
      <c r="AP110" s="276"/>
      <c r="AQ110" s="276"/>
      <c r="AR110" s="276"/>
      <c r="AS110" s="276"/>
      <c r="AT110" s="276"/>
      <c r="AU110" s="276"/>
      <c r="AV110" s="276"/>
      <c r="AW110" s="276"/>
      <c r="AX110" s="276"/>
      <c r="AY110" s="276"/>
    </row>
    <row r="111" spans="1:51" ht="15.75" customHeight="1" x14ac:dyDescent="0.25">
      <c r="A111" s="276"/>
      <c r="B111" s="276"/>
      <c r="C111" s="353"/>
      <c r="D111" s="276"/>
      <c r="E111" s="276"/>
      <c r="F111" s="276"/>
      <c r="G111" s="276"/>
      <c r="H111" s="276"/>
      <c r="I111" s="276"/>
      <c r="J111" s="353"/>
      <c r="K111" s="276"/>
      <c r="L111" s="276"/>
      <c r="M111" s="276"/>
      <c r="N111" s="276"/>
      <c r="O111" s="276"/>
      <c r="P111" s="276"/>
      <c r="Q111" s="276"/>
      <c r="R111" s="276"/>
      <c r="S111" s="276"/>
      <c r="T111" s="276"/>
      <c r="U111" s="276"/>
      <c r="V111" s="276"/>
      <c r="W111" s="276"/>
      <c r="X111" s="276"/>
      <c r="Y111" s="276"/>
      <c r="Z111" s="276"/>
      <c r="AA111" s="276"/>
      <c r="AB111" s="276"/>
      <c r="AC111" s="276"/>
      <c r="AD111" s="276"/>
      <c r="AE111" s="276"/>
      <c r="AF111" s="276"/>
      <c r="AG111" s="276"/>
      <c r="AH111" s="276"/>
      <c r="AI111" s="276"/>
      <c r="AJ111" s="276"/>
      <c r="AK111" s="276"/>
      <c r="AL111" s="276"/>
      <c r="AM111" s="276"/>
      <c r="AN111" s="276"/>
      <c r="AO111" s="276"/>
      <c r="AP111" s="276"/>
      <c r="AQ111" s="276"/>
      <c r="AR111" s="276"/>
      <c r="AS111" s="276"/>
      <c r="AT111" s="276"/>
      <c r="AU111" s="276"/>
      <c r="AV111" s="276"/>
      <c r="AW111" s="276"/>
      <c r="AX111" s="276"/>
      <c r="AY111" s="276"/>
    </row>
    <row r="112" spans="1:51" ht="15.75" customHeight="1" x14ac:dyDescent="0.25">
      <c r="A112" s="276"/>
      <c r="B112" s="276"/>
      <c r="C112" s="353"/>
      <c r="D112" s="276"/>
      <c r="E112" s="276"/>
      <c r="F112" s="276"/>
      <c r="G112" s="276"/>
      <c r="H112" s="276"/>
      <c r="I112" s="276"/>
      <c r="J112" s="353"/>
      <c r="K112" s="276"/>
      <c r="L112" s="276"/>
      <c r="M112" s="276"/>
      <c r="N112" s="276"/>
      <c r="O112" s="276"/>
      <c r="P112" s="276"/>
      <c r="Q112" s="276"/>
      <c r="R112" s="276"/>
      <c r="S112" s="276"/>
      <c r="T112" s="276"/>
      <c r="U112" s="276"/>
      <c r="V112" s="276"/>
      <c r="W112" s="276"/>
      <c r="X112" s="276"/>
      <c r="Y112" s="276"/>
      <c r="Z112" s="276"/>
      <c r="AA112" s="276"/>
      <c r="AB112" s="276"/>
      <c r="AC112" s="276"/>
      <c r="AD112" s="276"/>
      <c r="AE112" s="276"/>
      <c r="AF112" s="276"/>
      <c r="AG112" s="276"/>
      <c r="AH112" s="276"/>
      <c r="AI112" s="276"/>
      <c r="AJ112" s="276"/>
      <c r="AK112" s="276"/>
      <c r="AL112" s="276"/>
      <c r="AM112" s="276"/>
      <c r="AN112" s="276"/>
      <c r="AO112" s="276"/>
      <c r="AP112" s="276"/>
      <c r="AQ112" s="276"/>
      <c r="AR112" s="276"/>
      <c r="AS112" s="276"/>
      <c r="AT112" s="276"/>
      <c r="AU112" s="276"/>
      <c r="AV112" s="276"/>
      <c r="AW112" s="276"/>
      <c r="AX112" s="276"/>
      <c r="AY112" s="276"/>
    </row>
    <row r="113" spans="1:51" ht="15.75" customHeight="1" x14ac:dyDescent="0.25">
      <c r="A113" s="276"/>
      <c r="B113" s="276"/>
      <c r="C113" s="353"/>
      <c r="D113" s="276"/>
      <c r="E113" s="276"/>
      <c r="F113" s="276"/>
      <c r="G113" s="276"/>
      <c r="H113" s="276"/>
      <c r="I113" s="276"/>
      <c r="J113" s="353"/>
      <c r="K113" s="276"/>
      <c r="L113" s="276"/>
      <c r="M113" s="276"/>
      <c r="N113" s="276"/>
      <c r="O113" s="276"/>
      <c r="P113" s="276"/>
      <c r="Q113" s="276"/>
      <c r="R113" s="276"/>
      <c r="S113" s="276"/>
      <c r="T113" s="276"/>
      <c r="U113" s="276"/>
      <c r="V113" s="276"/>
      <c r="W113" s="276"/>
      <c r="X113" s="276"/>
      <c r="Y113" s="276"/>
      <c r="Z113" s="276"/>
      <c r="AA113" s="276"/>
      <c r="AB113" s="276"/>
      <c r="AC113" s="276"/>
      <c r="AD113" s="276"/>
      <c r="AE113" s="276"/>
      <c r="AF113" s="276"/>
      <c r="AG113" s="276"/>
      <c r="AH113" s="276"/>
      <c r="AI113" s="276"/>
      <c r="AJ113" s="276"/>
      <c r="AK113" s="276"/>
      <c r="AL113" s="276"/>
      <c r="AM113" s="276"/>
      <c r="AN113" s="276"/>
      <c r="AO113" s="276"/>
      <c r="AP113" s="276"/>
      <c r="AQ113" s="276"/>
      <c r="AR113" s="276"/>
      <c r="AS113" s="276"/>
      <c r="AT113" s="276"/>
      <c r="AU113" s="276"/>
      <c r="AV113" s="276"/>
      <c r="AW113" s="276"/>
      <c r="AX113" s="276"/>
      <c r="AY113" s="276"/>
    </row>
    <row r="114" spans="1:51" ht="15.75" customHeight="1" x14ac:dyDescent="0.25">
      <c r="A114" s="276"/>
      <c r="B114" s="276"/>
      <c r="C114" s="353"/>
      <c r="D114" s="276"/>
      <c r="E114" s="276"/>
      <c r="F114" s="276"/>
      <c r="G114" s="276"/>
      <c r="H114" s="276"/>
      <c r="I114" s="276"/>
      <c r="J114" s="353"/>
      <c r="K114" s="276"/>
      <c r="L114" s="276"/>
      <c r="M114" s="276"/>
      <c r="N114" s="276"/>
      <c r="O114" s="276"/>
      <c r="P114" s="276"/>
      <c r="Q114" s="276"/>
      <c r="R114" s="276"/>
      <c r="S114" s="276"/>
      <c r="T114" s="276"/>
      <c r="U114" s="276"/>
      <c r="V114" s="276"/>
      <c r="W114" s="276"/>
      <c r="X114" s="276"/>
      <c r="Y114" s="276"/>
      <c r="Z114" s="276"/>
      <c r="AA114" s="276"/>
      <c r="AB114" s="276"/>
      <c r="AC114" s="276"/>
      <c r="AD114" s="276"/>
      <c r="AE114" s="276"/>
      <c r="AF114" s="276"/>
      <c r="AG114" s="276"/>
      <c r="AH114" s="276"/>
      <c r="AI114" s="276"/>
      <c r="AJ114" s="276"/>
      <c r="AK114" s="276"/>
      <c r="AL114" s="276"/>
      <c r="AM114" s="276"/>
      <c r="AN114" s="276"/>
      <c r="AO114" s="276"/>
      <c r="AP114" s="276"/>
      <c r="AQ114" s="276"/>
      <c r="AR114" s="276"/>
      <c r="AS114" s="276"/>
      <c r="AT114" s="276"/>
      <c r="AU114" s="276"/>
      <c r="AV114" s="276"/>
      <c r="AW114" s="276"/>
      <c r="AX114" s="276"/>
      <c r="AY114" s="276"/>
    </row>
    <row r="115" spans="1:51" ht="15.75" customHeight="1" x14ac:dyDescent="0.25">
      <c r="A115" s="276"/>
      <c r="B115" s="276"/>
      <c r="C115" s="353"/>
      <c r="D115" s="276"/>
      <c r="E115" s="276"/>
      <c r="F115" s="276"/>
      <c r="G115" s="276"/>
      <c r="H115" s="276"/>
      <c r="I115" s="276"/>
      <c r="J115" s="353"/>
      <c r="K115" s="276"/>
      <c r="L115" s="276"/>
      <c r="M115" s="276"/>
      <c r="N115" s="276"/>
      <c r="O115" s="276"/>
      <c r="P115" s="276"/>
      <c r="Q115" s="276"/>
      <c r="R115" s="276"/>
      <c r="S115" s="276"/>
      <c r="T115" s="276"/>
      <c r="U115" s="276"/>
      <c r="V115" s="276"/>
      <c r="W115" s="276"/>
      <c r="X115" s="276"/>
      <c r="Y115" s="276"/>
      <c r="Z115" s="276"/>
      <c r="AA115" s="276"/>
      <c r="AB115" s="276"/>
      <c r="AC115" s="276"/>
      <c r="AD115" s="276"/>
      <c r="AE115" s="276"/>
      <c r="AF115" s="276"/>
      <c r="AG115" s="276"/>
      <c r="AH115" s="276"/>
      <c r="AI115" s="276"/>
      <c r="AJ115" s="276"/>
      <c r="AK115" s="276"/>
      <c r="AL115" s="276"/>
      <c r="AM115" s="276"/>
      <c r="AN115" s="276"/>
      <c r="AO115" s="276"/>
      <c r="AP115" s="276"/>
      <c r="AQ115" s="276"/>
      <c r="AR115" s="276"/>
      <c r="AS115" s="276"/>
      <c r="AT115" s="276"/>
      <c r="AU115" s="276"/>
      <c r="AV115" s="276"/>
      <c r="AW115" s="276"/>
      <c r="AX115" s="276"/>
      <c r="AY115" s="276"/>
    </row>
    <row r="116" spans="1:51" ht="15.75" customHeight="1" x14ac:dyDescent="0.25">
      <c r="A116" s="276"/>
      <c r="B116" s="276"/>
      <c r="C116" s="353"/>
      <c r="D116" s="276"/>
      <c r="E116" s="276"/>
      <c r="F116" s="276"/>
      <c r="G116" s="276"/>
      <c r="H116" s="276"/>
      <c r="I116" s="276"/>
      <c r="J116" s="353"/>
      <c r="K116" s="276"/>
      <c r="L116" s="276"/>
      <c r="M116" s="276"/>
      <c r="N116" s="276"/>
      <c r="O116" s="276"/>
      <c r="P116" s="276"/>
      <c r="Q116" s="276"/>
      <c r="R116" s="276"/>
      <c r="S116" s="276"/>
      <c r="T116" s="276"/>
      <c r="U116" s="276"/>
      <c r="V116" s="276"/>
      <c r="W116" s="276"/>
      <c r="X116" s="276"/>
      <c r="Y116" s="276"/>
      <c r="Z116" s="276"/>
      <c r="AA116" s="276"/>
      <c r="AB116" s="276"/>
      <c r="AC116" s="276"/>
      <c r="AD116" s="276"/>
      <c r="AE116" s="276"/>
      <c r="AF116" s="276"/>
      <c r="AG116" s="276"/>
      <c r="AH116" s="276"/>
      <c r="AI116" s="276"/>
      <c r="AJ116" s="276"/>
      <c r="AK116" s="276"/>
      <c r="AL116" s="276"/>
      <c r="AM116" s="276"/>
      <c r="AN116" s="276"/>
      <c r="AO116" s="276"/>
      <c r="AP116" s="276"/>
      <c r="AQ116" s="276"/>
      <c r="AR116" s="276"/>
      <c r="AS116" s="276"/>
      <c r="AT116" s="276"/>
      <c r="AU116" s="276"/>
      <c r="AV116" s="276"/>
      <c r="AW116" s="276"/>
      <c r="AX116" s="276"/>
      <c r="AY116" s="276"/>
    </row>
    <row r="117" spans="1:51" ht="15.75" customHeight="1" x14ac:dyDescent="0.25">
      <c r="A117" s="276"/>
      <c r="B117" s="276"/>
      <c r="C117" s="353"/>
      <c r="D117" s="276"/>
      <c r="E117" s="276"/>
      <c r="F117" s="276"/>
      <c r="G117" s="276"/>
      <c r="H117" s="276"/>
      <c r="I117" s="276"/>
      <c r="J117" s="353"/>
      <c r="K117" s="276"/>
      <c r="L117" s="276"/>
      <c r="M117" s="276"/>
      <c r="N117" s="276"/>
      <c r="O117" s="276"/>
      <c r="P117" s="276"/>
      <c r="Q117" s="276"/>
      <c r="R117" s="276"/>
      <c r="S117" s="276"/>
      <c r="T117" s="276"/>
      <c r="U117" s="276"/>
      <c r="V117" s="276"/>
      <c r="W117" s="276"/>
      <c r="X117" s="276"/>
      <c r="Y117" s="276"/>
      <c r="Z117" s="276"/>
      <c r="AA117" s="276"/>
      <c r="AB117" s="276"/>
      <c r="AC117" s="276"/>
      <c r="AD117" s="276"/>
      <c r="AE117" s="276"/>
      <c r="AF117" s="276"/>
      <c r="AG117" s="276"/>
      <c r="AH117" s="276"/>
      <c r="AI117" s="276"/>
      <c r="AJ117" s="276"/>
      <c r="AK117" s="276"/>
      <c r="AL117" s="276"/>
      <c r="AM117" s="276"/>
      <c r="AN117" s="276"/>
      <c r="AO117" s="276"/>
      <c r="AP117" s="276"/>
      <c r="AQ117" s="276"/>
      <c r="AR117" s="276"/>
      <c r="AS117" s="276"/>
      <c r="AT117" s="276"/>
      <c r="AU117" s="276"/>
      <c r="AV117" s="276"/>
      <c r="AW117" s="276"/>
      <c r="AX117" s="276"/>
      <c r="AY117" s="276"/>
    </row>
    <row r="118" spans="1:51" ht="15.75" customHeight="1" x14ac:dyDescent="0.25">
      <c r="A118" s="276"/>
      <c r="B118" s="276"/>
      <c r="C118" s="353"/>
      <c r="D118" s="276"/>
      <c r="E118" s="276"/>
      <c r="F118" s="276"/>
      <c r="G118" s="276"/>
      <c r="H118" s="276"/>
      <c r="I118" s="276"/>
      <c r="J118" s="353"/>
      <c r="K118" s="276"/>
      <c r="L118" s="276"/>
      <c r="M118" s="276"/>
      <c r="N118" s="276"/>
      <c r="O118" s="276"/>
      <c r="P118" s="276"/>
      <c r="Q118" s="276"/>
      <c r="R118" s="276"/>
      <c r="S118" s="276"/>
      <c r="T118" s="276"/>
      <c r="U118" s="276"/>
      <c r="V118" s="276"/>
      <c r="W118" s="276"/>
      <c r="X118" s="276"/>
      <c r="Y118" s="276"/>
      <c r="Z118" s="276"/>
      <c r="AA118" s="276"/>
      <c r="AB118" s="276"/>
      <c r="AC118" s="276"/>
      <c r="AD118" s="276"/>
      <c r="AE118" s="276"/>
      <c r="AF118" s="276"/>
      <c r="AG118" s="276"/>
      <c r="AH118" s="276"/>
      <c r="AI118" s="276"/>
      <c r="AJ118" s="276"/>
      <c r="AK118" s="276"/>
      <c r="AL118" s="276"/>
      <c r="AM118" s="276"/>
      <c r="AN118" s="276"/>
      <c r="AO118" s="276"/>
      <c r="AP118" s="276"/>
      <c r="AQ118" s="276"/>
      <c r="AR118" s="276"/>
      <c r="AS118" s="276"/>
      <c r="AT118" s="276"/>
      <c r="AU118" s="276"/>
      <c r="AV118" s="276"/>
      <c r="AW118" s="276"/>
      <c r="AX118" s="276"/>
      <c r="AY118" s="276"/>
    </row>
    <row r="119" spans="1:51" ht="15.75" customHeight="1" x14ac:dyDescent="0.25">
      <c r="A119" s="276"/>
      <c r="B119" s="276"/>
      <c r="C119" s="353"/>
      <c r="D119" s="276"/>
      <c r="E119" s="276"/>
      <c r="F119" s="276"/>
      <c r="G119" s="276"/>
      <c r="H119" s="276"/>
      <c r="I119" s="276"/>
      <c r="J119" s="353"/>
      <c r="K119" s="276"/>
      <c r="L119" s="276"/>
      <c r="M119" s="276"/>
      <c r="N119" s="276"/>
      <c r="O119" s="276"/>
      <c r="P119" s="276"/>
      <c r="Q119" s="276"/>
      <c r="R119" s="276"/>
      <c r="S119" s="276"/>
      <c r="T119" s="276"/>
      <c r="U119" s="276"/>
      <c r="V119" s="276"/>
      <c r="W119" s="276"/>
      <c r="X119" s="276"/>
      <c r="Y119" s="276"/>
      <c r="Z119" s="276"/>
      <c r="AA119" s="276"/>
      <c r="AB119" s="276"/>
      <c r="AC119" s="276"/>
      <c r="AD119" s="276"/>
      <c r="AE119" s="276"/>
      <c r="AF119" s="276"/>
      <c r="AG119" s="276"/>
      <c r="AH119" s="276"/>
      <c r="AI119" s="276"/>
      <c r="AJ119" s="276"/>
      <c r="AK119" s="276"/>
      <c r="AL119" s="276"/>
      <c r="AM119" s="276"/>
      <c r="AN119" s="276"/>
      <c r="AO119" s="276"/>
      <c r="AP119" s="276"/>
      <c r="AQ119" s="276"/>
      <c r="AR119" s="276"/>
      <c r="AS119" s="276"/>
      <c r="AT119" s="276"/>
      <c r="AU119" s="276"/>
      <c r="AV119" s="276"/>
      <c r="AW119" s="276"/>
      <c r="AX119" s="276"/>
      <c r="AY119" s="276"/>
    </row>
    <row r="120" spans="1:51" ht="15.75" customHeight="1" x14ac:dyDescent="0.25">
      <c r="A120" s="276"/>
      <c r="B120" s="276"/>
      <c r="C120" s="353"/>
      <c r="D120" s="276"/>
      <c r="E120" s="276"/>
      <c r="F120" s="276"/>
      <c r="G120" s="276"/>
      <c r="H120" s="276"/>
      <c r="I120" s="276"/>
      <c r="J120" s="353"/>
      <c r="K120" s="276"/>
      <c r="L120" s="276"/>
      <c r="M120" s="276"/>
      <c r="N120" s="276"/>
      <c r="O120" s="276"/>
      <c r="P120" s="276"/>
      <c r="Q120" s="276"/>
      <c r="R120" s="276"/>
      <c r="S120" s="276"/>
      <c r="T120" s="276"/>
      <c r="U120" s="276"/>
      <c r="V120" s="276"/>
      <c r="W120" s="276"/>
      <c r="X120" s="276"/>
      <c r="Y120" s="276"/>
      <c r="Z120" s="276"/>
      <c r="AA120" s="276"/>
      <c r="AB120" s="276"/>
      <c r="AC120" s="276"/>
      <c r="AD120" s="276"/>
      <c r="AE120" s="276"/>
      <c r="AF120" s="276"/>
      <c r="AG120" s="276"/>
      <c r="AH120" s="276"/>
      <c r="AI120" s="276"/>
      <c r="AJ120" s="276"/>
      <c r="AK120" s="276"/>
      <c r="AL120" s="276"/>
      <c r="AM120" s="276"/>
      <c r="AN120" s="276"/>
      <c r="AO120" s="276"/>
      <c r="AP120" s="276"/>
      <c r="AQ120" s="276"/>
      <c r="AR120" s="276"/>
      <c r="AS120" s="276"/>
      <c r="AT120" s="276"/>
      <c r="AU120" s="276"/>
      <c r="AV120" s="276"/>
      <c r="AW120" s="276"/>
      <c r="AX120" s="276"/>
      <c r="AY120" s="276"/>
    </row>
    <row r="121" spans="1:51" ht="15.75" customHeight="1" x14ac:dyDescent="0.25">
      <c r="A121" s="276"/>
      <c r="B121" s="276"/>
      <c r="C121" s="353"/>
      <c r="D121" s="276"/>
      <c r="E121" s="276"/>
      <c r="F121" s="276"/>
      <c r="G121" s="276"/>
      <c r="H121" s="276"/>
      <c r="I121" s="276"/>
      <c r="J121" s="353"/>
      <c r="K121" s="276"/>
      <c r="L121" s="276"/>
      <c r="M121" s="276"/>
      <c r="N121" s="276"/>
      <c r="O121" s="276"/>
      <c r="P121" s="276"/>
      <c r="Q121" s="276"/>
      <c r="R121" s="276"/>
      <c r="S121" s="276"/>
      <c r="T121" s="276"/>
      <c r="U121" s="276"/>
      <c r="V121" s="276"/>
      <c r="W121" s="276"/>
      <c r="X121" s="276"/>
      <c r="Y121" s="276"/>
      <c r="Z121" s="276"/>
      <c r="AA121" s="276"/>
      <c r="AB121" s="276"/>
      <c r="AC121" s="276"/>
      <c r="AD121" s="276"/>
      <c r="AE121" s="276"/>
      <c r="AF121" s="276"/>
      <c r="AG121" s="276"/>
      <c r="AH121" s="276"/>
      <c r="AI121" s="276"/>
      <c r="AJ121" s="276"/>
      <c r="AK121" s="276"/>
      <c r="AL121" s="276"/>
      <c r="AM121" s="276"/>
      <c r="AN121" s="276"/>
      <c r="AO121" s="276"/>
      <c r="AP121" s="276"/>
      <c r="AQ121" s="276"/>
      <c r="AR121" s="276"/>
      <c r="AS121" s="276"/>
      <c r="AT121" s="276"/>
      <c r="AU121" s="276"/>
      <c r="AV121" s="276"/>
      <c r="AW121" s="276"/>
      <c r="AX121" s="276"/>
      <c r="AY121" s="276"/>
    </row>
    <row r="122" spans="1:51" ht="15.75" customHeight="1" x14ac:dyDescent="0.25">
      <c r="A122" s="276"/>
      <c r="B122" s="276"/>
      <c r="C122" s="353"/>
      <c r="D122" s="276"/>
      <c r="E122" s="276"/>
      <c r="F122" s="276"/>
      <c r="G122" s="276"/>
      <c r="H122" s="276"/>
      <c r="I122" s="276"/>
      <c r="J122" s="353"/>
      <c r="K122" s="276"/>
      <c r="L122" s="276"/>
      <c r="M122" s="276"/>
      <c r="N122" s="276"/>
      <c r="O122" s="276"/>
      <c r="P122" s="276"/>
      <c r="Q122" s="276"/>
      <c r="R122" s="276"/>
      <c r="S122" s="276"/>
      <c r="T122" s="276"/>
      <c r="U122" s="276"/>
      <c r="V122" s="276"/>
      <c r="W122" s="276"/>
      <c r="X122" s="276"/>
      <c r="Y122" s="276"/>
      <c r="Z122" s="276"/>
      <c r="AA122" s="276"/>
      <c r="AB122" s="276"/>
      <c r="AC122" s="276"/>
      <c r="AD122" s="276"/>
      <c r="AE122" s="276"/>
      <c r="AF122" s="276"/>
      <c r="AG122" s="276"/>
      <c r="AH122" s="276"/>
      <c r="AI122" s="276"/>
      <c r="AJ122" s="276"/>
      <c r="AK122" s="276"/>
      <c r="AL122" s="276"/>
      <c r="AM122" s="276"/>
      <c r="AN122" s="276"/>
      <c r="AO122" s="276"/>
      <c r="AP122" s="276"/>
      <c r="AQ122" s="276"/>
      <c r="AR122" s="276"/>
      <c r="AS122" s="276"/>
      <c r="AT122" s="276"/>
      <c r="AU122" s="276"/>
      <c r="AV122" s="276"/>
      <c r="AW122" s="276"/>
      <c r="AX122" s="276"/>
      <c r="AY122" s="276"/>
    </row>
    <row r="123" spans="1:51" ht="15.75" customHeight="1" x14ac:dyDescent="0.25">
      <c r="A123" s="276"/>
      <c r="B123" s="276"/>
      <c r="C123" s="353"/>
      <c r="D123" s="276"/>
      <c r="E123" s="276"/>
      <c r="F123" s="276"/>
      <c r="G123" s="276"/>
      <c r="H123" s="276"/>
      <c r="I123" s="276"/>
      <c r="J123" s="353"/>
      <c r="K123" s="276"/>
      <c r="L123" s="276"/>
      <c r="M123" s="276"/>
      <c r="N123" s="276"/>
      <c r="O123" s="276"/>
      <c r="P123" s="276"/>
      <c r="Q123" s="276"/>
      <c r="R123" s="276"/>
      <c r="S123" s="276"/>
      <c r="T123" s="276"/>
      <c r="U123" s="276"/>
      <c r="V123" s="276"/>
      <c r="W123" s="276"/>
      <c r="X123" s="276"/>
      <c r="Y123" s="276"/>
      <c r="Z123" s="276"/>
      <c r="AA123" s="276"/>
      <c r="AB123" s="276"/>
      <c r="AC123" s="276"/>
      <c r="AD123" s="276"/>
      <c r="AE123" s="276"/>
      <c r="AF123" s="276"/>
      <c r="AG123" s="276"/>
      <c r="AH123" s="276"/>
      <c r="AI123" s="276"/>
      <c r="AJ123" s="276"/>
      <c r="AK123" s="276"/>
      <c r="AL123" s="276"/>
      <c r="AM123" s="276"/>
      <c r="AN123" s="276"/>
      <c r="AO123" s="276"/>
      <c r="AP123" s="276"/>
      <c r="AQ123" s="276"/>
      <c r="AR123" s="276"/>
      <c r="AS123" s="276"/>
      <c r="AT123" s="276"/>
      <c r="AU123" s="276"/>
      <c r="AV123" s="276"/>
      <c r="AW123" s="276"/>
      <c r="AX123" s="276"/>
      <c r="AY123" s="276"/>
    </row>
    <row r="124" spans="1:51" ht="15.75" customHeight="1" x14ac:dyDescent="0.25">
      <c r="A124" s="276"/>
      <c r="B124" s="276"/>
      <c r="C124" s="353"/>
      <c r="D124" s="276"/>
      <c r="E124" s="276"/>
      <c r="F124" s="276"/>
      <c r="G124" s="276"/>
      <c r="H124" s="276"/>
      <c r="I124" s="276"/>
      <c r="J124" s="353"/>
      <c r="K124" s="276"/>
      <c r="L124" s="276"/>
      <c r="M124" s="276"/>
      <c r="N124" s="276"/>
      <c r="O124" s="276"/>
      <c r="P124" s="276"/>
      <c r="Q124" s="276"/>
      <c r="R124" s="276"/>
      <c r="S124" s="276"/>
      <c r="T124" s="276"/>
      <c r="U124" s="276"/>
      <c r="V124" s="276"/>
      <c r="W124" s="276"/>
      <c r="X124" s="276"/>
      <c r="Y124" s="276"/>
      <c r="Z124" s="276"/>
      <c r="AA124" s="276"/>
      <c r="AB124" s="276"/>
      <c r="AC124" s="276"/>
      <c r="AD124" s="276"/>
      <c r="AE124" s="276"/>
      <c r="AF124" s="276"/>
      <c r="AG124" s="276"/>
      <c r="AH124" s="276"/>
      <c r="AI124" s="276"/>
      <c r="AJ124" s="276"/>
      <c r="AK124" s="276"/>
      <c r="AL124" s="276"/>
      <c r="AM124" s="276"/>
      <c r="AN124" s="276"/>
      <c r="AO124" s="276"/>
      <c r="AP124" s="276"/>
      <c r="AQ124" s="276"/>
      <c r="AR124" s="276"/>
      <c r="AS124" s="276"/>
      <c r="AT124" s="276"/>
      <c r="AU124" s="276"/>
      <c r="AV124" s="276"/>
      <c r="AW124" s="276"/>
      <c r="AX124" s="276"/>
      <c r="AY124" s="276"/>
    </row>
    <row r="125" spans="1:51" ht="15.75" customHeight="1" x14ac:dyDescent="0.25">
      <c r="A125" s="276"/>
      <c r="B125" s="276"/>
      <c r="C125" s="353"/>
      <c r="D125" s="276"/>
      <c r="E125" s="276"/>
      <c r="F125" s="276"/>
      <c r="G125" s="276"/>
      <c r="H125" s="276"/>
      <c r="I125" s="276"/>
      <c r="J125" s="353"/>
      <c r="K125" s="276"/>
      <c r="L125" s="276"/>
      <c r="M125" s="276"/>
      <c r="N125" s="276"/>
      <c r="O125" s="276"/>
      <c r="P125" s="276"/>
      <c r="Q125" s="276"/>
      <c r="R125" s="276"/>
      <c r="S125" s="276"/>
      <c r="T125" s="276"/>
      <c r="U125" s="276"/>
      <c r="V125" s="276"/>
      <c r="W125" s="276"/>
      <c r="X125" s="276"/>
      <c r="Y125" s="276"/>
      <c r="Z125" s="276"/>
      <c r="AA125" s="276"/>
      <c r="AB125" s="276"/>
      <c r="AC125" s="276"/>
      <c r="AD125" s="276"/>
      <c r="AE125" s="276"/>
      <c r="AF125" s="276"/>
      <c r="AG125" s="276"/>
      <c r="AH125" s="276"/>
      <c r="AI125" s="276"/>
      <c r="AJ125" s="276"/>
      <c r="AK125" s="276"/>
      <c r="AL125" s="276"/>
      <c r="AM125" s="276"/>
      <c r="AN125" s="276"/>
      <c r="AO125" s="276"/>
      <c r="AP125" s="276"/>
      <c r="AQ125" s="276"/>
      <c r="AR125" s="276"/>
      <c r="AS125" s="276"/>
      <c r="AT125" s="276"/>
      <c r="AU125" s="276"/>
      <c r="AV125" s="276"/>
      <c r="AW125" s="276"/>
      <c r="AX125" s="276"/>
      <c r="AY125" s="276"/>
    </row>
    <row r="126" spans="1:51" ht="15.75" customHeight="1" x14ac:dyDescent="0.25">
      <c r="A126" s="276"/>
      <c r="B126" s="276"/>
      <c r="C126" s="353"/>
      <c r="D126" s="276"/>
      <c r="E126" s="276"/>
      <c r="F126" s="276"/>
      <c r="G126" s="276"/>
      <c r="H126" s="276"/>
      <c r="I126" s="276"/>
      <c r="J126" s="353"/>
      <c r="K126" s="276"/>
      <c r="L126" s="276"/>
      <c r="M126" s="276"/>
      <c r="N126" s="276"/>
      <c r="O126" s="276"/>
      <c r="P126" s="276"/>
      <c r="Q126" s="276"/>
      <c r="R126" s="276"/>
      <c r="S126" s="276"/>
      <c r="T126" s="276"/>
      <c r="U126" s="276"/>
      <c r="V126" s="276"/>
      <c r="W126" s="276"/>
      <c r="X126" s="276"/>
      <c r="Y126" s="276"/>
      <c r="Z126" s="276"/>
      <c r="AA126" s="276"/>
      <c r="AB126" s="276"/>
      <c r="AC126" s="276"/>
      <c r="AD126" s="276"/>
      <c r="AE126" s="276"/>
      <c r="AF126" s="276"/>
      <c r="AG126" s="276"/>
      <c r="AH126" s="276"/>
      <c r="AI126" s="276"/>
      <c r="AJ126" s="276"/>
      <c r="AK126" s="276"/>
      <c r="AL126" s="276"/>
      <c r="AM126" s="276"/>
      <c r="AN126" s="276"/>
      <c r="AO126" s="276"/>
      <c r="AP126" s="276"/>
      <c r="AQ126" s="276"/>
      <c r="AR126" s="276"/>
      <c r="AS126" s="276"/>
      <c r="AT126" s="276"/>
      <c r="AU126" s="276"/>
      <c r="AV126" s="276"/>
      <c r="AW126" s="276"/>
      <c r="AX126" s="276"/>
      <c r="AY126" s="276"/>
    </row>
    <row r="127" spans="1:51" ht="15.75" customHeight="1" x14ac:dyDescent="0.25">
      <c r="A127" s="276"/>
      <c r="B127" s="276"/>
      <c r="C127" s="353"/>
      <c r="D127" s="276"/>
      <c r="E127" s="276"/>
      <c r="F127" s="276"/>
      <c r="G127" s="276"/>
      <c r="H127" s="276"/>
      <c r="I127" s="276"/>
      <c r="J127" s="353"/>
      <c r="K127" s="276"/>
      <c r="L127" s="276"/>
      <c r="M127" s="276"/>
      <c r="N127" s="276"/>
      <c r="O127" s="276"/>
      <c r="P127" s="276"/>
      <c r="Q127" s="276"/>
      <c r="R127" s="276"/>
      <c r="S127" s="276"/>
      <c r="T127" s="276"/>
      <c r="U127" s="276"/>
      <c r="V127" s="276"/>
      <c r="W127" s="276"/>
      <c r="X127" s="276"/>
      <c r="Y127" s="276"/>
      <c r="Z127" s="276"/>
      <c r="AA127" s="276"/>
      <c r="AB127" s="276"/>
      <c r="AC127" s="276"/>
      <c r="AD127" s="276"/>
      <c r="AE127" s="276"/>
      <c r="AF127" s="276"/>
      <c r="AG127" s="276"/>
      <c r="AH127" s="276"/>
      <c r="AI127" s="276"/>
      <c r="AJ127" s="276"/>
      <c r="AK127" s="276"/>
      <c r="AL127" s="276"/>
      <c r="AM127" s="276"/>
      <c r="AN127" s="276"/>
      <c r="AO127" s="276"/>
      <c r="AP127" s="276"/>
      <c r="AQ127" s="276"/>
      <c r="AR127" s="276"/>
      <c r="AS127" s="276"/>
      <c r="AT127" s="276"/>
      <c r="AU127" s="276"/>
      <c r="AV127" s="276"/>
      <c r="AW127" s="276"/>
      <c r="AX127" s="276"/>
      <c r="AY127" s="276"/>
    </row>
    <row r="128" spans="1:51" ht="15.75" customHeight="1" x14ac:dyDescent="0.25">
      <c r="A128" s="276"/>
      <c r="B128" s="276"/>
      <c r="C128" s="353"/>
      <c r="D128" s="276"/>
      <c r="E128" s="276"/>
      <c r="F128" s="276"/>
      <c r="G128" s="276"/>
      <c r="H128" s="276"/>
      <c r="I128" s="276"/>
      <c r="J128" s="353"/>
      <c r="K128" s="276"/>
      <c r="L128" s="276"/>
      <c r="M128" s="276"/>
      <c r="N128" s="276"/>
      <c r="O128" s="276"/>
      <c r="P128" s="276"/>
      <c r="Q128" s="276"/>
      <c r="R128" s="276"/>
      <c r="S128" s="276"/>
      <c r="T128" s="276"/>
      <c r="U128" s="276"/>
      <c r="V128" s="276"/>
      <c r="W128" s="276"/>
      <c r="X128" s="276"/>
      <c r="Y128" s="276"/>
      <c r="Z128" s="276"/>
      <c r="AA128" s="276"/>
      <c r="AB128" s="276"/>
      <c r="AC128" s="276"/>
      <c r="AD128" s="276"/>
      <c r="AE128" s="276"/>
      <c r="AF128" s="276"/>
      <c r="AG128" s="276"/>
      <c r="AH128" s="276"/>
      <c r="AI128" s="276"/>
      <c r="AJ128" s="276"/>
      <c r="AK128" s="276"/>
      <c r="AL128" s="276"/>
      <c r="AM128" s="276"/>
      <c r="AN128" s="276"/>
      <c r="AO128" s="276"/>
      <c r="AP128" s="276"/>
      <c r="AQ128" s="276"/>
      <c r="AR128" s="276"/>
      <c r="AS128" s="276"/>
      <c r="AT128" s="276"/>
      <c r="AU128" s="276"/>
      <c r="AV128" s="276"/>
      <c r="AW128" s="276"/>
      <c r="AX128" s="276"/>
      <c r="AY128" s="276"/>
    </row>
    <row r="129" spans="1:51" ht="15.75" customHeight="1" x14ac:dyDescent="0.25">
      <c r="A129" s="276"/>
      <c r="B129" s="276"/>
      <c r="C129" s="353"/>
      <c r="D129" s="276"/>
      <c r="E129" s="276"/>
      <c r="F129" s="276"/>
      <c r="G129" s="276"/>
      <c r="H129" s="276"/>
      <c r="I129" s="276"/>
      <c r="J129" s="353"/>
      <c r="K129" s="276"/>
      <c r="L129" s="276"/>
      <c r="M129" s="276"/>
      <c r="N129" s="276"/>
      <c r="O129" s="276"/>
      <c r="P129" s="276"/>
      <c r="Q129" s="276"/>
      <c r="R129" s="276"/>
      <c r="S129" s="276"/>
      <c r="T129" s="276"/>
      <c r="U129" s="276"/>
      <c r="V129" s="276"/>
      <c r="W129" s="276"/>
      <c r="X129" s="276"/>
      <c r="Y129" s="276"/>
      <c r="Z129" s="276"/>
      <c r="AA129" s="276"/>
      <c r="AB129" s="276"/>
      <c r="AC129" s="276"/>
      <c r="AD129" s="276"/>
      <c r="AE129" s="276"/>
      <c r="AF129" s="276"/>
      <c r="AG129" s="276"/>
      <c r="AH129" s="276"/>
      <c r="AI129" s="276"/>
      <c r="AJ129" s="276"/>
      <c r="AK129" s="276"/>
      <c r="AL129" s="276"/>
      <c r="AM129" s="276"/>
      <c r="AN129" s="276"/>
      <c r="AO129" s="276"/>
      <c r="AP129" s="276"/>
      <c r="AQ129" s="276"/>
      <c r="AR129" s="276"/>
      <c r="AS129" s="276"/>
      <c r="AT129" s="276"/>
      <c r="AU129" s="276"/>
      <c r="AV129" s="276"/>
      <c r="AW129" s="276"/>
      <c r="AX129" s="276"/>
      <c r="AY129" s="276"/>
    </row>
    <row r="130" spans="1:51" ht="15.75" customHeight="1" x14ac:dyDescent="0.25">
      <c r="A130" s="276"/>
      <c r="B130" s="276"/>
      <c r="C130" s="353"/>
      <c r="D130" s="276"/>
      <c r="E130" s="276"/>
      <c r="F130" s="276"/>
      <c r="G130" s="276"/>
      <c r="H130" s="276"/>
      <c r="I130" s="276"/>
      <c r="J130" s="353"/>
      <c r="K130" s="276"/>
      <c r="L130" s="276"/>
      <c r="M130" s="276"/>
      <c r="N130" s="276"/>
      <c r="O130" s="276"/>
      <c r="P130" s="276"/>
      <c r="Q130" s="276"/>
      <c r="R130" s="276"/>
      <c r="S130" s="276"/>
      <c r="T130" s="276"/>
      <c r="U130" s="276"/>
      <c r="V130" s="276"/>
      <c r="W130" s="276"/>
      <c r="X130" s="276"/>
      <c r="Y130" s="276"/>
      <c r="Z130" s="276"/>
      <c r="AA130" s="276"/>
      <c r="AB130" s="276"/>
      <c r="AC130" s="276"/>
      <c r="AD130" s="276"/>
      <c r="AE130" s="276"/>
      <c r="AF130" s="276"/>
      <c r="AG130" s="276"/>
      <c r="AH130" s="276"/>
      <c r="AI130" s="276"/>
      <c r="AJ130" s="276"/>
      <c r="AK130" s="276"/>
      <c r="AL130" s="276"/>
      <c r="AM130" s="276"/>
      <c r="AN130" s="276"/>
      <c r="AO130" s="276"/>
      <c r="AP130" s="276"/>
      <c r="AQ130" s="276"/>
      <c r="AR130" s="276"/>
      <c r="AS130" s="276"/>
      <c r="AT130" s="276"/>
      <c r="AU130" s="276"/>
      <c r="AV130" s="276"/>
      <c r="AW130" s="276"/>
      <c r="AX130" s="276"/>
      <c r="AY130" s="276"/>
    </row>
    <row r="131" spans="1:51" ht="15.75" customHeight="1" x14ac:dyDescent="0.25">
      <c r="A131" s="276"/>
      <c r="B131" s="276"/>
      <c r="C131" s="353"/>
      <c r="D131" s="276"/>
      <c r="E131" s="276"/>
      <c r="F131" s="276"/>
      <c r="G131" s="276"/>
      <c r="H131" s="276"/>
      <c r="I131" s="276"/>
      <c r="J131" s="353"/>
      <c r="K131" s="276"/>
      <c r="L131" s="276"/>
      <c r="M131" s="276"/>
      <c r="N131" s="276"/>
      <c r="O131" s="276"/>
      <c r="P131" s="276"/>
      <c r="Q131" s="276"/>
      <c r="R131" s="276"/>
      <c r="S131" s="276"/>
      <c r="T131" s="276"/>
      <c r="U131" s="276"/>
      <c r="V131" s="276"/>
      <c r="W131" s="276"/>
      <c r="X131" s="276"/>
      <c r="Y131" s="276"/>
      <c r="Z131" s="276"/>
      <c r="AA131" s="276"/>
      <c r="AB131" s="276"/>
      <c r="AC131" s="276"/>
      <c r="AD131" s="276"/>
      <c r="AE131" s="276"/>
      <c r="AF131" s="276"/>
      <c r="AG131" s="276"/>
      <c r="AH131" s="276"/>
      <c r="AI131" s="276"/>
      <c r="AJ131" s="276"/>
      <c r="AK131" s="276"/>
      <c r="AL131" s="276"/>
      <c r="AM131" s="276"/>
      <c r="AN131" s="276"/>
      <c r="AO131" s="276"/>
      <c r="AP131" s="276"/>
      <c r="AQ131" s="276"/>
      <c r="AR131" s="276"/>
      <c r="AS131" s="276"/>
      <c r="AT131" s="276"/>
      <c r="AU131" s="276"/>
      <c r="AV131" s="276"/>
      <c r="AW131" s="276"/>
      <c r="AX131" s="276"/>
      <c r="AY131" s="276"/>
    </row>
    <row r="132" spans="1:51" ht="15.75" customHeight="1" x14ac:dyDescent="0.25">
      <c r="A132" s="276"/>
      <c r="B132" s="276"/>
      <c r="C132" s="353"/>
      <c r="D132" s="276"/>
      <c r="E132" s="276"/>
      <c r="F132" s="276"/>
      <c r="G132" s="276"/>
      <c r="H132" s="276"/>
      <c r="I132" s="276"/>
      <c r="J132" s="353"/>
      <c r="K132" s="276"/>
      <c r="L132" s="276"/>
      <c r="M132" s="276"/>
      <c r="N132" s="276"/>
      <c r="O132" s="276"/>
      <c r="P132" s="276"/>
      <c r="Q132" s="276"/>
      <c r="R132" s="276"/>
      <c r="S132" s="276"/>
      <c r="T132" s="276"/>
      <c r="U132" s="276"/>
      <c r="V132" s="276"/>
      <c r="W132" s="276"/>
      <c r="X132" s="276"/>
      <c r="Y132" s="276"/>
      <c r="Z132" s="276"/>
      <c r="AA132" s="276"/>
      <c r="AB132" s="276"/>
      <c r="AC132" s="276"/>
      <c r="AD132" s="276"/>
      <c r="AE132" s="276"/>
      <c r="AF132" s="276"/>
      <c r="AG132" s="276"/>
      <c r="AH132" s="276"/>
      <c r="AI132" s="276"/>
      <c r="AJ132" s="276"/>
      <c r="AK132" s="276"/>
      <c r="AL132" s="276"/>
      <c r="AM132" s="276"/>
      <c r="AN132" s="276"/>
      <c r="AO132" s="276"/>
      <c r="AP132" s="276"/>
      <c r="AQ132" s="276"/>
      <c r="AR132" s="276"/>
      <c r="AS132" s="276"/>
      <c r="AT132" s="276"/>
      <c r="AU132" s="276"/>
      <c r="AV132" s="276"/>
      <c r="AW132" s="276"/>
      <c r="AX132" s="276"/>
      <c r="AY132" s="276"/>
    </row>
    <row r="133" spans="1:51" ht="15.75" customHeight="1" x14ac:dyDescent="0.25">
      <c r="A133" s="276"/>
      <c r="B133" s="276"/>
      <c r="C133" s="353"/>
      <c r="D133" s="276"/>
      <c r="E133" s="276"/>
      <c r="F133" s="276"/>
      <c r="G133" s="276"/>
      <c r="H133" s="276"/>
      <c r="I133" s="276"/>
      <c r="J133" s="353"/>
      <c r="K133" s="276"/>
      <c r="L133" s="276"/>
      <c r="M133" s="276"/>
      <c r="N133" s="276"/>
      <c r="O133" s="276"/>
      <c r="P133" s="276"/>
      <c r="Q133" s="276"/>
      <c r="R133" s="276"/>
      <c r="S133" s="276"/>
      <c r="T133" s="276"/>
      <c r="U133" s="276"/>
      <c r="V133" s="276"/>
      <c r="W133" s="276"/>
      <c r="X133" s="276"/>
      <c r="Y133" s="276"/>
      <c r="Z133" s="276"/>
      <c r="AA133" s="276"/>
      <c r="AB133" s="276"/>
      <c r="AC133" s="276"/>
      <c r="AD133" s="276"/>
      <c r="AE133" s="276"/>
      <c r="AF133" s="276"/>
      <c r="AG133" s="276"/>
      <c r="AH133" s="276"/>
      <c r="AI133" s="276"/>
      <c r="AJ133" s="276"/>
      <c r="AK133" s="276"/>
      <c r="AL133" s="276"/>
      <c r="AM133" s="276"/>
      <c r="AN133" s="276"/>
      <c r="AO133" s="276"/>
      <c r="AP133" s="276"/>
      <c r="AQ133" s="276"/>
      <c r="AR133" s="276"/>
      <c r="AS133" s="276"/>
      <c r="AT133" s="276"/>
      <c r="AU133" s="276"/>
      <c r="AV133" s="276"/>
      <c r="AW133" s="276"/>
      <c r="AX133" s="276"/>
      <c r="AY133" s="276"/>
    </row>
    <row r="134" spans="1:51" ht="15.75" customHeight="1" x14ac:dyDescent="0.25">
      <c r="A134" s="276"/>
      <c r="B134" s="276"/>
      <c r="C134" s="353"/>
      <c r="D134" s="276"/>
      <c r="E134" s="276"/>
      <c r="F134" s="276"/>
      <c r="G134" s="276"/>
      <c r="H134" s="276"/>
      <c r="I134" s="276"/>
      <c r="J134" s="353"/>
      <c r="K134" s="276"/>
      <c r="L134" s="276"/>
      <c r="M134" s="276"/>
      <c r="N134" s="276"/>
      <c r="O134" s="276"/>
      <c r="P134" s="276"/>
      <c r="Q134" s="276"/>
      <c r="R134" s="276"/>
      <c r="S134" s="276"/>
      <c r="T134" s="276"/>
      <c r="U134" s="276"/>
      <c r="V134" s="276"/>
      <c r="W134" s="276"/>
      <c r="X134" s="276"/>
      <c r="Y134" s="276"/>
      <c r="Z134" s="276"/>
      <c r="AA134" s="276"/>
      <c r="AB134" s="276"/>
      <c r="AC134" s="276"/>
      <c r="AD134" s="276"/>
      <c r="AE134" s="276"/>
      <c r="AF134" s="276"/>
      <c r="AG134" s="276"/>
      <c r="AH134" s="276"/>
      <c r="AI134" s="276"/>
      <c r="AJ134" s="276"/>
      <c r="AK134" s="276"/>
      <c r="AL134" s="276"/>
      <c r="AM134" s="276"/>
      <c r="AN134" s="276"/>
      <c r="AO134" s="276"/>
      <c r="AP134" s="276"/>
      <c r="AQ134" s="276"/>
      <c r="AR134" s="276"/>
      <c r="AS134" s="276"/>
      <c r="AT134" s="276"/>
      <c r="AU134" s="276"/>
      <c r="AV134" s="276"/>
      <c r="AW134" s="276"/>
      <c r="AX134" s="276"/>
      <c r="AY134" s="276"/>
    </row>
    <row r="135" spans="1:51" ht="15.75" customHeight="1" x14ac:dyDescent="0.25">
      <c r="A135" s="276"/>
      <c r="B135" s="276"/>
      <c r="C135" s="353"/>
      <c r="D135" s="276"/>
      <c r="E135" s="276"/>
      <c r="F135" s="276"/>
      <c r="G135" s="276"/>
      <c r="H135" s="276"/>
      <c r="I135" s="276"/>
      <c r="J135" s="353"/>
      <c r="K135" s="276"/>
      <c r="L135" s="276"/>
      <c r="M135" s="276"/>
      <c r="N135" s="276"/>
      <c r="O135" s="276"/>
      <c r="P135" s="276"/>
      <c r="Q135" s="276"/>
      <c r="R135" s="276"/>
      <c r="S135" s="276"/>
      <c r="T135" s="276"/>
      <c r="U135" s="276"/>
      <c r="V135" s="276"/>
      <c r="W135" s="276"/>
      <c r="X135" s="276"/>
      <c r="Y135" s="276"/>
      <c r="Z135" s="276"/>
      <c r="AA135" s="276"/>
      <c r="AB135" s="276"/>
      <c r="AC135" s="276"/>
      <c r="AD135" s="276"/>
      <c r="AE135" s="276"/>
      <c r="AF135" s="276"/>
      <c r="AG135" s="276"/>
      <c r="AH135" s="276"/>
      <c r="AI135" s="276"/>
      <c r="AJ135" s="276"/>
      <c r="AK135" s="276"/>
      <c r="AL135" s="276"/>
      <c r="AM135" s="276"/>
      <c r="AN135" s="276"/>
      <c r="AO135" s="276"/>
      <c r="AP135" s="276"/>
      <c r="AQ135" s="276"/>
      <c r="AR135" s="276"/>
      <c r="AS135" s="276"/>
      <c r="AT135" s="276"/>
      <c r="AU135" s="276"/>
      <c r="AV135" s="276"/>
      <c r="AW135" s="276"/>
      <c r="AX135" s="276"/>
      <c r="AY135" s="276"/>
    </row>
    <row r="136" spans="1:51" ht="15.75" customHeight="1" x14ac:dyDescent="0.25">
      <c r="A136" s="276"/>
      <c r="B136" s="276"/>
      <c r="C136" s="353"/>
      <c r="D136" s="276"/>
      <c r="E136" s="276"/>
      <c r="F136" s="276"/>
      <c r="G136" s="276"/>
      <c r="H136" s="276"/>
      <c r="I136" s="276"/>
      <c r="J136" s="353"/>
      <c r="K136" s="276"/>
      <c r="L136" s="276"/>
      <c r="M136" s="276"/>
      <c r="N136" s="276"/>
      <c r="O136" s="276"/>
      <c r="P136" s="276"/>
      <c r="Q136" s="276"/>
      <c r="R136" s="276"/>
      <c r="S136" s="276"/>
      <c r="T136" s="276"/>
      <c r="U136" s="276"/>
      <c r="V136" s="276"/>
      <c r="W136" s="276"/>
      <c r="X136" s="276"/>
      <c r="Y136" s="276"/>
      <c r="Z136" s="276"/>
      <c r="AA136" s="276"/>
      <c r="AB136" s="276"/>
      <c r="AC136" s="276"/>
      <c r="AD136" s="276"/>
      <c r="AE136" s="276"/>
      <c r="AF136" s="276"/>
      <c r="AG136" s="276"/>
      <c r="AH136" s="276"/>
      <c r="AI136" s="276"/>
      <c r="AJ136" s="276"/>
      <c r="AK136" s="276"/>
      <c r="AL136" s="276"/>
      <c r="AM136" s="276"/>
      <c r="AN136" s="276"/>
      <c r="AO136" s="276"/>
      <c r="AP136" s="276"/>
      <c r="AQ136" s="276"/>
      <c r="AR136" s="276"/>
      <c r="AS136" s="276"/>
      <c r="AT136" s="276"/>
      <c r="AU136" s="276"/>
      <c r="AV136" s="276"/>
      <c r="AW136" s="276"/>
      <c r="AX136" s="276"/>
      <c r="AY136" s="276"/>
    </row>
    <row r="137" spans="1:51" ht="15.75" customHeight="1" x14ac:dyDescent="0.25">
      <c r="A137" s="276"/>
      <c r="B137" s="276"/>
      <c r="C137" s="353"/>
      <c r="D137" s="276"/>
      <c r="E137" s="276"/>
      <c r="F137" s="276"/>
      <c r="G137" s="276"/>
      <c r="H137" s="276"/>
      <c r="I137" s="276"/>
      <c r="J137" s="353"/>
      <c r="K137" s="276"/>
      <c r="L137" s="276"/>
      <c r="M137" s="276"/>
      <c r="N137" s="276"/>
      <c r="O137" s="276"/>
      <c r="P137" s="276"/>
      <c r="Q137" s="276"/>
      <c r="R137" s="276"/>
      <c r="S137" s="276"/>
      <c r="T137" s="276"/>
      <c r="U137" s="276"/>
      <c r="V137" s="276"/>
      <c r="W137" s="276"/>
      <c r="X137" s="276"/>
      <c r="Y137" s="276"/>
      <c r="Z137" s="276"/>
      <c r="AA137" s="276"/>
      <c r="AB137" s="276"/>
      <c r="AC137" s="276"/>
      <c r="AD137" s="276"/>
      <c r="AE137" s="276"/>
      <c r="AF137" s="276"/>
      <c r="AG137" s="276"/>
      <c r="AH137" s="276"/>
      <c r="AI137" s="276"/>
      <c r="AJ137" s="276"/>
      <c r="AK137" s="276"/>
      <c r="AL137" s="276"/>
      <c r="AM137" s="276"/>
      <c r="AN137" s="276"/>
      <c r="AO137" s="276"/>
      <c r="AP137" s="276"/>
      <c r="AQ137" s="276"/>
      <c r="AR137" s="276"/>
      <c r="AS137" s="276"/>
      <c r="AT137" s="276"/>
      <c r="AU137" s="276"/>
      <c r="AV137" s="276"/>
      <c r="AW137" s="276"/>
      <c r="AX137" s="276"/>
      <c r="AY137" s="276"/>
    </row>
    <row r="138" spans="1:51" ht="15.75" customHeight="1" x14ac:dyDescent="0.25">
      <c r="A138" s="276"/>
      <c r="B138" s="276"/>
      <c r="C138" s="353"/>
      <c r="D138" s="276"/>
      <c r="E138" s="276"/>
      <c r="F138" s="276"/>
      <c r="G138" s="276"/>
      <c r="H138" s="276"/>
      <c r="I138" s="276"/>
      <c r="J138" s="353"/>
      <c r="K138" s="276"/>
      <c r="L138" s="276"/>
      <c r="M138" s="276"/>
      <c r="N138" s="276"/>
      <c r="O138" s="276"/>
      <c r="P138" s="276"/>
      <c r="Q138" s="276"/>
      <c r="R138" s="276"/>
      <c r="S138" s="276"/>
      <c r="T138" s="276"/>
      <c r="U138" s="276"/>
      <c r="V138" s="276"/>
      <c r="W138" s="276"/>
      <c r="X138" s="276"/>
      <c r="Y138" s="276"/>
      <c r="Z138" s="276"/>
      <c r="AA138" s="276"/>
      <c r="AB138" s="276"/>
      <c r="AC138" s="276"/>
      <c r="AD138" s="276"/>
      <c r="AE138" s="276"/>
      <c r="AF138" s="276"/>
      <c r="AG138" s="276"/>
      <c r="AH138" s="276"/>
      <c r="AI138" s="276"/>
      <c r="AJ138" s="276"/>
      <c r="AK138" s="276"/>
      <c r="AL138" s="276"/>
      <c r="AM138" s="276"/>
      <c r="AN138" s="276"/>
      <c r="AO138" s="276"/>
      <c r="AP138" s="276"/>
      <c r="AQ138" s="276"/>
      <c r="AR138" s="276"/>
      <c r="AS138" s="276"/>
      <c r="AT138" s="276"/>
      <c r="AU138" s="276"/>
      <c r="AV138" s="276"/>
      <c r="AW138" s="276"/>
      <c r="AX138" s="276"/>
      <c r="AY138" s="276"/>
    </row>
    <row r="139" spans="1:51" ht="15.75" customHeight="1" x14ac:dyDescent="0.25">
      <c r="A139" s="276"/>
      <c r="B139" s="276"/>
      <c r="C139" s="353"/>
      <c r="D139" s="276"/>
      <c r="E139" s="276"/>
      <c r="F139" s="276"/>
      <c r="G139" s="276"/>
      <c r="H139" s="276"/>
      <c r="I139" s="276"/>
      <c r="J139" s="353"/>
      <c r="K139" s="276"/>
      <c r="L139" s="276"/>
      <c r="M139" s="276"/>
      <c r="N139" s="276"/>
      <c r="O139" s="276"/>
      <c r="P139" s="276"/>
      <c r="Q139" s="276"/>
      <c r="R139" s="276"/>
      <c r="S139" s="276"/>
      <c r="T139" s="276"/>
      <c r="U139" s="276"/>
      <c r="V139" s="276"/>
      <c r="W139" s="276"/>
      <c r="X139" s="276"/>
      <c r="Y139" s="276"/>
      <c r="Z139" s="276"/>
      <c r="AA139" s="276"/>
      <c r="AB139" s="276"/>
      <c r="AC139" s="276"/>
      <c r="AD139" s="276"/>
      <c r="AE139" s="276"/>
      <c r="AF139" s="276"/>
      <c r="AG139" s="276"/>
      <c r="AH139" s="276"/>
      <c r="AI139" s="276"/>
      <c r="AJ139" s="276"/>
      <c r="AK139" s="276"/>
      <c r="AL139" s="276"/>
      <c r="AM139" s="276"/>
      <c r="AN139" s="276"/>
      <c r="AO139" s="276"/>
      <c r="AP139" s="276"/>
      <c r="AQ139" s="276"/>
      <c r="AR139" s="276"/>
      <c r="AS139" s="276"/>
      <c r="AT139" s="276"/>
      <c r="AU139" s="276"/>
      <c r="AV139" s="276"/>
      <c r="AW139" s="276"/>
      <c r="AX139" s="276"/>
      <c r="AY139" s="276"/>
    </row>
    <row r="140" spans="1:51" ht="15.75" customHeight="1" x14ac:dyDescent="0.25">
      <c r="A140" s="276"/>
      <c r="B140" s="276"/>
      <c r="C140" s="353"/>
      <c r="D140" s="276"/>
      <c r="E140" s="276"/>
      <c r="F140" s="276"/>
      <c r="G140" s="276"/>
      <c r="H140" s="276"/>
      <c r="I140" s="276"/>
      <c r="J140" s="353"/>
      <c r="K140" s="276"/>
      <c r="L140" s="276"/>
      <c r="M140" s="276"/>
      <c r="N140" s="276"/>
      <c r="O140" s="276"/>
      <c r="P140" s="276"/>
      <c r="Q140" s="276"/>
      <c r="R140" s="276"/>
      <c r="S140" s="276"/>
      <c r="T140" s="276"/>
      <c r="U140" s="276"/>
      <c r="V140" s="276"/>
      <c r="W140" s="276"/>
      <c r="X140" s="276"/>
      <c r="Y140" s="276"/>
      <c r="Z140" s="276"/>
      <c r="AA140" s="276"/>
      <c r="AB140" s="276"/>
      <c r="AC140" s="276"/>
      <c r="AD140" s="276"/>
      <c r="AE140" s="276"/>
      <c r="AF140" s="276"/>
      <c r="AG140" s="276"/>
      <c r="AH140" s="276"/>
      <c r="AI140" s="276"/>
      <c r="AJ140" s="276"/>
      <c r="AK140" s="276"/>
      <c r="AL140" s="276"/>
      <c r="AM140" s="276"/>
      <c r="AN140" s="276"/>
      <c r="AO140" s="276"/>
      <c r="AP140" s="276"/>
      <c r="AQ140" s="276"/>
      <c r="AR140" s="276"/>
      <c r="AS140" s="276"/>
      <c r="AT140" s="276"/>
      <c r="AU140" s="276"/>
      <c r="AV140" s="276"/>
      <c r="AW140" s="276"/>
      <c r="AX140" s="276"/>
      <c r="AY140" s="276"/>
    </row>
    <row r="141" spans="1:51" ht="15.75" customHeight="1" x14ac:dyDescent="0.25">
      <c r="A141" s="276"/>
      <c r="B141" s="276"/>
      <c r="C141" s="353"/>
      <c r="D141" s="276"/>
      <c r="E141" s="276"/>
      <c r="F141" s="276"/>
      <c r="G141" s="276"/>
      <c r="H141" s="276"/>
      <c r="I141" s="276"/>
      <c r="J141" s="353"/>
      <c r="K141" s="276"/>
      <c r="L141" s="276"/>
      <c r="M141" s="276"/>
      <c r="N141" s="276"/>
      <c r="O141" s="276"/>
      <c r="P141" s="276"/>
      <c r="Q141" s="276"/>
      <c r="R141" s="276"/>
      <c r="S141" s="276"/>
      <c r="T141" s="276"/>
      <c r="U141" s="276"/>
      <c r="V141" s="276"/>
      <c r="W141" s="276"/>
      <c r="X141" s="276"/>
      <c r="Y141" s="276"/>
      <c r="Z141" s="276"/>
      <c r="AA141" s="276"/>
      <c r="AB141" s="276"/>
      <c r="AC141" s="276"/>
      <c r="AD141" s="276"/>
      <c r="AE141" s="276"/>
      <c r="AF141" s="276"/>
      <c r="AG141" s="276"/>
      <c r="AH141" s="276"/>
      <c r="AI141" s="276"/>
      <c r="AJ141" s="276"/>
      <c r="AK141" s="276"/>
      <c r="AL141" s="276"/>
      <c r="AM141" s="276"/>
      <c r="AN141" s="276"/>
      <c r="AO141" s="276"/>
      <c r="AP141" s="276"/>
      <c r="AQ141" s="276"/>
      <c r="AR141" s="276"/>
      <c r="AS141" s="276"/>
      <c r="AT141" s="276"/>
      <c r="AU141" s="276"/>
      <c r="AV141" s="276"/>
      <c r="AW141" s="276"/>
      <c r="AX141" s="276"/>
      <c r="AY141" s="276"/>
    </row>
    <row r="142" spans="1:51" ht="15.75" customHeight="1" x14ac:dyDescent="0.25">
      <c r="A142" s="276"/>
      <c r="B142" s="276"/>
      <c r="C142" s="353"/>
      <c r="D142" s="276"/>
      <c r="E142" s="276"/>
      <c r="F142" s="276"/>
      <c r="G142" s="276"/>
      <c r="H142" s="276"/>
      <c r="I142" s="276"/>
      <c r="J142" s="353"/>
      <c r="K142" s="276"/>
      <c r="L142" s="276"/>
      <c r="M142" s="276"/>
      <c r="N142" s="276"/>
      <c r="O142" s="276"/>
      <c r="P142" s="276"/>
      <c r="Q142" s="276"/>
      <c r="R142" s="276"/>
      <c r="S142" s="276"/>
      <c r="T142" s="276"/>
      <c r="U142" s="276"/>
      <c r="V142" s="276"/>
      <c r="W142" s="276"/>
      <c r="X142" s="276"/>
      <c r="Y142" s="276"/>
      <c r="Z142" s="276"/>
      <c r="AA142" s="276"/>
      <c r="AB142" s="276"/>
      <c r="AC142" s="276"/>
      <c r="AD142" s="276"/>
      <c r="AE142" s="276"/>
      <c r="AF142" s="276"/>
      <c r="AG142" s="276"/>
      <c r="AH142" s="276"/>
      <c r="AI142" s="276"/>
      <c r="AJ142" s="276"/>
      <c r="AK142" s="276"/>
      <c r="AL142" s="276"/>
      <c r="AM142" s="276"/>
      <c r="AN142" s="276"/>
      <c r="AO142" s="276"/>
      <c r="AP142" s="276"/>
      <c r="AQ142" s="276"/>
      <c r="AR142" s="276"/>
      <c r="AS142" s="276"/>
      <c r="AT142" s="276"/>
      <c r="AU142" s="276"/>
      <c r="AV142" s="276"/>
      <c r="AW142" s="276"/>
      <c r="AX142" s="276"/>
      <c r="AY142" s="276"/>
    </row>
    <row r="143" spans="1:51" ht="15.75" customHeight="1" x14ac:dyDescent="0.25">
      <c r="A143" s="276"/>
      <c r="B143" s="276"/>
      <c r="C143" s="353"/>
      <c r="D143" s="276"/>
      <c r="E143" s="276"/>
      <c r="F143" s="276"/>
      <c r="G143" s="276"/>
      <c r="H143" s="276"/>
      <c r="I143" s="276"/>
      <c r="J143" s="353"/>
      <c r="K143" s="276"/>
      <c r="L143" s="276"/>
      <c r="M143" s="276"/>
      <c r="N143" s="276"/>
      <c r="O143" s="276"/>
      <c r="P143" s="276"/>
      <c r="Q143" s="276"/>
      <c r="R143" s="276"/>
      <c r="S143" s="276"/>
      <c r="T143" s="276"/>
      <c r="U143" s="276"/>
      <c r="V143" s="276"/>
      <c r="W143" s="276"/>
      <c r="X143" s="276"/>
      <c r="Y143" s="276"/>
      <c r="Z143" s="276"/>
      <c r="AA143" s="276"/>
      <c r="AB143" s="276"/>
      <c r="AC143" s="276"/>
      <c r="AD143" s="276"/>
      <c r="AE143" s="276"/>
      <c r="AF143" s="276"/>
      <c r="AG143" s="276"/>
      <c r="AH143" s="276"/>
      <c r="AI143" s="276"/>
      <c r="AJ143" s="276"/>
      <c r="AK143" s="276"/>
      <c r="AL143" s="276"/>
      <c r="AM143" s="276"/>
      <c r="AN143" s="276"/>
      <c r="AO143" s="276"/>
      <c r="AP143" s="276"/>
      <c r="AQ143" s="276"/>
      <c r="AR143" s="276"/>
      <c r="AS143" s="276"/>
      <c r="AT143" s="276"/>
      <c r="AU143" s="276"/>
      <c r="AV143" s="276"/>
      <c r="AW143" s="276"/>
      <c r="AX143" s="276"/>
      <c r="AY143" s="276"/>
    </row>
    <row r="144" spans="1:51" ht="15.75" customHeight="1" x14ac:dyDescent="0.25">
      <c r="A144" s="276"/>
      <c r="B144" s="276"/>
      <c r="C144" s="353"/>
      <c r="D144" s="276"/>
      <c r="E144" s="276"/>
      <c r="F144" s="276"/>
      <c r="G144" s="276"/>
      <c r="H144" s="276"/>
      <c r="I144" s="276"/>
      <c r="J144" s="353"/>
      <c r="K144" s="276"/>
      <c r="L144" s="276"/>
      <c r="M144" s="276"/>
      <c r="N144" s="276"/>
      <c r="O144" s="276"/>
      <c r="P144" s="276"/>
      <c r="Q144" s="276"/>
      <c r="R144" s="276"/>
      <c r="S144" s="276"/>
      <c r="T144" s="276"/>
      <c r="U144" s="276"/>
      <c r="V144" s="276"/>
      <c r="W144" s="276"/>
      <c r="X144" s="276"/>
      <c r="Y144" s="276"/>
      <c r="Z144" s="276"/>
      <c r="AA144" s="276"/>
      <c r="AB144" s="276"/>
      <c r="AC144" s="276"/>
      <c r="AD144" s="276"/>
      <c r="AE144" s="276"/>
      <c r="AF144" s="276"/>
      <c r="AG144" s="276"/>
      <c r="AH144" s="276"/>
      <c r="AI144" s="276"/>
      <c r="AJ144" s="276"/>
      <c r="AK144" s="276"/>
      <c r="AL144" s="276"/>
      <c r="AM144" s="276"/>
      <c r="AN144" s="276"/>
      <c r="AO144" s="276"/>
      <c r="AP144" s="276"/>
      <c r="AQ144" s="276"/>
      <c r="AR144" s="276"/>
      <c r="AS144" s="276"/>
      <c r="AT144" s="276"/>
      <c r="AU144" s="276"/>
      <c r="AV144" s="276"/>
      <c r="AW144" s="276"/>
      <c r="AX144" s="276"/>
      <c r="AY144" s="276"/>
    </row>
    <row r="145" spans="1:51" ht="15.75" customHeight="1" x14ac:dyDescent="0.25">
      <c r="A145" s="276"/>
      <c r="B145" s="276"/>
      <c r="C145" s="353"/>
      <c r="D145" s="276"/>
      <c r="E145" s="276"/>
      <c r="F145" s="276"/>
      <c r="G145" s="276"/>
      <c r="H145" s="276"/>
      <c r="I145" s="276"/>
      <c r="J145" s="353"/>
      <c r="K145" s="276"/>
      <c r="L145" s="276"/>
      <c r="M145" s="276"/>
      <c r="N145" s="276"/>
      <c r="O145" s="276"/>
      <c r="P145" s="276"/>
      <c r="Q145" s="276"/>
      <c r="R145" s="276"/>
      <c r="S145" s="276"/>
      <c r="T145" s="276"/>
      <c r="U145" s="276"/>
      <c r="V145" s="276"/>
      <c r="W145" s="276"/>
      <c r="X145" s="276"/>
      <c r="Y145" s="276"/>
      <c r="Z145" s="276"/>
      <c r="AA145" s="276"/>
      <c r="AB145" s="276"/>
      <c r="AC145" s="276"/>
      <c r="AD145" s="276"/>
      <c r="AE145" s="276"/>
      <c r="AF145" s="276"/>
      <c r="AG145" s="276"/>
      <c r="AH145" s="276"/>
      <c r="AI145" s="276"/>
      <c r="AJ145" s="276"/>
      <c r="AK145" s="276"/>
      <c r="AL145" s="276"/>
      <c r="AM145" s="276"/>
      <c r="AN145" s="276"/>
      <c r="AO145" s="276"/>
      <c r="AP145" s="276"/>
      <c r="AQ145" s="276"/>
      <c r="AR145" s="276"/>
      <c r="AS145" s="276"/>
      <c r="AT145" s="276"/>
      <c r="AU145" s="276"/>
      <c r="AV145" s="276"/>
      <c r="AW145" s="276"/>
      <c r="AX145" s="276"/>
      <c r="AY145" s="276"/>
    </row>
    <row r="146" spans="1:51" ht="15.75" customHeight="1" x14ac:dyDescent="0.25">
      <c r="A146" s="276"/>
      <c r="B146" s="276"/>
      <c r="C146" s="353"/>
      <c r="D146" s="276"/>
      <c r="E146" s="276"/>
      <c r="F146" s="276"/>
      <c r="G146" s="276"/>
      <c r="H146" s="276"/>
      <c r="I146" s="276"/>
      <c r="J146" s="353"/>
      <c r="K146" s="276"/>
      <c r="L146" s="276"/>
      <c r="M146" s="276"/>
      <c r="N146" s="276"/>
      <c r="O146" s="276"/>
      <c r="P146" s="276"/>
      <c r="Q146" s="276"/>
      <c r="R146" s="276"/>
      <c r="S146" s="276"/>
      <c r="T146" s="276"/>
      <c r="U146" s="276"/>
      <c r="V146" s="276"/>
      <c r="W146" s="276"/>
      <c r="X146" s="276"/>
      <c r="Y146" s="276"/>
      <c r="Z146" s="276"/>
      <c r="AA146" s="276"/>
      <c r="AB146" s="276"/>
      <c r="AC146" s="276"/>
      <c r="AD146" s="276"/>
      <c r="AE146" s="276"/>
      <c r="AF146" s="276"/>
      <c r="AG146" s="276"/>
      <c r="AH146" s="276"/>
      <c r="AI146" s="276"/>
      <c r="AJ146" s="276"/>
      <c r="AK146" s="276"/>
      <c r="AL146" s="276"/>
      <c r="AM146" s="276"/>
      <c r="AN146" s="276"/>
      <c r="AO146" s="276"/>
      <c r="AP146" s="276"/>
      <c r="AQ146" s="276"/>
      <c r="AR146" s="276"/>
      <c r="AS146" s="276"/>
      <c r="AT146" s="276"/>
      <c r="AU146" s="276"/>
      <c r="AV146" s="276"/>
      <c r="AW146" s="276"/>
      <c r="AX146" s="276"/>
      <c r="AY146" s="276"/>
    </row>
    <row r="147" spans="1:51" ht="15.75" customHeight="1" x14ac:dyDescent="0.25">
      <c r="A147" s="276"/>
      <c r="B147" s="276"/>
      <c r="C147" s="353"/>
      <c r="D147" s="276"/>
      <c r="E147" s="276"/>
      <c r="F147" s="276"/>
      <c r="G147" s="276"/>
      <c r="H147" s="276"/>
      <c r="I147" s="276"/>
      <c r="J147" s="353"/>
      <c r="K147" s="276"/>
      <c r="L147" s="276"/>
      <c r="M147" s="276"/>
      <c r="N147" s="276"/>
      <c r="O147" s="276"/>
      <c r="P147" s="276"/>
      <c r="Q147" s="276"/>
      <c r="R147" s="276"/>
      <c r="S147" s="276"/>
      <c r="T147" s="276"/>
      <c r="U147" s="276"/>
      <c r="V147" s="276"/>
      <c r="W147" s="276"/>
      <c r="X147" s="276"/>
      <c r="Y147" s="276"/>
      <c r="Z147" s="276"/>
      <c r="AA147" s="276"/>
      <c r="AB147" s="276"/>
      <c r="AC147" s="276"/>
      <c r="AD147" s="276"/>
      <c r="AE147" s="276"/>
      <c r="AF147" s="276"/>
      <c r="AG147" s="276"/>
      <c r="AH147" s="276"/>
      <c r="AI147" s="276"/>
      <c r="AJ147" s="276"/>
      <c r="AK147" s="276"/>
      <c r="AL147" s="276"/>
      <c r="AM147" s="276"/>
      <c r="AN147" s="276"/>
      <c r="AO147" s="276"/>
      <c r="AP147" s="276"/>
      <c r="AQ147" s="276"/>
      <c r="AR147" s="276"/>
      <c r="AS147" s="276"/>
      <c r="AT147" s="276"/>
      <c r="AU147" s="276"/>
      <c r="AV147" s="276"/>
      <c r="AW147" s="276"/>
      <c r="AX147" s="276"/>
      <c r="AY147" s="276"/>
    </row>
    <row r="148" spans="1:51" ht="15.75" customHeight="1" x14ac:dyDescent="0.25">
      <c r="A148" s="276"/>
      <c r="B148" s="276"/>
      <c r="C148" s="353"/>
      <c r="D148" s="276"/>
      <c r="E148" s="276"/>
      <c r="F148" s="276"/>
      <c r="G148" s="276"/>
      <c r="H148" s="276"/>
      <c r="I148" s="276"/>
      <c r="J148" s="353"/>
      <c r="K148" s="276"/>
      <c r="L148" s="276"/>
      <c r="M148" s="276"/>
      <c r="N148" s="276"/>
      <c r="O148" s="276"/>
      <c r="P148" s="276"/>
      <c r="Q148" s="276"/>
      <c r="R148" s="276"/>
      <c r="S148" s="276"/>
      <c r="T148" s="276"/>
      <c r="U148" s="276"/>
      <c r="V148" s="276"/>
      <c r="W148" s="276"/>
      <c r="X148" s="276"/>
      <c r="Y148" s="276"/>
      <c r="Z148" s="276"/>
      <c r="AA148" s="276"/>
      <c r="AB148" s="276"/>
      <c r="AC148" s="276"/>
      <c r="AD148" s="276"/>
      <c r="AE148" s="276"/>
      <c r="AF148" s="276"/>
      <c r="AG148" s="276"/>
      <c r="AH148" s="276"/>
      <c r="AI148" s="276"/>
      <c r="AJ148" s="276"/>
      <c r="AK148" s="276"/>
      <c r="AL148" s="276"/>
      <c r="AM148" s="276"/>
      <c r="AN148" s="276"/>
      <c r="AO148" s="276"/>
      <c r="AP148" s="276"/>
      <c r="AQ148" s="276"/>
      <c r="AR148" s="276"/>
      <c r="AS148" s="276"/>
      <c r="AT148" s="276"/>
      <c r="AU148" s="276"/>
      <c r="AV148" s="276"/>
      <c r="AW148" s="276"/>
      <c r="AX148" s="276"/>
      <c r="AY148" s="276"/>
    </row>
    <row r="149" spans="1:51" ht="15.75" customHeight="1" x14ac:dyDescent="0.25">
      <c r="A149" s="276"/>
      <c r="B149" s="276"/>
      <c r="C149" s="353"/>
      <c r="D149" s="276"/>
      <c r="E149" s="276"/>
      <c r="F149" s="276"/>
      <c r="G149" s="276"/>
      <c r="H149" s="276"/>
      <c r="I149" s="276"/>
      <c r="J149" s="353"/>
      <c r="K149" s="276"/>
      <c r="L149" s="276"/>
      <c r="M149" s="276"/>
      <c r="N149" s="276"/>
      <c r="O149" s="276"/>
      <c r="P149" s="276"/>
      <c r="Q149" s="276"/>
      <c r="R149" s="276"/>
      <c r="S149" s="276"/>
      <c r="T149" s="276"/>
      <c r="U149" s="276"/>
      <c r="V149" s="276"/>
      <c r="W149" s="276"/>
      <c r="X149" s="276"/>
      <c r="Y149" s="276"/>
      <c r="Z149" s="276"/>
      <c r="AA149" s="276"/>
      <c r="AB149" s="276"/>
      <c r="AC149" s="276"/>
      <c r="AD149" s="276"/>
      <c r="AE149" s="276"/>
      <c r="AF149" s="276"/>
      <c r="AG149" s="276"/>
      <c r="AH149" s="276"/>
      <c r="AI149" s="276"/>
      <c r="AJ149" s="276"/>
      <c r="AK149" s="276"/>
      <c r="AL149" s="276"/>
      <c r="AM149" s="276"/>
      <c r="AN149" s="276"/>
      <c r="AO149" s="276"/>
      <c r="AP149" s="276"/>
      <c r="AQ149" s="276"/>
      <c r="AR149" s="276"/>
      <c r="AS149" s="276"/>
      <c r="AT149" s="276"/>
      <c r="AU149" s="276"/>
      <c r="AV149" s="276"/>
      <c r="AW149" s="276"/>
      <c r="AX149" s="276"/>
      <c r="AY149" s="276"/>
    </row>
    <row r="150" spans="1:51" ht="15.75" customHeight="1" x14ac:dyDescent="0.25">
      <c r="A150" s="276"/>
      <c r="B150" s="276"/>
      <c r="C150" s="353"/>
      <c r="D150" s="276"/>
      <c r="E150" s="276"/>
      <c r="F150" s="276"/>
      <c r="G150" s="276"/>
      <c r="H150" s="276"/>
      <c r="I150" s="276"/>
      <c r="J150" s="353"/>
      <c r="K150" s="276"/>
      <c r="L150" s="276"/>
      <c r="M150" s="276"/>
      <c r="N150" s="276"/>
      <c r="O150" s="276"/>
      <c r="P150" s="276"/>
      <c r="Q150" s="276"/>
      <c r="R150" s="276"/>
      <c r="S150" s="276"/>
      <c r="T150" s="276"/>
      <c r="U150" s="276"/>
      <c r="V150" s="276"/>
      <c r="W150" s="276"/>
      <c r="X150" s="276"/>
      <c r="Y150" s="276"/>
      <c r="Z150" s="276"/>
      <c r="AA150" s="276"/>
      <c r="AB150" s="276"/>
      <c r="AC150" s="276"/>
      <c r="AD150" s="276"/>
      <c r="AE150" s="276"/>
      <c r="AF150" s="276"/>
      <c r="AG150" s="276"/>
      <c r="AH150" s="276"/>
      <c r="AI150" s="276"/>
      <c r="AJ150" s="276"/>
      <c r="AK150" s="276"/>
      <c r="AL150" s="276"/>
      <c r="AM150" s="276"/>
      <c r="AN150" s="276"/>
      <c r="AO150" s="276"/>
      <c r="AP150" s="276"/>
      <c r="AQ150" s="276"/>
      <c r="AR150" s="276"/>
      <c r="AS150" s="276"/>
      <c r="AT150" s="276"/>
      <c r="AU150" s="276"/>
      <c r="AV150" s="276"/>
      <c r="AW150" s="276"/>
      <c r="AX150" s="276"/>
      <c r="AY150" s="276"/>
    </row>
    <row r="151" spans="1:51" ht="15.75" customHeight="1" x14ac:dyDescent="0.25">
      <c r="A151" s="276"/>
      <c r="B151" s="276"/>
      <c r="C151" s="353"/>
      <c r="D151" s="276"/>
      <c r="E151" s="276"/>
      <c r="F151" s="276"/>
      <c r="G151" s="276"/>
      <c r="H151" s="276"/>
      <c r="I151" s="276"/>
      <c r="J151" s="353"/>
      <c r="K151" s="276"/>
      <c r="L151" s="276"/>
      <c r="M151" s="276"/>
      <c r="N151" s="276"/>
      <c r="O151" s="276"/>
      <c r="P151" s="276"/>
      <c r="Q151" s="276"/>
      <c r="R151" s="276"/>
      <c r="S151" s="276"/>
      <c r="T151" s="276"/>
      <c r="U151" s="276"/>
      <c r="V151" s="276"/>
      <c r="W151" s="276"/>
      <c r="X151" s="276"/>
      <c r="Y151" s="276"/>
      <c r="Z151" s="276"/>
      <c r="AA151" s="276"/>
      <c r="AB151" s="276"/>
      <c r="AC151" s="276"/>
      <c r="AD151" s="276"/>
      <c r="AE151" s="276"/>
      <c r="AF151" s="276"/>
      <c r="AG151" s="276"/>
      <c r="AH151" s="276"/>
      <c r="AI151" s="276"/>
      <c r="AJ151" s="276"/>
      <c r="AK151" s="276"/>
      <c r="AL151" s="276"/>
      <c r="AM151" s="276"/>
      <c r="AN151" s="276"/>
      <c r="AO151" s="276"/>
      <c r="AP151" s="276"/>
      <c r="AQ151" s="276"/>
      <c r="AR151" s="276"/>
      <c r="AS151" s="276"/>
      <c r="AT151" s="276"/>
      <c r="AU151" s="276"/>
      <c r="AV151" s="276"/>
      <c r="AW151" s="276"/>
      <c r="AX151" s="276"/>
      <c r="AY151" s="276"/>
    </row>
    <row r="152" spans="1:51" ht="15.75" customHeight="1" x14ac:dyDescent="0.25">
      <c r="A152" s="276"/>
      <c r="B152" s="276"/>
      <c r="C152" s="353"/>
      <c r="D152" s="276"/>
      <c r="E152" s="276"/>
      <c r="F152" s="276"/>
      <c r="G152" s="276"/>
      <c r="H152" s="276"/>
      <c r="I152" s="276"/>
      <c r="J152" s="353"/>
      <c r="K152" s="276"/>
      <c r="L152" s="276"/>
      <c r="M152" s="276"/>
      <c r="N152" s="276"/>
      <c r="O152" s="276"/>
      <c r="P152" s="276"/>
      <c r="Q152" s="276"/>
      <c r="R152" s="276"/>
      <c r="S152" s="276"/>
      <c r="T152" s="276"/>
      <c r="U152" s="276"/>
      <c r="V152" s="276"/>
      <c r="W152" s="276"/>
      <c r="X152" s="276"/>
      <c r="Y152" s="276"/>
      <c r="Z152" s="276"/>
      <c r="AA152" s="276"/>
      <c r="AB152" s="276"/>
      <c r="AC152" s="276"/>
      <c r="AD152" s="276"/>
      <c r="AE152" s="276"/>
      <c r="AF152" s="276"/>
      <c r="AG152" s="276"/>
      <c r="AH152" s="276"/>
      <c r="AI152" s="276"/>
      <c r="AJ152" s="276"/>
      <c r="AK152" s="276"/>
      <c r="AL152" s="276"/>
      <c r="AM152" s="276"/>
      <c r="AN152" s="276"/>
      <c r="AO152" s="276"/>
      <c r="AP152" s="276"/>
      <c r="AQ152" s="276"/>
      <c r="AR152" s="276"/>
      <c r="AS152" s="276"/>
      <c r="AT152" s="276"/>
      <c r="AU152" s="276"/>
      <c r="AV152" s="276"/>
      <c r="AW152" s="276"/>
      <c r="AX152" s="276"/>
      <c r="AY152" s="276"/>
    </row>
    <row r="153" spans="1:51" ht="15.75" customHeight="1" x14ac:dyDescent="0.25">
      <c r="A153" s="276"/>
      <c r="B153" s="276"/>
      <c r="C153" s="353"/>
      <c r="D153" s="276"/>
      <c r="E153" s="276"/>
      <c r="F153" s="276"/>
      <c r="G153" s="276"/>
      <c r="H153" s="276"/>
      <c r="I153" s="276"/>
      <c r="J153" s="353"/>
      <c r="K153" s="276"/>
      <c r="L153" s="276"/>
      <c r="M153" s="276"/>
      <c r="N153" s="276"/>
      <c r="O153" s="276"/>
      <c r="P153" s="276"/>
      <c r="Q153" s="276"/>
      <c r="R153" s="276"/>
      <c r="S153" s="276"/>
      <c r="T153" s="276"/>
      <c r="U153" s="276"/>
      <c r="V153" s="276"/>
      <c r="W153" s="276"/>
      <c r="X153" s="276"/>
      <c r="Y153" s="276"/>
      <c r="Z153" s="276"/>
      <c r="AA153" s="276"/>
      <c r="AB153" s="276"/>
      <c r="AC153" s="276"/>
      <c r="AD153" s="276"/>
      <c r="AE153" s="276"/>
      <c r="AF153" s="276"/>
      <c r="AG153" s="276"/>
      <c r="AH153" s="276"/>
      <c r="AI153" s="276"/>
      <c r="AJ153" s="276"/>
      <c r="AK153" s="276"/>
      <c r="AL153" s="276"/>
      <c r="AM153" s="276"/>
      <c r="AN153" s="276"/>
      <c r="AO153" s="276"/>
      <c r="AP153" s="276"/>
      <c r="AQ153" s="276"/>
      <c r="AR153" s="276"/>
      <c r="AS153" s="276"/>
      <c r="AT153" s="276"/>
      <c r="AU153" s="276"/>
      <c r="AV153" s="276"/>
      <c r="AW153" s="276"/>
      <c r="AX153" s="276"/>
      <c r="AY153" s="276"/>
    </row>
    <row r="154" spans="1:51" ht="15.75" customHeight="1" x14ac:dyDescent="0.25">
      <c r="A154" s="276"/>
      <c r="B154" s="276"/>
      <c r="C154" s="353"/>
      <c r="D154" s="276"/>
      <c r="E154" s="276"/>
      <c r="F154" s="276"/>
      <c r="G154" s="276"/>
      <c r="H154" s="276"/>
      <c r="I154" s="276"/>
      <c r="J154" s="353"/>
      <c r="K154" s="276"/>
      <c r="L154" s="276"/>
      <c r="M154" s="276"/>
      <c r="N154" s="276"/>
      <c r="O154" s="276"/>
      <c r="P154" s="276"/>
      <c r="Q154" s="276"/>
      <c r="R154" s="276"/>
      <c r="S154" s="276"/>
      <c r="T154" s="276"/>
      <c r="U154" s="276"/>
      <c r="V154" s="276"/>
      <c r="W154" s="276"/>
      <c r="X154" s="276"/>
      <c r="Y154" s="276"/>
      <c r="Z154" s="276"/>
      <c r="AA154" s="276"/>
      <c r="AB154" s="276"/>
      <c r="AC154" s="276"/>
      <c r="AD154" s="276"/>
      <c r="AE154" s="276"/>
      <c r="AF154" s="276"/>
      <c r="AG154" s="276"/>
      <c r="AH154" s="276"/>
      <c r="AI154" s="276"/>
      <c r="AJ154" s="276"/>
      <c r="AK154" s="276"/>
      <c r="AL154" s="276"/>
      <c r="AM154" s="276"/>
      <c r="AN154" s="276"/>
      <c r="AO154" s="276"/>
      <c r="AP154" s="276"/>
      <c r="AQ154" s="276"/>
      <c r="AR154" s="276"/>
      <c r="AS154" s="276"/>
      <c r="AT154" s="276"/>
      <c r="AU154" s="276"/>
      <c r="AV154" s="276"/>
      <c r="AW154" s="276"/>
      <c r="AX154" s="276"/>
      <c r="AY154" s="276"/>
    </row>
    <row r="155" spans="1:51" ht="15.75" customHeight="1" x14ac:dyDescent="0.25">
      <c r="A155" s="276"/>
      <c r="B155" s="276"/>
      <c r="C155" s="353"/>
      <c r="D155" s="276"/>
      <c r="E155" s="276"/>
      <c r="F155" s="276"/>
      <c r="G155" s="276"/>
      <c r="H155" s="276"/>
      <c r="I155" s="276"/>
      <c r="J155" s="353"/>
      <c r="K155" s="276"/>
      <c r="L155" s="276"/>
      <c r="M155" s="276"/>
      <c r="N155" s="276"/>
      <c r="O155" s="276"/>
      <c r="P155" s="276"/>
      <c r="Q155" s="276"/>
      <c r="R155" s="276"/>
      <c r="S155" s="276"/>
      <c r="T155" s="276"/>
      <c r="U155" s="276"/>
      <c r="V155" s="276"/>
      <c r="W155" s="276"/>
      <c r="X155" s="276"/>
      <c r="Y155" s="276"/>
      <c r="Z155" s="276"/>
      <c r="AA155" s="276"/>
      <c r="AB155" s="276"/>
      <c r="AC155" s="276"/>
      <c r="AD155" s="276"/>
      <c r="AE155" s="276"/>
      <c r="AF155" s="276"/>
      <c r="AG155" s="276"/>
      <c r="AH155" s="276"/>
      <c r="AI155" s="276"/>
      <c r="AJ155" s="276"/>
      <c r="AK155" s="276"/>
      <c r="AL155" s="276"/>
      <c r="AM155" s="276"/>
      <c r="AN155" s="276"/>
      <c r="AO155" s="276"/>
      <c r="AP155" s="276"/>
      <c r="AQ155" s="276"/>
      <c r="AR155" s="276"/>
      <c r="AS155" s="276"/>
      <c r="AT155" s="276"/>
      <c r="AU155" s="276"/>
      <c r="AV155" s="276"/>
      <c r="AW155" s="276"/>
      <c r="AX155" s="276"/>
      <c r="AY155" s="276"/>
    </row>
    <row r="156" spans="1:51" ht="15.75" customHeight="1" x14ac:dyDescent="0.25">
      <c r="A156" s="276"/>
      <c r="B156" s="276"/>
      <c r="C156" s="353"/>
      <c r="D156" s="276"/>
      <c r="E156" s="276"/>
      <c r="F156" s="276"/>
      <c r="G156" s="276"/>
      <c r="H156" s="276"/>
      <c r="I156" s="276"/>
      <c r="J156" s="353"/>
      <c r="K156" s="276"/>
      <c r="L156" s="276"/>
      <c r="M156" s="276"/>
      <c r="N156" s="276"/>
      <c r="O156" s="276"/>
      <c r="P156" s="276"/>
      <c r="Q156" s="276"/>
      <c r="R156" s="276"/>
      <c r="S156" s="276"/>
      <c r="T156" s="276"/>
      <c r="U156" s="276"/>
      <c r="V156" s="276"/>
      <c r="W156" s="276"/>
      <c r="X156" s="276"/>
      <c r="Y156" s="276"/>
      <c r="Z156" s="276"/>
      <c r="AA156" s="276"/>
      <c r="AB156" s="276"/>
      <c r="AC156" s="276"/>
      <c r="AD156" s="276"/>
      <c r="AE156" s="276"/>
      <c r="AF156" s="276"/>
      <c r="AG156" s="276"/>
      <c r="AH156" s="276"/>
      <c r="AI156" s="276"/>
      <c r="AJ156" s="276"/>
      <c r="AK156" s="276"/>
      <c r="AL156" s="276"/>
      <c r="AM156" s="276"/>
      <c r="AN156" s="276"/>
      <c r="AO156" s="276"/>
      <c r="AP156" s="276"/>
      <c r="AQ156" s="276"/>
      <c r="AR156" s="276"/>
      <c r="AS156" s="276"/>
      <c r="AT156" s="276"/>
      <c r="AU156" s="276"/>
      <c r="AV156" s="276"/>
      <c r="AW156" s="276"/>
      <c r="AX156" s="276"/>
      <c r="AY156" s="276"/>
    </row>
    <row r="157" spans="1:51" ht="15.75" customHeight="1" x14ac:dyDescent="0.25">
      <c r="A157" s="276"/>
      <c r="B157" s="276"/>
      <c r="C157" s="353"/>
      <c r="D157" s="276"/>
      <c r="E157" s="276"/>
      <c r="F157" s="276"/>
      <c r="G157" s="276"/>
      <c r="H157" s="276"/>
      <c r="I157" s="276"/>
      <c r="J157" s="353"/>
      <c r="K157" s="276"/>
      <c r="L157" s="276"/>
      <c r="M157" s="276"/>
      <c r="N157" s="276"/>
      <c r="O157" s="276"/>
      <c r="P157" s="276"/>
      <c r="Q157" s="276"/>
      <c r="R157" s="276"/>
      <c r="S157" s="276"/>
      <c r="T157" s="276"/>
      <c r="U157" s="276"/>
      <c r="V157" s="276"/>
      <c r="W157" s="276"/>
      <c r="X157" s="276"/>
      <c r="Y157" s="276"/>
      <c r="Z157" s="276"/>
      <c r="AA157" s="276"/>
      <c r="AB157" s="276"/>
      <c r="AC157" s="276"/>
      <c r="AD157" s="276"/>
      <c r="AE157" s="276"/>
      <c r="AF157" s="276"/>
      <c r="AG157" s="276"/>
      <c r="AH157" s="276"/>
      <c r="AI157" s="276"/>
      <c r="AJ157" s="276"/>
      <c r="AK157" s="276"/>
      <c r="AL157" s="276"/>
      <c r="AM157" s="276"/>
      <c r="AN157" s="276"/>
      <c r="AO157" s="276"/>
      <c r="AP157" s="276"/>
      <c r="AQ157" s="276"/>
      <c r="AR157" s="276"/>
      <c r="AS157" s="276"/>
      <c r="AT157" s="276"/>
      <c r="AU157" s="276"/>
      <c r="AV157" s="276"/>
      <c r="AW157" s="276"/>
      <c r="AX157" s="276"/>
      <c r="AY157" s="276"/>
    </row>
    <row r="158" spans="1:51" ht="15.75" customHeight="1" x14ac:dyDescent="0.25">
      <c r="A158" s="276"/>
      <c r="B158" s="276"/>
      <c r="C158" s="353"/>
      <c r="D158" s="276"/>
      <c r="E158" s="276"/>
      <c r="F158" s="276"/>
      <c r="G158" s="276"/>
      <c r="H158" s="276"/>
      <c r="I158" s="276"/>
      <c r="J158" s="353"/>
      <c r="K158" s="276"/>
      <c r="L158" s="276"/>
      <c r="M158" s="276"/>
      <c r="N158" s="276"/>
      <c r="O158" s="276"/>
      <c r="P158" s="276"/>
      <c r="Q158" s="276"/>
      <c r="R158" s="276"/>
      <c r="S158" s="276"/>
      <c r="T158" s="276"/>
      <c r="U158" s="276"/>
      <c r="V158" s="276"/>
      <c r="W158" s="276"/>
      <c r="X158" s="276"/>
      <c r="Y158" s="276"/>
      <c r="Z158" s="276"/>
      <c r="AA158" s="276"/>
      <c r="AB158" s="276"/>
      <c r="AC158" s="276"/>
      <c r="AD158" s="276"/>
      <c r="AE158" s="276"/>
      <c r="AF158" s="276"/>
      <c r="AG158" s="276"/>
      <c r="AH158" s="276"/>
      <c r="AI158" s="276"/>
      <c r="AJ158" s="276"/>
      <c r="AK158" s="276"/>
      <c r="AL158" s="276"/>
      <c r="AM158" s="276"/>
      <c r="AN158" s="276"/>
      <c r="AO158" s="276"/>
      <c r="AP158" s="276"/>
      <c r="AQ158" s="276"/>
      <c r="AR158" s="276"/>
      <c r="AS158" s="276"/>
      <c r="AT158" s="276"/>
      <c r="AU158" s="276"/>
      <c r="AV158" s="276"/>
      <c r="AW158" s="276"/>
      <c r="AX158" s="276"/>
      <c r="AY158" s="276"/>
    </row>
    <row r="159" spans="1:51" ht="15.75" customHeight="1" x14ac:dyDescent="0.25">
      <c r="A159" s="276"/>
      <c r="B159" s="276"/>
      <c r="C159" s="353"/>
      <c r="D159" s="276"/>
      <c r="E159" s="276"/>
      <c r="F159" s="276"/>
      <c r="G159" s="276"/>
      <c r="H159" s="276"/>
      <c r="I159" s="276"/>
      <c r="J159" s="353"/>
      <c r="K159" s="276"/>
      <c r="L159" s="276"/>
      <c r="M159" s="276"/>
      <c r="N159" s="276"/>
      <c r="O159" s="276"/>
      <c r="P159" s="276"/>
      <c r="Q159" s="276"/>
      <c r="R159" s="276"/>
      <c r="S159" s="276"/>
      <c r="T159" s="276"/>
      <c r="U159" s="276"/>
      <c r="V159" s="276"/>
      <c r="W159" s="276"/>
      <c r="X159" s="276"/>
      <c r="Y159" s="276"/>
      <c r="Z159" s="276"/>
      <c r="AA159" s="276"/>
      <c r="AB159" s="276"/>
      <c r="AC159" s="276"/>
      <c r="AD159" s="276"/>
      <c r="AE159" s="276"/>
      <c r="AF159" s="276"/>
      <c r="AG159" s="276"/>
      <c r="AH159" s="276"/>
      <c r="AI159" s="276"/>
      <c r="AJ159" s="276"/>
      <c r="AK159" s="276"/>
      <c r="AL159" s="276"/>
      <c r="AM159" s="276"/>
      <c r="AN159" s="276"/>
      <c r="AO159" s="276"/>
      <c r="AP159" s="276"/>
      <c r="AQ159" s="276"/>
      <c r="AR159" s="276"/>
      <c r="AS159" s="276"/>
      <c r="AT159" s="276"/>
      <c r="AU159" s="276"/>
      <c r="AV159" s="276"/>
      <c r="AW159" s="276"/>
      <c r="AX159" s="276"/>
      <c r="AY159" s="276"/>
    </row>
    <row r="160" spans="1:51" ht="15.75" customHeight="1" x14ac:dyDescent="0.25">
      <c r="A160" s="276"/>
      <c r="B160" s="276"/>
      <c r="C160" s="353"/>
      <c r="D160" s="276"/>
      <c r="E160" s="276"/>
      <c r="F160" s="276"/>
      <c r="G160" s="276"/>
      <c r="H160" s="276"/>
      <c r="I160" s="276"/>
      <c r="J160" s="353"/>
      <c r="K160" s="276"/>
      <c r="L160" s="276"/>
      <c r="M160" s="276"/>
      <c r="N160" s="276"/>
      <c r="O160" s="276"/>
      <c r="P160" s="276"/>
      <c r="Q160" s="276"/>
      <c r="R160" s="276"/>
      <c r="S160" s="276"/>
      <c r="T160" s="276"/>
      <c r="U160" s="276"/>
      <c r="V160" s="276"/>
      <c r="W160" s="276"/>
      <c r="X160" s="276"/>
      <c r="Y160" s="276"/>
      <c r="Z160" s="276"/>
      <c r="AA160" s="276"/>
      <c r="AB160" s="276"/>
      <c r="AC160" s="276"/>
      <c r="AD160" s="276"/>
      <c r="AE160" s="276"/>
      <c r="AF160" s="276"/>
      <c r="AG160" s="276"/>
      <c r="AH160" s="276"/>
      <c r="AI160" s="276"/>
      <c r="AJ160" s="276"/>
      <c r="AK160" s="276"/>
      <c r="AL160" s="276"/>
      <c r="AM160" s="276"/>
      <c r="AN160" s="276"/>
      <c r="AO160" s="276"/>
      <c r="AP160" s="276"/>
      <c r="AQ160" s="276"/>
      <c r="AR160" s="276"/>
      <c r="AS160" s="276"/>
      <c r="AT160" s="276"/>
      <c r="AU160" s="276"/>
      <c r="AV160" s="276"/>
      <c r="AW160" s="276"/>
      <c r="AX160" s="276"/>
      <c r="AY160" s="276"/>
    </row>
    <row r="161" spans="1:51" ht="15.75" customHeight="1" x14ac:dyDescent="0.25">
      <c r="A161" s="276"/>
      <c r="B161" s="276"/>
      <c r="C161" s="353"/>
      <c r="D161" s="276"/>
      <c r="E161" s="276"/>
      <c r="F161" s="276"/>
      <c r="G161" s="276"/>
      <c r="H161" s="276"/>
      <c r="I161" s="276"/>
      <c r="J161" s="353"/>
      <c r="K161" s="276"/>
      <c r="L161" s="276"/>
      <c r="M161" s="276"/>
      <c r="N161" s="276"/>
      <c r="O161" s="276"/>
      <c r="P161" s="276"/>
      <c r="Q161" s="276"/>
      <c r="R161" s="276"/>
      <c r="S161" s="276"/>
      <c r="T161" s="276"/>
      <c r="U161" s="276"/>
      <c r="V161" s="276"/>
      <c r="W161" s="276"/>
      <c r="X161" s="276"/>
      <c r="Y161" s="276"/>
      <c r="Z161" s="276"/>
      <c r="AA161" s="276"/>
      <c r="AB161" s="276"/>
      <c r="AC161" s="276"/>
      <c r="AD161" s="276"/>
      <c r="AE161" s="276"/>
      <c r="AF161" s="276"/>
      <c r="AG161" s="276"/>
      <c r="AH161" s="276"/>
      <c r="AI161" s="276"/>
      <c r="AJ161" s="276"/>
      <c r="AK161" s="276"/>
      <c r="AL161" s="276"/>
      <c r="AM161" s="276"/>
      <c r="AN161" s="276"/>
      <c r="AO161" s="276"/>
      <c r="AP161" s="276"/>
      <c r="AQ161" s="276"/>
      <c r="AR161" s="276"/>
      <c r="AS161" s="276"/>
      <c r="AT161" s="276"/>
      <c r="AU161" s="276"/>
      <c r="AV161" s="276"/>
      <c r="AW161" s="276"/>
      <c r="AX161" s="276"/>
      <c r="AY161" s="276"/>
    </row>
    <row r="162" spans="1:51" ht="15.75" customHeight="1" x14ac:dyDescent="0.25">
      <c r="A162" s="276"/>
      <c r="B162" s="276"/>
      <c r="C162" s="353"/>
      <c r="D162" s="276"/>
      <c r="E162" s="276"/>
      <c r="F162" s="276"/>
      <c r="G162" s="276"/>
      <c r="H162" s="276"/>
      <c r="I162" s="276"/>
      <c r="J162" s="353"/>
      <c r="K162" s="276"/>
      <c r="L162" s="276"/>
      <c r="M162" s="276"/>
      <c r="N162" s="276"/>
      <c r="O162" s="276"/>
      <c r="P162" s="276"/>
      <c r="Q162" s="276"/>
      <c r="R162" s="276"/>
      <c r="S162" s="276"/>
      <c r="T162" s="276"/>
      <c r="U162" s="276"/>
      <c r="V162" s="276"/>
      <c r="W162" s="276"/>
      <c r="X162" s="276"/>
      <c r="Y162" s="276"/>
      <c r="Z162" s="276"/>
      <c r="AA162" s="276"/>
      <c r="AB162" s="276"/>
      <c r="AC162" s="276"/>
      <c r="AD162" s="276"/>
      <c r="AE162" s="276"/>
      <c r="AF162" s="276"/>
      <c r="AG162" s="276"/>
      <c r="AH162" s="276"/>
      <c r="AI162" s="276"/>
      <c r="AJ162" s="276"/>
      <c r="AK162" s="276"/>
      <c r="AL162" s="276"/>
      <c r="AM162" s="276"/>
      <c r="AN162" s="276"/>
      <c r="AO162" s="276"/>
      <c r="AP162" s="276"/>
      <c r="AQ162" s="276"/>
      <c r="AR162" s="276"/>
      <c r="AS162" s="276"/>
      <c r="AT162" s="276"/>
      <c r="AU162" s="276"/>
      <c r="AV162" s="276"/>
      <c r="AW162" s="276"/>
      <c r="AX162" s="276"/>
      <c r="AY162" s="276"/>
    </row>
    <row r="163" spans="1:51" ht="15.75" customHeight="1" x14ac:dyDescent="0.25">
      <c r="A163" s="276"/>
      <c r="B163" s="276"/>
      <c r="C163" s="353"/>
      <c r="D163" s="276"/>
      <c r="E163" s="276"/>
      <c r="F163" s="276"/>
      <c r="G163" s="276"/>
      <c r="H163" s="276"/>
      <c r="I163" s="276"/>
      <c r="J163" s="353"/>
      <c r="K163" s="276"/>
      <c r="L163" s="276"/>
      <c r="M163" s="276"/>
      <c r="N163" s="276"/>
      <c r="O163" s="276"/>
      <c r="P163" s="276"/>
      <c r="Q163" s="276"/>
      <c r="R163" s="276"/>
      <c r="S163" s="276"/>
      <c r="T163" s="276"/>
      <c r="U163" s="276"/>
      <c r="V163" s="276"/>
      <c r="W163" s="276"/>
      <c r="X163" s="276"/>
      <c r="Y163" s="276"/>
      <c r="Z163" s="276"/>
      <c r="AA163" s="276"/>
      <c r="AB163" s="276"/>
      <c r="AC163" s="276"/>
      <c r="AD163" s="276"/>
      <c r="AE163" s="276"/>
      <c r="AF163" s="276"/>
      <c r="AG163" s="276"/>
      <c r="AH163" s="276"/>
      <c r="AI163" s="276"/>
      <c r="AJ163" s="276"/>
      <c r="AK163" s="276"/>
      <c r="AL163" s="276"/>
      <c r="AM163" s="276"/>
      <c r="AN163" s="276"/>
      <c r="AO163" s="276"/>
      <c r="AP163" s="276"/>
      <c r="AQ163" s="276"/>
      <c r="AR163" s="276"/>
      <c r="AS163" s="276"/>
      <c r="AT163" s="276"/>
      <c r="AU163" s="276"/>
      <c r="AV163" s="276"/>
      <c r="AW163" s="276"/>
      <c r="AX163" s="276"/>
      <c r="AY163" s="276"/>
    </row>
    <row r="164" spans="1:51" ht="15.75" customHeight="1" x14ac:dyDescent="0.25">
      <c r="A164" s="276"/>
      <c r="B164" s="276"/>
      <c r="C164" s="353"/>
      <c r="D164" s="276"/>
      <c r="E164" s="276"/>
      <c r="F164" s="276"/>
      <c r="G164" s="276"/>
      <c r="H164" s="276"/>
      <c r="I164" s="276"/>
      <c r="J164" s="353"/>
      <c r="K164" s="276"/>
      <c r="L164" s="276"/>
      <c r="M164" s="276"/>
      <c r="N164" s="276"/>
      <c r="O164" s="276"/>
      <c r="P164" s="276"/>
      <c r="Q164" s="276"/>
      <c r="R164" s="276"/>
      <c r="S164" s="276"/>
      <c r="T164" s="276"/>
      <c r="U164" s="276"/>
      <c r="V164" s="276"/>
      <c r="W164" s="276"/>
      <c r="X164" s="276"/>
      <c r="Y164" s="276"/>
      <c r="Z164" s="276"/>
      <c r="AA164" s="276"/>
      <c r="AB164" s="276"/>
      <c r="AC164" s="276"/>
      <c r="AD164" s="276"/>
      <c r="AE164" s="276"/>
      <c r="AF164" s="276"/>
      <c r="AG164" s="276"/>
      <c r="AH164" s="276"/>
      <c r="AI164" s="276"/>
      <c r="AJ164" s="276"/>
      <c r="AK164" s="276"/>
      <c r="AL164" s="276"/>
      <c r="AM164" s="276"/>
      <c r="AN164" s="276"/>
      <c r="AO164" s="276"/>
      <c r="AP164" s="276"/>
      <c r="AQ164" s="276"/>
      <c r="AR164" s="276"/>
      <c r="AS164" s="276"/>
      <c r="AT164" s="276"/>
      <c r="AU164" s="276"/>
      <c r="AV164" s="276"/>
      <c r="AW164" s="276"/>
      <c r="AX164" s="276"/>
      <c r="AY164" s="276"/>
    </row>
    <row r="165" spans="1:51" ht="15.75" customHeight="1" x14ac:dyDescent="0.25">
      <c r="A165" s="276"/>
      <c r="B165" s="276"/>
      <c r="C165" s="353"/>
      <c r="D165" s="276"/>
      <c r="E165" s="276"/>
      <c r="F165" s="276"/>
      <c r="G165" s="276"/>
      <c r="H165" s="276"/>
      <c r="I165" s="276"/>
      <c r="J165" s="353"/>
      <c r="K165" s="276"/>
      <c r="L165" s="276"/>
      <c r="M165" s="276"/>
      <c r="N165" s="276"/>
      <c r="O165" s="276"/>
      <c r="P165" s="276"/>
      <c r="Q165" s="276"/>
      <c r="R165" s="276"/>
      <c r="S165" s="276"/>
      <c r="T165" s="276"/>
      <c r="U165" s="276"/>
      <c r="V165" s="276"/>
      <c r="W165" s="276"/>
      <c r="X165" s="276"/>
      <c r="Y165" s="276"/>
      <c r="Z165" s="276"/>
      <c r="AA165" s="276"/>
      <c r="AB165" s="276"/>
      <c r="AC165" s="276"/>
      <c r="AD165" s="276"/>
      <c r="AE165" s="276"/>
      <c r="AF165" s="276"/>
      <c r="AG165" s="276"/>
      <c r="AH165" s="276"/>
      <c r="AI165" s="276"/>
      <c r="AJ165" s="276"/>
      <c r="AK165" s="276"/>
      <c r="AL165" s="276"/>
      <c r="AM165" s="276"/>
      <c r="AN165" s="276"/>
      <c r="AO165" s="276"/>
      <c r="AP165" s="276"/>
      <c r="AQ165" s="276"/>
      <c r="AR165" s="276"/>
      <c r="AS165" s="276"/>
      <c r="AT165" s="276"/>
      <c r="AU165" s="276"/>
      <c r="AV165" s="276"/>
      <c r="AW165" s="276"/>
      <c r="AX165" s="276"/>
      <c r="AY165" s="276"/>
    </row>
    <row r="166" spans="1:51" ht="15.75" customHeight="1" x14ac:dyDescent="0.25">
      <c r="A166" s="276"/>
      <c r="B166" s="276"/>
      <c r="C166" s="353"/>
      <c r="D166" s="276"/>
      <c r="E166" s="276"/>
      <c r="F166" s="276"/>
      <c r="G166" s="276"/>
      <c r="H166" s="276"/>
      <c r="I166" s="276"/>
      <c r="J166" s="353"/>
      <c r="K166" s="276"/>
      <c r="L166" s="276"/>
      <c r="M166" s="276"/>
      <c r="N166" s="276"/>
      <c r="O166" s="276"/>
      <c r="P166" s="276"/>
      <c r="Q166" s="276"/>
      <c r="R166" s="276"/>
      <c r="S166" s="276"/>
      <c r="T166" s="276"/>
      <c r="U166" s="276"/>
      <c r="V166" s="276"/>
      <c r="W166" s="276"/>
      <c r="X166" s="276"/>
      <c r="Y166" s="276"/>
      <c r="Z166" s="276"/>
      <c r="AA166" s="276"/>
      <c r="AB166" s="276"/>
      <c r="AC166" s="276"/>
      <c r="AD166" s="276"/>
      <c r="AE166" s="276"/>
      <c r="AF166" s="276"/>
      <c r="AG166" s="276"/>
      <c r="AH166" s="276"/>
      <c r="AI166" s="276"/>
      <c r="AJ166" s="276"/>
      <c r="AK166" s="276"/>
      <c r="AL166" s="276"/>
      <c r="AM166" s="276"/>
      <c r="AN166" s="276"/>
      <c r="AO166" s="276"/>
      <c r="AP166" s="276"/>
      <c r="AQ166" s="276"/>
      <c r="AR166" s="276"/>
      <c r="AS166" s="276"/>
      <c r="AT166" s="276"/>
      <c r="AU166" s="276"/>
      <c r="AV166" s="276"/>
      <c r="AW166" s="276"/>
      <c r="AX166" s="276"/>
      <c r="AY166" s="276"/>
    </row>
    <row r="167" spans="1:51" ht="15.75" customHeight="1" x14ac:dyDescent="0.25">
      <c r="A167" s="276"/>
      <c r="B167" s="276"/>
      <c r="C167" s="353"/>
      <c r="D167" s="276"/>
      <c r="E167" s="276"/>
      <c r="F167" s="276"/>
      <c r="G167" s="276"/>
      <c r="H167" s="276"/>
      <c r="I167" s="276"/>
      <c r="J167" s="353"/>
      <c r="K167" s="276"/>
      <c r="L167" s="276"/>
      <c r="M167" s="276"/>
      <c r="N167" s="276"/>
      <c r="O167" s="276"/>
      <c r="P167" s="276"/>
      <c r="Q167" s="276"/>
      <c r="R167" s="276"/>
      <c r="S167" s="276"/>
      <c r="T167" s="276"/>
      <c r="U167" s="276"/>
      <c r="V167" s="276"/>
      <c r="W167" s="276"/>
      <c r="X167" s="276"/>
      <c r="Y167" s="276"/>
      <c r="Z167" s="276"/>
      <c r="AA167" s="276"/>
      <c r="AB167" s="276"/>
      <c r="AC167" s="276"/>
      <c r="AD167" s="276"/>
      <c r="AE167" s="276"/>
      <c r="AF167" s="276"/>
      <c r="AG167" s="276"/>
      <c r="AH167" s="276"/>
      <c r="AI167" s="276"/>
      <c r="AJ167" s="276"/>
      <c r="AK167" s="276"/>
      <c r="AL167" s="276"/>
      <c r="AM167" s="276"/>
      <c r="AN167" s="276"/>
      <c r="AO167" s="276"/>
      <c r="AP167" s="276"/>
      <c r="AQ167" s="276"/>
      <c r="AR167" s="276"/>
      <c r="AS167" s="276"/>
      <c r="AT167" s="276"/>
      <c r="AU167" s="276"/>
      <c r="AV167" s="276"/>
      <c r="AW167" s="276"/>
      <c r="AX167" s="276"/>
      <c r="AY167" s="276"/>
    </row>
    <row r="168" spans="1:51" ht="15.75" customHeight="1" x14ac:dyDescent="0.25">
      <c r="A168" s="276"/>
      <c r="B168" s="276"/>
      <c r="C168" s="353"/>
      <c r="D168" s="276"/>
      <c r="E168" s="276"/>
      <c r="F168" s="276"/>
      <c r="G168" s="276"/>
      <c r="H168" s="276"/>
      <c r="I168" s="276"/>
      <c r="J168" s="353"/>
      <c r="K168" s="276"/>
      <c r="L168" s="276"/>
      <c r="M168" s="276"/>
      <c r="N168" s="276"/>
      <c r="O168" s="276"/>
      <c r="P168" s="276"/>
      <c r="Q168" s="276"/>
      <c r="R168" s="276"/>
      <c r="S168" s="276"/>
      <c r="T168" s="276"/>
      <c r="U168" s="276"/>
      <c r="V168" s="276"/>
      <c r="W168" s="276"/>
      <c r="X168" s="276"/>
      <c r="Y168" s="276"/>
      <c r="Z168" s="276"/>
      <c r="AA168" s="276"/>
      <c r="AB168" s="276"/>
      <c r="AC168" s="276"/>
      <c r="AD168" s="276"/>
      <c r="AE168" s="276"/>
      <c r="AF168" s="276"/>
      <c r="AG168" s="276"/>
      <c r="AH168" s="276"/>
      <c r="AI168" s="276"/>
      <c r="AJ168" s="276"/>
      <c r="AK168" s="276"/>
      <c r="AL168" s="276"/>
      <c r="AM168" s="276"/>
      <c r="AN168" s="276"/>
      <c r="AO168" s="276"/>
      <c r="AP168" s="276"/>
      <c r="AQ168" s="276"/>
      <c r="AR168" s="276"/>
      <c r="AS168" s="276"/>
      <c r="AT168" s="276"/>
      <c r="AU168" s="276"/>
      <c r="AV168" s="276"/>
      <c r="AW168" s="276"/>
      <c r="AX168" s="276"/>
      <c r="AY168" s="276"/>
    </row>
    <row r="169" spans="1:51" ht="15.75" customHeight="1" x14ac:dyDescent="0.25">
      <c r="A169" s="276"/>
      <c r="B169" s="276"/>
      <c r="C169" s="353"/>
      <c r="D169" s="276"/>
      <c r="E169" s="276"/>
      <c r="F169" s="276"/>
      <c r="G169" s="276"/>
      <c r="H169" s="276"/>
      <c r="I169" s="276"/>
      <c r="J169" s="353"/>
      <c r="K169" s="276"/>
      <c r="L169" s="276"/>
      <c r="M169" s="276"/>
      <c r="N169" s="276"/>
      <c r="O169" s="276"/>
      <c r="P169" s="276"/>
      <c r="Q169" s="276"/>
      <c r="R169" s="276"/>
      <c r="S169" s="276"/>
      <c r="T169" s="276"/>
      <c r="U169" s="276"/>
      <c r="V169" s="276"/>
      <c r="W169" s="276"/>
      <c r="X169" s="276"/>
      <c r="Y169" s="276"/>
      <c r="Z169" s="276"/>
      <c r="AA169" s="276"/>
      <c r="AB169" s="276"/>
      <c r="AC169" s="276"/>
      <c r="AD169" s="276"/>
      <c r="AE169" s="276"/>
      <c r="AF169" s="276"/>
      <c r="AG169" s="276"/>
      <c r="AH169" s="276"/>
      <c r="AI169" s="276"/>
      <c r="AJ169" s="276"/>
      <c r="AK169" s="276"/>
      <c r="AL169" s="276"/>
      <c r="AM169" s="276"/>
      <c r="AN169" s="276"/>
      <c r="AO169" s="276"/>
      <c r="AP169" s="276"/>
      <c r="AQ169" s="276"/>
      <c r="AR169" s="276"/>
      <c r="AS169" s="276"/>
      <c r="AT169" s="276"/>
      <c r="AU169" s="276"/>
      <c r="AV169" s="276"/>
      <c r="AW169" s="276"/>
      <c r="AX169" s="276"/>
      <c r="AY169" s="276"/>
    </row>
    <row r="170" spans="1:51" ht="15.75" customHeight="1" x14ac:dyDescent="0.25">
      <c r="A170" s="276"/>
      <c r="B170" s="276"/>
      <c r="C170" s="353"/>
      <c r="D170" s="276"/>
      <c r="E170" s="276"/>
      <c r="F170" s="276"/>
      <c r="G170" s="276"/>
      <c r="H170" s="276"/>
      <c r="I170" s="276"/>
      <c r="J170" s="353"/>
      <c r="K170" s="276"/>
      <c r="L170" s="276"/>
      <c r="M170" s="276"/>
      <c r="N170" s="276"/>
      <c r="O170" s="276"/>
      <c r="P170" s="276"/>
      <c r="Q170" s="276"/>
      <c r="R170" s="276"/>
      <c r="S170" s="276"/>
      <c r="T170" s="276"/>
      <c r="U170" s="276"/>
      <c r="V170" s="276"/>
      <c r="W170" s="276"/>
      <c r="X170" s="276"/>
      <c r="Y170" s="276"/>
      <c r="Z170" s="276"/>
      <c r="AA170" s="276"/>
      <c r="AB170" s="276"/>
      <c r="AC170" s="276"/>
      <c r="AD170" s="276"/>
      <c r="AE170" s="276"/>
      <c r="AF170" s="276"/>
      <c r="AG170" s="276"/>
      <c r="AH170" s="276"/>
      <c r="AI170" s="276"/>
      <c r="AJ170" s="276"/>
      <c r="AK170" s="276"/>
      <c r="AL170" s="276"/>
      <c r="AM170" s="276"/>
      <c r="AN170" s="276"/>
      <c r="AO170" s="276"/>
      <c r="AP170" s="276"/>
      <c r="AQ170" s="276"/>
      <c r="AR170" s="276"/>
      <c r="AS170" s="276"/>
      <c r="AT170" s="276"/>
      <c r="AU170" s="276"/>
      <c r="AV170" s="276"/>
      <c r="AW170" s="276"/>
      <c r="AX170" s="276"/>
      <c r="AY170" s="276"/>
    </row>
    <row r="171" spans="1:51" ht="15.75" customHeight="1" x14ac:dyDescent="0.25">
      <c r="A171" s="276"/>
      <c r="B171" s="276"/>
      <c r="C171" s="353"/>
      <c r="D171" s="276"/>
      <c r="E171" s="276"/>
      <c r="F171" s="276"/>
      <c r="G171" s="276"/>
      <c r="H171" s="276"/>
      <c r="I171" s="276"/>
      <c r="J171" s="353"/>
      <c r="K171" s="276"/>
      <c r="L171" s="276"/>
      <c r="M171" s="276"/>
      <c r="N171" s="276"/>
      <c r="O171" s="276"/>
      <c r="P171" s="276"/>
      <c r="Q171" s="276"/>
      <c r="R171" s="276"/>
      <c r="S171" s="276"/>
      <c r="T171" s="276"/>
      <c r="U171" s="276"/>
      <c r="V171" s="276"/>
      <c r="W171" s="276"/>
      <c r="X171" s="276"/>
      <c r="Y171" s="276"/>
      <c r="Z171" s="276"/>
      <c r="AA171" s="276"/>
      <c r="AB171" s="276"/>
      <c r="AC171" s="276"/>
      <c r="AD171" s="276"/>
      <c r="AE171" s="276"/>
      <c r="AF171" s="276"/>
      <c r="AG171" s="276"/>
      <c r="AH171" s="276"/>
      <c r="AI171" s="276"/>
      <c r="AJ171" s="276"/>
      <c r="AK171" s="276"/>
      <c r="AL171" s="276"/>
      <c r="AM171" s="276"/>
      <c r="AN171" s="276"/>
      <c r="AO171" s="276"/>
      <c r="AP171" s="276"/>
      <c r="AQ171" s="276"/>
      <c r="AR171" s="276"/>
      <c r="AS171" s="276"/>
      <c r="AT171" s="276"/>
      <c r="AU171" s="276"/>
      <c r="AV171" s="276"/>
      <c r="AW171" s="276"/>
      <c r="AX171" s="276"/>
      <c r="AY171" s="276"/>
    </row>
    <row r="172" spans="1:51" ht="15.75" customHeight="1" x14ac:dyDescent="0.25">
      <c r="A172" s="276"/>
      <c r="B172" s="276"/>
      <c r="C172" s="353"/>
      <c r="D172" s="276"/>
      <c r="E172" s="276"/>
      <c r="F172" s="276"/>
      <c r="G172" s="276"/>
      <c r="H172" s="276"/>
      <c r="I172" s="276"/>
      <c r="J172" s="353"/>
      <c r="K172" s="276"/>
      <c r="L172" s="276"/>
      <c r="M172" s="276"/>
      <c r="N172" s="276"/>
      <c r="O172" s="276"/>
      <c r="P172" s="276"/>
      <c r="Q172" s="276"/>
      <c r="R172" s="276"/>
      <c r="S172" s="276"/>
      <c r="T172" s="276"/>
      <c r="U172" s="276"/>
      <c r="V172" s="276"/>
      <c r="W172" s="276"/>
      <c r="X172" s="276"/>
      <c r="Y172" s="276"/>
      <c r="Z172" s="276"/>
      <c r="AA172" s="276"/>
      <c r="AB172" s="276"/>
      <c r="AC172" s="276"/>
      <c r="AD172" s="276"/>
      <c r="AE172" s="276"/>
      <c r="AF172" s="276"/>
      <c r="AG172" s="276"/>
      <c r="AH172" s="276"/>
      <c r="AI172" s="276"/>
      <c r="AJ172" s="276"/>
      <c r="AK172" s="276"/>
      <c r="AL172" s="276"/>
      <c r="AM172" s="276"/>
      <c r="AN172" s="276"/>
      <c r="AO172" s="276"/>
      <c r="AP172" s="276"/>
      <c r="AQ172" s="276"/>
      <c r="AR172" s="276"/>
      <c r="AS172" s="276"/>
      <c r="AT172" s="276"/>
      <c r="AU172" s="276"/>
      <c r="AV172" s="276"/>
      <c r="AW172" s="276"/>
      <c r="AX172" s="276"/>
      <c r="AY172" s="276"/>
    </row>
    <row r="173" spans="1:51" ht="15.75" customHeight="1" x14ac:dyDescent="0.25">
      <c r="A173" s="276"/>
      <c r="B173" s="276"/>
      <c r="C173" s="353"/>
      <c r="D173" s="276"/>
      <c r="E173" s="276"/>
      <c r="F173" s="276"/>
      <c r="G173" s="276"/>
      <c r="H173" s="276"/>
      <c r="I173" s="276"/>
      <c r="J173" s="353"/>
      <c r="K173" s="276"/>
      <c r="L173" s="276"/>
      <c r="M173" s="276"/>
      <c r="N173" s="276"/>
      <c r="O173" s="276"/>
      <c r="P173" s="276"/>
      <c r="Q173" s="276"/>
      <c r="R173" s="276"/>
      <c r="S173" s="276"/>
      <c r="T173" s="276"/>
      <c r="U173" s="276"/>
      <c r="V173" s="276"/>
      <c r="W173" s="276"/>
      <c r="X173" s="276"/>
      <c r="Y173" s="276"/>
      <c r="Z173" s="276"/>
      <c r="AA173" s="276"/>
      <c r="AB173" s="276"/>
      <c r="AC173" s="276"/>
      <c r="AD173" s="276"/>
      <c r="AE173" s="276"/>
      <c r="AF173" s="276"/>
      <c r="AG173" s="276"/>
      <c r="AH173" s="276"/>
      <c r="AI173" s="276"/>
      <c r="AJ173" s="276"/>
      <c r="AK173" s="276"/>
      <c r="AL173" s="276"/>
      <c r="AM173" s="276"/>
      <c r="AN173" s="276"/>
      <c r="AO173" s="276"/>
      <c r="AP173" s="276"/>
      <c r="AQ173" s="276"/>
      <c r="AR173" s="276"/>
      <c r="AS173" s="276"/>
      <c r="AT173" s="276"/>
      <c r="AU173" s="276"/>
      <c r="AV173" s="276"/>
      <c r="AW173" s="276"/>
      <c r="AX173" s="276"/>
      <c r="AY173" s="276"/>
    </row>
    <row r="174" spans="1:51" ht="15.75" customHeight="1" x14ac:dyDescent="0.25">
      <c r="A174" s="276"/>
      <c r="B174" s="276"/>
      <c r="C174" s="353"/>
      <c r="D174" s="276"/>
      <c r="E174" s="276"/>
      <c r="F174" s="276"/>
      <c r="G174" s="276"/>
      <c r="H174" s="276"/>
      <c r="I174" s="276"/>
      <c r="J174" s="353"/>
      <c r="K174" s="276"/>
      <c r="L174" s="276"/>
      <c r="M174" s="276"/>
      <c r="N174" s="276"/>
      <c r="O174" s="276"/>
      <c r="P174" s="276"/>
      <c r="Q174" s="276"/>
      <c r="R174" s="276"/>
      <c r="S174" s="276"/>
      <c r="T174" s="276"/>
      <c r="U174" s="276"/>
      <c r="V174" s="276"/>
      <c r="W174" s="276"/>
      <c r="X174" s="276"/>
      <c r="Y174" s="276"/>
      <c r="Z174" s="276"/>
      <c r="AA174" s="276"/>
      <c r="AB174" s="276"/>
      <c r="AC174" s="276"/>
      <c r="AD174" s="276"/>
      <c r="AE174" s="276"/>
      <c r="AF174" s="276"/>
      <c r="AG174" s="276"/>
      <c r="AH174" s="276"/>
      <c r="AI174" s="276"/>
      <c r="AJ174" s="276"/>
      <c r="AK174" s="276"/>
      <c r="AL174" s="276"/>
      <c r="AM174" s="276"/>
      <c r="AN174" s="276"/>
      <c r="AO174" s="276"/>
      <c r="AP174" s="276"/>
      <c r="AQ174" s="276"/>
      <c r="AR174" s="276"/>
      <c r="AS174" s="276"/>
      <c r="AT174" s="276"/>
      <c r="AU174" s="276"/>
      <c r="AV174" s="276"/>
      <c r="AW174" s="276"/>
      <c r="AX174" s="276"/>
      <c r="AY174" s="276"/>
    </row>
    <row r="175" spans="1:51" ht="15.75" customHeight="1" x14ac:dyDescent="0.25">
      <c r="A175" s="276"/>
      <c r="B175" s="276"/>
      <c r="C175" s="353"/>
      <c r="D175" s="276"/>
      <c r="E175" s="276"/>
      <c r="F175" s="276"/>
      <c r="G175" s="276"/>
      <c r="H175" s="276"/>
      <c r="I175" s="276"/>
      <c r="J175" s="353"/>
      <c r="K175" s="276"/>
      <c r="L175" s="276"/>
      <c r="M175" s="276"/>
      <c r="N175" s="276"/>
      <c r="O175" s="276"/>
      <c r="P175" s="276"/>
      <c r="Q175" s="276"/>
      <c r="R175" s="276"/>
      <c r="S175" s="276"/>
      <c r="T175" s="276"/>
      <c r="U175" s="276"/>
      <c r="V175" s="276"/>
      <c r="W175" s="276"/>
      <c r="X175" s="276"/>
      <c r="Y175" s="276"/>
      <c r="Z175" s="276"/>
      <c r="AA175" s="276"/>
      <c r="AB175" s="276"/>
      <c r="AC175" s="276"/>
      <c r="AD175" s="276"/>
      <c r="AE175" s="276"/>
      <c r="AF175" s="276"/>
      <c r="AG175" s="276"/>
      <c r="AH175" s="276"/>
      <c r="AI175" s="276"/>
      <c r="AJ175" s="276"/>
      <c r="AK175" s="276"/>
      <c r="AL175" s="276"/>
      <c r="AM175" s="276"/>
      <c r="AN175" s="276"/>
      <c r="AO175" s="276"/>
      <c r="AP175" s="276"/>
      <c r="AQ175" s="276"/>
      <c r="AR175" s="276"/>
      <c r="AS175" s="276"/>
      <c r="AT175" s="276"/>
      <c r="AU175" s="276"/>
      <c r="AV175" s="276"/>
      <c r="AW175" s="276"/>
      <c r="AX175" s="276"/>
      <c r="AY175" s="276"/>
    </row>
    <row r="176" spans="1:51" ht="15.75" customHeight="1" x14ac:dyDescent="0.25">
      <c r="A176" s="276"/>
      <c r="B176" s="276"/>
      <c r="C176" s="353"/>
      <c r="D176" s="276"/>
      <c r="E176" s="276"/>
      <c r="F176" s="276"/>
      <c r="G176" s="276"/>
      <c r="H176" s="276"/>
      <c r="I176" s="276"/>
      <c r="J176" s="353"/>
      <c r="K176" s="276"/>
      <c r="L176" s="276"/>
      <c r="M176" s="276"/>
      <c r="N176" s="276"/>
      <c r="O176" s="276"/>
      <c r="P176" s="276"/>
      <c r="Q176" s="276"/>
      <c r="R176" s="276"/>
      <c r="S176" s="276"/>
      <c r="T176" s="276"/>
      <c r="U176" s="276"/>
      <c r="V176" s="276"/>
      <c r="W176" s="276"/>
      <c r="X176" s="276"/>
      <c r="Y176" s="276"/>
      <c r="Z176" s="276"/>
      <c r="AA176" s="276"/>
      <c r="AB176" s="276"/>
      <c r="AC176" s="276"/>
      <c r="AD176" s="276"/>
      <c r="AE176" s="276"/>
      <c r="AF176" s="276"/>
      <c r="AG176" s="276"/>
      <c r="AH176" s="276"/>
      <c r="AI176" s="276"/>
      <c r="AJ176" s="276"/>
      <c r="AK176" s="276"/>
      <c r="AL176" s="276"/>
      <c r="AM176" s="276"/>
      <c r="AN176" s="276"/>
      <c r="AO176" s="276"/>
      <c r="AP176" s="276"/>
      <c r="AQ176" s="276"/>
      <c r="AR176" s="276"/>
      <c r="AS176" s="276"/>
      <c r="AT176" s="276"/>
      <c r="AU176" s="276"/>
      <c r="AV176" s="276"/>
      <c r="AW176" s="276"/>
      <c r="AX176" s="276"/>
      <c r="AY176" s="276"/>
    </row>
    <row r="177" spans="1:51" ht="15.75" customHeight="1" x14ac:dyDescent="0.25">
      <c r="A177" s="276"/>
      <c r="B177" s="276"/>
      <c r="C177" s="353"/>
      <c r="D177" s="276"/>
      <c r="E177" s="276"/>
      <c r="F177" s="276"/>
      <c r="G177" s="276"/>
      <c r="H177" s="276"/>
      <c r="I177" s="276"/>
      <c r="J177" s="353"/>
      <c r="K177" s="276"/>
      <c r="L177" s="276"/>
      <c r="M177" s="276"/>
      <c r="N177" s="276"/>
      <c r="O177" s="276"/>
      <c r="P177" s="276"/>
      <c r="Q177" s="276"/>
      <c r="R177" s="276"/>
      <c r="S177" s="276"/>
      <c r="T177" s="276"/>
      <c r="U177" s="276"/>
      <c r="V177" s="276"/>
      <c r="W177" s="276"/>
      <c r="X177" s="276"/>
      <c r="Y177" s="276"/>
      <c r="Z177" s="276"/>
      <c r="AA177" s="276"/>
      <c r="AB177" s="276"/>
      <c r="AC177" s="276"/>
      <c r="AD177" s="276"/>
      <c r="AE177" s="276"/>
      <c r="AF177" s="276"/>
      <c r="AG177" s="276"/>
      <c r="AH177" s="276"/>
      <c r="AI177" s="276"/>
      <c r="AJ177" s="276"/>
      <c r="AK177" s="276"/>
      <c r="AL177" s="276"/>
      <c r="AM177" s="276"/>
      <c r="AN177" s="276"/>
      <c r="AO177" s="276"/>
      <c r="AP177" s="276"/>
      <c r="AQ177" s="276"/>
      <c r="AR177" s="276"/>
      <c r="AS177" s="276"/>
      <c r="AT177" s="276"/>
      <c r="AU177" s="276"/>
      <c r="AV177" s="276"/>
      <c r="AW177" s="276"/>
      <c r="AX177" s="276"/>
      <c r="AY177" s="276"/>
    </row>
    <row r="178" spans="1:51" ht="15.75" customHeight="1" x14ac:dyDescent="0.25">
      <c r="A178" s="276"/>
      <c r="B178" s="276"/>
      <c r="C178" s="353"/>
      <c r="D178" s="276"/>
      <c r="E178" s="276"/>
      <c r="F178" s="276"/>
      <c r="G178" s="276"/>
      <c r="H178" s="276"/>
      <c r="I178" s="276"/>
      <c r="J178" s="353"/>
      <c r="K178" s="276"/>
      <c r="L178" s="276"/>
      <c r="M178" s="276"/>
      <c r="N178" s="276"/>
      <c r="O178" s="276"/>
      <c r="P178" s="276"/>
      <c r="Q178" s="276"/>
      <c r="R178" s="276"/>
      <c r="S178" s="276"/>
      <c r="T178" s="276"/>
      <c r="U178" s="276"/>
      <c r="V178" s="276"/>
      <c r="W178" s="276"/>
      <c r="X178" s="276"/>
      <c r="Y178" s="276"/>
      <c r="Z178" s="276"/>
      <c r="AA178" s="276"/>
      <c r="AB178" s="276"/>
      <c r="AC178" s="276"/>
      <c r="AD178" s="276"/>
      <c r="AE178" s="276"/>
      <c r="AF178" s="276"/>
      <c r="AG178" s="276"/>
      <c r="AH178" s="276"/>
      <c r="AI178" s="276"/>
      <c r="AJ178" s="276"/>
      <c r="AK178" s="276"/>
      <c r="AL178" s="276"/>
      <c r="AM178" s="276"/>
      <c r="AN178" s="276"/>
      <c r="AO178" s="276"/>
      <c r="AP178" s="276"/>
      <c r="AQ178" s="276"/>
      <c r="AR178" s="276"/>
      <c r="AS178" s="276"/>
      <c r="AT178" s="276"/>
      <c r="AU178" s="276"/>
      <c r="AV178" s="276"/>
      <c r="AW178" s="276"/>
      <c r="AX178" s="276"/>
      <c r="AY178" s="276"/>
    </row>
    <row r="179" spans="1:51" ht="15.75" customHeight="1" x14ac:dyDescent="0.25">
      <c r="A179" s="276"/>
      <c r="B179" s="276"/>
      <c r="C179" s="353"/>
      <c r="D179" s="276"/>
      <c r="E179" s="276"/>
      <c r="F179" s="276"/>
      <c r="G179" s="276"/>
      <c r="H179" s="276"/>
      <c r="I179" s="276"/>
      <c r="J179" s="353"/>
      <c r="K179" s="276"/>
      <c r="L179" s="276"/>
      <c r="M179" s="276"/>
      <c r="N179" s="276"/>
      <c r="O179" s="276"/>
      <c r="P179" s="276"/>
      <c r="Q179" s="276"/>
      <c r="R179" s="276"/>
      <c r="S179" s="276"/>
      <c r="T179" s="276"/>
      <c r="U179" s="276"/>
      <c r="V179" s="276"/>
      <c r="W179" s="276"/>
      <c r="X179" s="276"/>
      <c r="Y179" s="276"/>
      <c r="Z179" s="276"/>
      <c r="AA179" s="276"/>
      <c r="AB179" s="276"/>
      <c r="AC179" s="276"/>
      <c r="AD179" s="276"/>
      <c r="AE179" s="276"/>
      <c r="AF179" s="276"/>
      <c r="AG179" s="276"/>
      <c r="AH179" s="276"/>
      <c r="AI179" s="276"/>
      <c r="AJ179" s="276"/>
      <c r="AK179" s="276"/>
      <c r="AL179" s="276"/>
      <c r="AM179" s="276"/>
      <c r="AN179" s="276"/>
      <c r="AO179" s="276"/>
      <c r="AP179" s="276"/>
      <c r="AQ179" s="276"/>
      <c r="AR179" s="276"/>
      <c r="AS179" s="276"/>
      <c r="AT179" s="276"/>
      <c r="AU179" s="276"/>
      <c r="AV179" s="276"/>
      <c r="AW179" s="276"/>
      <c r="AX179" s="276"/>
      <c r="AY179" s="276"/>
    </row>
    <row r="180" spans="1:51" ht="15.75" customHeight="1" x14ac:dyDescent="0.25">
      <c r="A180" s="276"/>
      <c r="B180" s="276"/>
      <c r="C180" s="353"/>
      <c r="D180" s="276"/>
      <c r="E180" s="276"/>
      <c r="F180" s="276"/>
      <c r="G180" s="276"/>
      <c r="H180" s="276"/>
      <c r="I180" s="276"/>
      <c r="J180" s="353"/>
      <c r="K180" s="276"/>
      <c r="L180" s="276"/>
      <c r="M180" s="276"/>
      <c r="N180" s="276"/>
      <c r="O180" s="276"/>
      <c r="P180" s="276"/>
      <c r="Q180" s="276"/>
      <c r="R180" s="276"/>
      <c r="S180" s="276"/>
      <c r="T180" s="276"/>
      <c r="U180" s="276"/>
      <c r="V180" s="276"/>
      <c r="W180" s="276"/>
      <c r="X180" s="276"/>
      <c r="Y180" s="276"/>
      <c r="Z180" s="276"/>
      <c r="AA180" s="276"/>
      <c r="AB180" s="276"/>
      <c r="AC180" s="276"/>
      <c r="AD180" s="276"/>
      <c r="AE180" s="276"/>
      <c r="AF180" s="276"/>
      <c r="AG180" s="276"/>
      <c r="AH180" s="276"/>
      <c r="AI180" s="276"/>
      <c r="AJ180" s="276"/>
      <c r="AK180" s="276"/>
      <c r="AL180" s="276"/>
      <c r="AM180" s="276"/>
      <c r="AN180" s="276"/>
      <c r="AO180" s="276"/>
      <c r="AP180" s="276"/>
      <c r="AQ180" s="276"/>
      <c r="AR180" s="276"/>
      <c r="AS180" s="276"/>
      <c r="AT180" s="276"/>
      <c r="AU180" s="276"/>
      <c r="AV180" s="276"/>
      <c r="AW180" s="276"/>
      <c r="AX180" s="276"/>
      <c r="AY180" s="276"/>
    </row>
    <row r="181" spans="1:51" ht="15.75" customHeight="1" x14ac:dyDescent="0.25">
      <c r="A181" s="276"/>
      <c r="B181" s="276"/>
      <c r="C181" s="353"/>
      <c r="D181" s="276"/>
      <c r="E181" s="276"/>
      <c r="F181" s="276"/>
      <c r="G181" s="276"/>
      <c r="H181" s="276"/>
      <c r="I181" s="276"/>
      <c r="J181" s="353"/>
      <c r="K181" s="276"/>
      <c r="L181" s="276"/>
      <c r="M181" s="276"/>
      <c r="N181" s="276"/>
      <c r="O181" s="276"/>
      <c r="P181" s="276"/>
      <c r="Q181" s="276"/>
      <c r="R181" s="276"/>
      <c r="S181" s="276"/>
      <c r="T181" s="276"/>
      <c r="U181" s="276"/>
      <c r="V181" s="276"/>
      <c r="W181" s="276"/>
      <c r="X181" s="276"/>
      <c r="Y181" s="276"/>
      <c r="Z181" s="276"/>
      <c r="AA181" s="276"/>
      <c r="AB181" s="276"/>
      <c r="AC181" s="276"/>
      <c r="AD181" s="276"/>
      <c r="AE181" s="276"/>
      <c r="AF181" s="276"/>
      <c r="AG181" s="276"/>
      <c r="AH181" s="276"/>
      <c r="AI181" s="276"/>
      <c r="AJ181" s="276"/>
      <c r="AK181" s="276"/>
      <c r="AL181" s="276"/>
      <c r="AM181" s="276"/>
      <c r="AN181" s="276"/>
      <c r="AO181" s="276"/>
      <c r="AP181" s="276"/>
      <c r="AQ181" s="276"/>
      <c r="AR181" s="276"/>
      <c r="AS181" s="276"/>
      <c r="AT181" s="276"/>
      <c r="AU181" s="276"/>
      <c r="AV181" s="276"/>
      <c r="AW181" s="276"/>
      <c r="AX181" s="276"/>
      <c r="AY181" s="276"/>
    </row>
    <row r="182" spans="1:51" ht="15.75" customHeight="1" x14ac:dyDescent="0.25">
      <c r="A182" s="276"/>
      <c r="B182" s="276"/>
      <c r="C182" s="353"/>
      <c r="D182" s="276"/>
      <c r="E182" s="276"/>
      <c r="F182" s="276"/>
      <c r="G182" s="276"/>
      <c r="H182" s="276"/>
      <c r="I182" s="276"/>
      <c r="J182" s="353"/>
      <c r="K182" s="276"/>
      <c r="L182" s="276"/>
      <c r="M182" s="276"/>
      <c r="N182" s="276"/>
      <c r="O182" s="276"/>
      <c r="P182" s="276"/>
      <c r="Q182" s="276"/>
      <c r="R182" s="276"/>
      <c r="S182" s="276"/>
      <c r="T182" s="276"/>
      <c r="U182" s="276"/>
      <c r="V182" s="276"/>
      <c r="W182" s="276"/>
      <c r="X182" s="276"/>
      <c r="Y182" s="276"/>
      <c r="Z182" s="276"/>
      <c r="AA182" s="276"/>
      <c r="AB182" s="276"/>
      <c r="AC182" s="276"/>
      <c r="AD182" s="276"/>
      <c r="AE182" s="276"/>
      <c r="AF182" s="276"/>
      <c r="AG182" s="276"/>
      <c r="AH182" s="276"/>
      <c r="AI182" s="276"/>
      <c r="AJ182" s="276"/>
      <c r="AK182" s="276"/>
      <c r="AL182" s="276"/>
      <c r="AM182" s="276"/>
      <c r="AN182" s="276"/>
      <c r="AO182" s="276"/>
      <c r="AP182" s="276"/>
      <c r="AQ182" s="276"/>
      <c r="AR182" s="276"/>
      <c r="AS182" s="276"/>
      <c r="AT182" s="276"/>
      <c r="AU182" s="276"/>
      <c r="AV182" s="276"/>
      <c r="AW182" s="276"/>
      <c r="AX182" s="276"/>
      <c r="AY182" s="276"/>
    </row>
    <row r="183" spans="1:51" ht="15.75" customHeight="1" x14ac:dyDescent="0.25">
      <c r="A183" s="276"/>
      <c r="B183" s="276"/>
      <c r="C183" s="353"/>
      <c r="D183" s="276"/>
      <c r="E183" s="276"/>
      <c r="F183" s="276"/>
      <c r="G183" s="276"/>
      <c r="H183" s="276"/>
      <c r="I183" s="276"/>
      <c r="J183" s="353"/>
      <c r="K183" s="276"/>
      <c r="L183" s="276"/>
      <c r="M183" s="276"/>
      <c r="N183" s="276"/>
      <c r="O183" s="276"/>
      <c r="P183" s="276"/>
      <c r="Q183" s="276"/>
      <c r="R183" s="276"/>
      <c r="S183" s="276"/>
      <c r="T183" s="276"/>
      <c r="U183" s="276"/>
      <c r="V183" s="276"/>
      <c r="W183" s="276"/>
      <c r="X183" s="276"/>
      <c r="Y183" s="276"/>
      <c r="Z183" s="276"/>
      <c r="AA183" s="276"/>
      <c r="AB183" s="276"/>
      <c r="AC183" s="276"/>
      <c r="AD183" s="276"/>
      <c r="AE183" s="276"/>
      <c r="AF183" s="276"/>
      <c r="AG183" s="276"/>
      <c r="AH183" s="276"/>
      <c r="AI183" s="276"/>
      <c r="AJ183" s="276"/>
      <c r="AK183" s="276"/>
      <c r="AL183" s="276"/>
      <c r="AM183" s="276"/>
      <c r="AN183" s="276"/>
      <c r="AO183" s="276"/>
      <c r="AP183" s="276"/>
      <c r="AQ183" s="276"/>
      <c r="AR183" s="276"/>
      <c r="AS183" s="276"/>
      <c r="AT183" s="276"/>
      <c r="AU183" s="276"/>
      <c r="AV183" s="276"/>
      <c r="AW183" s="276"/>
      <c r="AX183" s="276"/>
      <c r="AY183" s="276"/>
    </row>
    <row r="184" spans="1:51" ht="15.75" customHeight="1" x14ac:dyDescent="0.25">
      <c r="A184" s="276"/>
      <c r="B184" s="276"/>
      <c r="C184" s="353"/>
      <c r="D184" s="276"/>
      <c r="E184" s="276"/>
      <c r="F184" s="276"/>
      <c r="G184" s="276"/>
      <c r="H184" s="276"/>
      <c r="I184" s="276"/>
      <c r="J184" s="353"/>
      <c r="K184" s="276"/>
      <c r="L184" s="276"/>
      <c r="M184" s="276"/>
      <c r="N184" s="276"/>
      <c r="O184" s="276"/>
      <c r="P184" s="276"/>
      <c r="Q184" s="276"/>
      <c r="R184" s="276"/>
      <c r="S184" s="276"/>
      <c r="T184" s="276"/>
      <c r="U184" s="276"/>
      <c r="V184" s="276"/>
      <c r="W184" s="276"/>
      <c r="X184" s="276"/>
      <c r="Y184" s="276"/>
      <c r="Z184" s="276"/>
      <c r="AA184" s="276"/>
      <c r="AB184" s="276"/>
      <c r="AC184" s="276"/>
      <c r="AD184" s="276"/>
      <c r="AE184" s="276"/>
      <c r="AF184" s="276"/>
      <c r="AG184" s="276"/>
      <c r="AH184" s="276"/>
      <c r="AI184" s="276"/>
      <c r="AJ184" s="276"/>
      <c r="AK184" s="276"/>
      <c r="AL184" s="276"/>
      <c r="AM184" s="276"/>
      <c r="AN184" s="276"/>
      <c r="AO184" s="276"/>
      <c r="AP184" s="276"/>
      <c r="AQ184" s="276"/>
      <c r="AR184" s="276"/>
      <c r="AS184" s="276"/>
      <c r="AT184" s="276"/>
      <c r="AU184" s="276"/>
      <c r="AV184" s="276"/>
      <c r="AW184" s="276"/>
      <c r="AX184" s="276"/>
      <c r="AY184" s="276"/>
    </row>
    <row r="185" spans="1:51" ht="15.75" customHeight="1" x14ac:dyDescent="0.25">
      <c r="A185" s="276"/>
      <c r="B185" s="276"/>
      <c r="C185" s="353"/>
      <c r="D185" s="276"/>
      <c r="E185" s="276"/>
      <c r="F185" s="276"/>
      <c r="G185" s="276"/>
      <c r="H185" s="276"/>
      <c r="I185" s="276"/>
      <c r="J185" s="353"/>
      <c r="K185" s="276"/>
      <c r="L185" s="276"/>
      <c r="M185" s="276"/>
      <c r="N185" s="276"/>
      <c r="O185" s="276"/>
      <c r="P185" s="276"/>
      <c r="Q185" s="276"/>
      <c r="R185" s="276"/>
      <c r="S185" s="276"/>
      <c r="T185" s="276"/>
      <c r="U185" s="276"/>
      <c r="V185" s="276"/>
      <c r="W185" s="276"/>
      <c r="X185" s="276"/>
      <c r="Y185" s="276"/>
      <c r="Z185" s="276"/>
      <c r="AA185" s="276"/>
      <c r="AB185" s="276"/>
      <c r="AC185" s="276"/>
      <c r="AD185" s="276"/>
      <c r="AE185" s="276"/>
      <c r="AF185" s="276"/>
      <c r="AG185" s="276"/>
      <c r="AH185" s="276"/>
      <c r="AI185" s="276"/>
      <c r="AJ185" s="276"/>
      <c r="AK185" s="276"/>
      <c r="AL185" s="276"/>
      <c r="AM185" s="276"/>
      <c r="AN185" s="276"/>
      <c r="AO185" s="276"/>
      <c r="AP185" s="276"/>
      <c r="AQ185" s="276"/>
      <c r="AR185" s="276"/>
      <c r="AS185" s="276"/>
      <c r="AT185" s="276"/>
      <c r="AU185" s="276"/>
      <c r="AV185" s="276"/>
      <c r="AW185" s="276"/>
      <c r="AX185" s="276"/>
      <c r="AY185" s="276"/>
    </row>
    <row r="186" spans="1:51" ht="15.75" customHeight="1" x14ac:dyDescent="0.25">
      <c r="A186" s="276"/>
      <c r="B186" s="276"/>
      <c r="C186" s="353"/>
      <c r="D186" s="276"/>
      <c r="E186" s="276"/>
      <c r="F186" s="276"/>
      <c r="G186" s="276"/>
      <c r="H186" s="276"/>
      <c r="I186" s="276"/>
      <c r="J186" s="353"/>
      <c r="K186" s="276"/>
      <c r="L186" s="276"/>
      <c r="M186" s="276"/>
      <c r="N186" s="276"/>
      <c r="O186" s="276"/>
      <c r="P186" s="276"/>
      <c r="Q186" s="276"/>
      <c r="R186" s="276"/>
      <c r="S186" s="276"/>
      <c r="T186" s="276"/>
      <c r="U186" s="276"/>
      <c r="V186" s="276"/>
      <c r="W186" s="276"/>
      <c r="X186" s="276"/>
      <c r="Y186" s="276"/>
      <c r="Z186" s="276"/>
      <c r="AA186" s="276"/>
      <c r="AB186" s="276"/>
      <c r="AC186" s="276"/>
      <c r="AD186" s="276"/>
      <c r="AE186" s="276"/>
      <c r="AF186" s="276"/>
      <c r="AG186" s="276"/>
      <c r="AH186" s="276"/>
      <c r="AI186" s="276"/>
      <c r="AJ186" s="276"/>
      <c r="AK186" s="276"/>
      <c r="AL186" s="276"/>
      <c r="AM186" s="276"/>
      <c r="AN186" s="276"/>
      <c r="AO186" s="276"/>
      <c r="AP186" s="276"/>
      <c r="AQ186" s="276"/>
      <c r="AR186" s="276"/>
      <c r="AS186" s="276"/>
      <c r="AT186" s="276"/>
      <c r="AU186" s="276"/>
      <c r="AV186" s="276"/>
      <c r="AW186" s="276"/>
      <c r="AX186" s="276"/>
      <c r="AY186" s="276"/>
    </row>
    <row r="187" spans="1:51" ht="15.75" customHeight="1" x14ac:dyDescent="0.25">
      <c r="A187" s="276"/>
      <c r="B187" s="276"/>
      <c r="C187" s="353"/>
      <c r="D187" s="276"/>
      <c r="E187" s="276"/>
      <c r="F187" s="276"/>
      <c r="G187" s="276"/>
      <c r="H187" s="276"/>
      <c r="I187" s="276"/>
      <c r="J187" s="353"/>
      <c r="K187" s="276"/>
      <c r="L187" s="276"/>
      <c r="M187" s="276"/>
      <c r="N187" s="276"/>
      <c r="O187" s="276"/>
      <c r="P187" s="276"/>
      <c r="Q187" s="276"/>
      <c r="R187" s="276"/>
      <c r="S187" s="276"/>
      <c r="T187" s="276"/>
      <c r="U187" s="276"/>
      <c r="V187" s="276"/>
      <c r="W187" s="276"/>
      <c r="X187" s="276"/>
      <c r="Y187" s="276"/>
      <c r="Z187" s="276"/>
      <c r="AA187" s="276"/>
      <c r="AB187" s="276"/>
      <c r="AC187" s="276"/>
      <c r="AD187" s="276"/>
      <c r="AE187" s="276"/>
      <c r="AF187" s="276"/>
      <c r="AG187" s="276"/>
      <c r="AH187" s="276"/>
      <c r="AI187" s="276"/>
      <c r="AJ187" s="276"/>
      <c r="AK187" s="276"/>
      <c r="AL187" s="276"/>
      <c r="AM187" s="276"/>
      <c r="AN187" s="276"/>
      <c r="AO187" s="276"/>
      <c r="AP187" s="276"/>
      <c r="AQ187" s="276"/>
      <c r="AR187" s="276"/>
      <c r="AS187" s="276"/>
      <c r="AT187" s="276"/>
      <c r="AU187" s="276"/>
      <c r="AV187" s="276"/>
      <c r="AW187" s="276"/>
      <c r="AX187" s="276"/>
      <c r="AY187" s="276"/>
    </row>
    <row r="188" spans="1:51" ht="15.75" customHeight="1" x14ac:dyDescent="0.25">
      <c r="A188" s="276"/>
      <c r="B188" s="276"/>
      <c r="C188" s="353"/>
      <c r="D188" s="276"/>
      <c r="E188" s="276"/>
      <c r="F188" s="276"/>
      <c r="G188" s="276"/>
      <c r="H188" s="276"/>
      <c r="I188" s="276"/>
      <c r="J188" s="353"/>
      <c r="K188" s="276"/>
      <c r="L188" s="276"/>
      <c r="M188" s="276"/>
      <c r="N188" s="276"/>
      <c r="O188" s="276"/>
      <c r="P188" s="276"/>
      <c r="Q188" s="276"/>
      <c r="R188" s="276"/>
      <c r="S188" s="276"/>
      <c r="T188" s="276"/>
      <c r="U188" s="276"/>
      <c r="V188" s="276"/>
      <c r="W188" s="276"/>
      <c r="X188" s="276"/>
      <c r="Y188" s="276"/>
      <c r="Z188" s="276"/>
      <c r="AA188" s="276"/>
      <c r="AB188" s="276"/>
      <c r="AC188" s="276"/>
      <c r="AD188" s="276"/>
      <c r="AE188" s="276"/>
      <c r="AF188" s="276"/>
      <c r="AG188" s="276"/>
      <c r="AH188" s="276"/>
      <c r="AI188" s="276"/>
      <c r="AJ188" s="276"/>
      <c r="AK188" s="276"/>
      <c r="AL188" s="276"/>
      <c r="AM188" s="276"/>
      <c r="AN188" s="276"/>
      <c r="AO188" s="276"/>
      <c r="AP188" s="276"/>
      <c r="AQ188" s="276"/>
      <c r="AR188" s="276"/>
      <c r="AS188" s="276"/>
      <c r="AT188" s="276"/>
      <c r="AU188" s="276"/>
      <c r="AV188" s="276"/>
      <c r="AW188" s="276"/>
      <c r="AX188" s="276"/>
      <c r="AY188" s="276"/>
    </row>
    <row r="189" spans="1:51" ht="15.75" customHeight="1" x14ac:dyDescent="0.25">
      <c r="A189" s="276"/>
      <c r="B189" s="276"/>
      <c r="C189" s="353"/>
      <c r="D189" s="276"/>
      <c r="E189" s="276"/>
      <c r="F189" s="276"/>
      <c r="G189" s="276"/>
      <c r="H189" s="276"/>
      <c r="I189" s="276"/>
      <c r="J189" s="353"/>
      <c r="K189" s="276"/>
      <c r="L189" s="276"/>
      <c r="M189" s="276"/>
      <c r="N189" s="276"/>
      <c r="O189" s="276"/>
      <c r="P189" s="276"/>
      <c r="Q189" s="276"/>
      <c r="R189" s="276"/>
      <c r="S189" s="276"/>
      <c r="T189" s="276"/>
      <c r="U189" s="276"/>
      <c r="V189" s="276"/>
      <c r="W189" s="276"/>
      <c r="X189" s="276"/>
      <c r="Y189" s="276"/>
      <c r="Z189" s="276"/>
      <c r="AA189" s="276"/>
      <c r="AB189" s="276"/>
      <c r="AC189" s="276"/>
      <c r="AD189" s="276"/>
      <c r="AE189" s="276"/>
      <c r="AF189" s="276"/>
      <c r="AG189" s="276"/>
      <c r="AH189" s="276"/>
      <c r="AI189" s="276"/>
      <c r="AJ189" s="276"/>
      <c r="AK189" s="276"/>
      <c r="AL189" s="276"/>
      <c r="AM189" s="276"/>
      <c r="AN189" s="276"/>
      <c r="AO189" s="276"/>
      <c r="AP189" s="276"/>
      <c r="AQ189" s="276"/>
      <c r="AR189" s="276"/>
      <c r="AS189" s="276"/>
      <c r="AT189" s="276"/>
      <c r="AU189" s="276"/>
      <c r="AV189" s="276"/>
      <c r="AW189" s="276"/>
      <c r="AX189" s="276"/>
      <c r="AY189" s="276"/>
    </row>
    <row r="190" spans="1:51" ht="15.75" customHeight="1" x14ac:dyDescent="0.25">
      <c r="A190" s="276"/>
      <c r="B190" s="276"/>
      <c r="C190" s="353"/>
      <c r="D190" s="276"/>
      <c r="E190" s="276"/>
      <c r="F190" s="276"/>
      <c r="G190" s="276"/>
      <c r="H190" s="276"/>
      <c r="I190" s="276"/>
      <c r="J190" s="353"/>
      <c r="K190" s="276"/>
      <c r="L190" s="276"/>
      <c r="M190" s="276"/>
      <c r="N190" s="276"/>
      <c r="O190" s="276"/>
      <c r="P190" s="276"/>
      <c r="Q190" s="276"/>
      <c r="R190" s="276"/>
      <c r="S190" s="276"/>
      <c r="T190" s="276"/>
      <c r="U190" s="276"/>
      <c r="V190" s="276"/>
      <c r="W190" s="276"/>
      <c r="X190" s="276"/>
      <c r="Y190" s="276"/>
      <c r="Z190" s="276"/>
      <c r="AA190" s="276"/>
      <c r="AB190" s="276"/>
      <c r="AC190" s="276"/>
      <c r="AD190" s="276"/>
      <c r="AE190" s="276"/>
      <c r="AF190" s="276"/>
      <c r="AG190" s="276"/>
      <c r="AH190" s="276"/>
      <c r="AI190" s="276"/>
      <c r="AJ190" s="276"/>
      <c r="AK190" s="276"/>
      <c r="AL190" s="276"/>
      <c r="AM190" s="276"/>
      <c r="AN190" s="276"/>
      <c r="AO190" s="276"/>
      <c r="AP190" s="276"/>
      <c r="AQ190" s="276"/>
      <c r="AR190" s="276"/>
      <c r="AS190" s="276"/>
      <c r="AT190" s="276"/>
      <c r="AU190" s="276"/>
      <c r="AV190" s="276"/>
      <c r="AW190" s="276"/>
      <c r="AX190" s="276"/>
      <c r="AY190" s="276"/>
    </row>
    <row r="191" spans="1:51" ht="15.75" customHeight="1" x14ac:dyDescent="0.25">
      <c r="A191" s="276"/>
      <c r="B191" s="276"/>
      <c r="C191" s="353"/>
      <c r="D191" s="276"/>
      <c r="E191" s="276"/>
      <c r="F191" s="276"/>
      <c r="G191" s="276"/>
      <c r="H191" s="276"/>
      <c r="I191" s="276"/>
      <c r="J191" s="353"/>
      <c r="K191" s="276"/>
      <c r="L191" s="276"/>
      <c r="M191" s="276"/>
      <c r="N191" s="276"/>
      <c r="O191" s="276"/>
      <c r="P191" s="276"/>
      <c r="Q191" s="276"/>
      <c r="R191" s="276"/>
      <c r="S191" s="276"/>
      <c r="T191" s="276"/>
      <c r="U191" s="276"/>
      <c r="V191" s="276"/>
      <c r="W191" s="276"/>
      <c r="X191" s="276"/>
      <c r="Y191" s="276"/>
      <c r="Z191" s="276"/>
      <c r="AA191" s="276"/>
      <c r="AB191" s="276"/>
      <c r="AC191" s="276"/>
      <c r="AD191" s="276"/>
      <c r="AE191" s="276"/>
      <c r="AF191" s="276"/>
      <c r="AG191" s="276"/>
      <c r="AH191" s="276"/>
      <c r="AI191" s="276"/>
      <c r="AJ191" s="276"/>
      <c r="AK191" s="276"/>
      <c r="AL191" s="276"/>
      <c r="AM191" s="276"/>
      <c r="AN191" s="276"/>
      <c r="AO191" s="276"/>
      <c r="AP191" s="276"/>
      <c r="AQ191" s="276"/>
      <c r="AR191" s="276"/>
      <c r="AS191" s="276"/>
      <c r="AT191" s="276"/>
      <c r="AU191" s="276"/>
      <c r="AV191" s="276"/>
      <c r="AW191" s="276"/>
      <c r="AX191" s="276"/>
      <c r="AY191" s="276"/>
    </row>
    <row r="192" spans="1:51" ht="15.75" customHeight="1" x14ac:dyDescent="0.25">
      <c r="A192" s="276"/>
      <c r="B192" s="276"/>
      <c r="C192" s="353"/>
      <c r="D192" s="276"/>
      <c r="E192" s="276"/>
      <c r="F192" s="276"/>
      <c r="G192" s="276"/>
      <c r="H192" s="276"/>
      <c r="I192" s="276"/>
      <c r="J192" s="353"/>
      <c r="K192" s="276"/>
      <c r="L192" s="276"/>
      <c r="M192" s="276"/>
      <c r="N192" s="276"/>
      <c r="O192" s="276"/>
      <c r="P192" s="276"/>
      <c r="Q192" s="276"/>
      <c r="R192" s="276"/>
      <c r="S192" s="276"/>
      <c r="T192" s="276"/>
      <c r="U192" s="276"/>
      <c r="V192" s="276"/>
      <c r="W192" s="276"/>
      <c r="X192" s="276"/>
      <c r="Y192" s="276"/>
      <c r="Z192" s="276"/>
      <c r="AA192" s="276"/>
      <c r="AB192" s="276"/>
      <c r="AC192" s="276"/>
      <c r="AD192" s="276"/>
      <c r="AE192" s="276"/>
      <c r="AF192" s="276"/>
      <c r="AG192" s="276"/>
      <c r="AH192" s="276"/>
      <c r="AI192" s="276"/>
      <c r="AJ192" s="276"/>
      <c r="AK192" s="276"/>
      <c r="AL192" s="276"/>
      <c r="AM192" s="276"/>
      <c r="AN192" s="276"/>
      <c r="AO192" s="276"/>
      <c r="AP192" s="276"/>
      <c r="AQ192" s="276"/>
      <c r="AR192" s="276"/>
      <c r="AS192" s="276"/>
      <c r="AT192" s="276"/>
      <c r="AU192" s="276"/>
      <c r="AV192" s="276"/>
      <c r="AW192" s="276"/>
      <c r="AX192" s="276"/>
      <c r="AY192" s="276"/>
    </row>
    <row r="193" spans="1:51" ht="15.75" customHeight="1" x14ac:dyDescent="0.25">
      <c r="A193" s="276"/>
      <c r="B193" s="276"/>
      <c r="C193" s="353"/>
      <c r="D193" s="276"/>
      <c r="E193" s="276"/>
      <c r="F193" s="276"/>
      <c r="G193" s="276"/>
      <c r="H193" s="276"/>
      <c r="I193" s="276"/>
      <c r="J193" s="353"/>
      <c r="K193" s="276"/>
      <c r="L193" s="276"/>
      <c r="M193" s="276"/>
      <c r="N193" s="276"/>
      <c r="O193" s="276"/>
      <c r="P193" s="276"/>
      <c r="Q193" s="276"/>
      <c r="R193" s="276"/>
      <c r="S193" s="276"/>
      <c r="T193" s="276"/>
      <c r="U193" s="276"/>
      <c r="V193" s="276"/>
      <c r="W193" s="276"/>
      <c r="X193" s="276"/>
      <c r="Y193" s="276"/>
      <c r="Z193" s="276"/>
      <c r="AA193" s="276"/>
      <c r="AB193" s="276"/>
      <c r="AC193" s="276"/>
      <c r="AD193" s="276"/>
      <c r="AE193" s="276"/>
      <c r="AF193" s="276"/>
      <c r="AG193" s="276"/>
      <c r="AH193" s="276"/>
      <c r="AI193" s="276"/>
      <c r="AJ193" s="276"/>
      <c r="AK193" s="276"/>
      <c r="AL193" s="276"/>
      <c r="AM193" s="276"/>
      <c r="AN193" s="276"/>
      <c r="AO193" s="276"/>
      <c r="AP193" s="276"/>
      <c r="AQ193" s="276"/>
      <c r="AR193" s="276"/>
      <c r="AS193" s="276"/>
      <c r="AT193" s="276"/>
      <c r="AU193" s="276"/>
      <c r="AV193" s="276"/>
      <c r="AW193" s="276"/>
      <c r="AX193" s="276"/>
      <c r="AY193" s="276"/>
    </row>
    <row r="194" spans="1:51" ht="15.75" customHeight="1" x14ac:dyDescent="0.25">
      <c r="A194" s="276"/>
      <c r="B194" s="276"/>
      <c r="C194" s="353"/>
      <c r="D194" s="276"/>
      <c r="E194" s="276"/>
      <c r="F194" s="276"/>
      <c r="G194" s="276"/>
      <c r="H194" s="276"/>
      <c r="I194" s="276"/>
      <c r="J194" s="353"/>
      <c r="K194" s="276"/>
      <c r="L194" s="276"/>
      <c r="M194" s="276"/>
      <c r="N194" s="276"/>
      <c r="O194" s="276"/>
      <c r="P194" s="276"/>
      <c r="Q194" s="276"/>
      <c r="R194" s="276"/>
      <c r="S194" s="276"/>
      <c r="T194" s="276"/>
      <c r="U194" s="276"/>
      <c r="V194" s="276"/>
      <c r="W194" s="276"/>
      <c r="X194" s="276"/>
      <c r="Y194" s="276"/>
      <c r="Z194" s="276"/>
      <c r="AA194" s="276"/>
      <c r="AB194" s="276"/>
      <c r="AC194" s="276"/>
      <c r="AD194" s="276"/>
      <c r="AE194" s="276"/>
      <c r="AF194" s="276"/>
      <c r="AG194" s="276"/>
      <c r="AH194" s="276"/>
      <c r="AI194" s="276"/>
      <c r="AJ194" s="276"/>
      <c r="AK194" s="276"/>
      <c r="AL194" s="276"/>
      <c r="AM194" s="276"/>
      <c r="AN194" s="276"/>
      <c r="AO194" s="276"/>
      <c r="AP194" s="276"/>
      <c r="AQ194" s="276"/>
      <c r="AR194" s="276"/>
      <c r="AS194" s="276"/>
      <c r="AT194" s="276"/>
      <c r="AU194" s="276"/>
      <c r="AV194" s="276"/>
      <c r="AW194" s="276"/>
      <c r="AX194" s="276"/>
      <c r="AY194" s="276"/>
    </row>
    <row r="195" spans="1:51" ht="15.75" customHeight="1" x14ac:dyDescent="0.25">
      <c r="A195" s="276"/>
      <c r="B195" s="276"/>
      <c r="C195" s="353"/>
      <c r="D195" s="276"/>
      <c r="E195" s="276"/>
      <c r="F195" s="276"/>
      <c r="G195" s="276"/>
      <c r="H195" s="276"/>
      <c r="I195" s="276"/>
      <c r="J195" s="353"/>
      <c r="K195" s="276"/>
      <c r="L195" s="276"/>
      <c r="M195" s="276"/>
      <c r="N195" s="276"/>
      <c r="O195" s="276"/>
      <c r="P195" s="276"/>
      <c r="Q195" s="276"/>
      <c r="R195" s="276"/>
      <c r="S195" s="276"/>
      <c r="T195" s="276"/>
      <c r="U195" s="276"/>
      <c r="V195" s="276"/>
      <c r="W195" s="276"/>
      <c r="X195" s="276"/>
      <c r="Y195" s="276"/>
      <c r="Z195" s="276"/>
      <c r="AA195" s="276"/>
      <c r="AB195" s="276"/>
      <c r="AC195" s="276"/>
      <c r="AD195" s="276"/>
      <c r="AE195" s="276"/>
      <c r="AF195" s="276"/>
      <c r="AG195" s="276"/>
      <c r="AH195" s="276"/>
      <c r="AI195" s="276"/>
      <c r="AJ195" s="276"/>
      <c r="AK195" s="276"/>
      <c r="AL195" s="276"/>
      <c r="AM195" s="276"/>
      <c r="AN195" s="276"/>
      <c r="AO195" s="276"/>
      <c r="AP195" s="276"/>
      <c r="AQ195" s="276"/>
      <c r="AR195" s="276"/>
      <c r="AS195" s="276"/>
      <c r="AT195" s="276"/>
      <c r="AU195" s="276"/>
      <c r="AV195" s="276"/>
      <c r="AW195" s="276"/>
      <c r="AX195" s="276"/>
      <c r="AY195" s="276"/>
    </row>
    <row r="196" spans="1:51" ht="15.75" customHeight="1" x14ac:dyDescent="0.25">
      <c r="A196" s="276"/>
      <c r="B196" s="276"/>
      <c r="C196" s="353"/>
      <c r="D196" s="276"/>
      <c r="E196" s="276"/>
      <c r="F196" s="276"/>
      <c r="G196" s="276"/>
      <c r="H196" s="276"/>
      <c r="I196" s="276"/>
      <c r="J196" s="353"/>
      <c r="K196" s="276"/>
      <c r="L196" s="276"/>
      <c r="M196" s="276"/>
      <c r="N196" s="276"/>
      <c r="O196" s="276"/>
      <c r="P196" s="276"/>
      <c r="Q196" s="276"/>
      <c r="R196" s="276"/>
      <c r="S196" s="276"/>
      <c r="T196" s="276"/>
      <c r="U196" s="276"/>
      <c r="V196" s="276"/>
      <c r="W196" s="276"/>
      <c r="X196" s="276"/>
      <c r="Y196" s="276"/>
      <c r="Z196" s="276"/>
      <c r="AA196" s="276"/>
      <c r="AB196" s="276"/>
      <c r="AC196" s="276"/>
      <c r="AD196" s="276"/>
      <c r="AE196" s="276"/>
      <c r="AF196" s="276"/>
      <c r="AG196" s="276"/>
      <c r="AH196" s="276"/>
      <c r="AI196" s="276"/>
      <c r="AJ196" s="276"/>
      <c r="AK196" s="276"/>
      <c r="AL196" s="276"/>
      <c r="AM196" s="276"/>
      <c r="AN196" s="276"/>
      <c r="AO196" s="276"/>
      <c r="AP196" s="276"/>
      <c r="AQ196" s="276"/>
      <c r="AR196" s="276"/>
      <c r="AS196" s="276"/>
      <c r="AT196" s="276"/>
      <c r="AU196" s="276"/>
      <c r="AV196" s="276"/>
      <c r="AW196" s="276"/>
      <c r="AX196" s="276"/>
      <c r="AY196" s="276"/>
    </row>
    <row r="197" spans="1:51" ht="15.75" customHeight="1" x14ac:dyDescent="0.25">
      <c r="A197" s="276"/>
      <c r="B197" s="276"/>
      <c r="C197" s="353"/>
      <c r="D197" s="276"/>
      <c r="E197" s="276"/>
      <c r="F197" s="276"/>
      <c r="G197" s="276"/>
      <c r="H197" s="276"/>
      <c r="I197" s="276"/>
      <c r="J197" s="353"/>
      <c r="K197" s="276"/>
      <c r="L197" s="276"/>
      <c r="M197" s="276"/>
      <c r="N197" s="276"/>
      <c r="O197" s="276"/>
      <c r="P197" s="276"/>
      <c r="Q197" s="276"/>
      <c r="R197" s="276"/>
      <c r="S197" s="276"/>
      <c r="T197" s="276"/>
      <c r="U197" s="276"/>
      <c r="V197" s="276"/>
      <c r="W197" s="276"/>
      <c r="X197" s="276"/>
      <c r="Y197" s="276"/>
      <c r="Z197" s="276"/>
      <c r="AA197" s="276"/>
      <c r="AB197" s="276"/>
      <c r="AC197" s="276"/>
      <c r="AD197" s="276"/>
      <c r="AE197" s="276"/>
      <c r="AF197" s="276"/>
      <c r="AG197" s="276"/>
      <c r="AH197" s="276"/>
      <c r="AI197" s="276"/>
      <c r="AJ197" s="276"/>
      <c r="AK197" s="276"/>
      <c r="AL197" s="276"/>
      <c r="AM197" s="276"/>
      <c r="AN197" s="276"/>
      <c r="AO197" s="276"/>
      <c r="AP197" s="276"/>
      <c r="AQ197" s="276"/>
      <c r="AR197" s="276"/>
      <c r="AS197" s="276"/>
      <c r="AT197" s="276"/>
      <c r="AU197" s="276"/>
      <c r="AV197" s="276"/>
      <c r="AW197" s="276"/>
      <c r="AX197" s="276"/>
      <c r="AY197" s="276"/>
    </row>
    <row r="198" spans="1:51" ht="15.75" customHeight="1" x14ac:dyDescent="0.25">
      <c r="A198" s="276"/>
      <c r="B198" s="276"/>
      <c r="C198" s="353"/>
      <c r="D198" s="276"/>
      <c r="E198" s="276"/>
      <c r="F198" s="276"/>
      <c r="G198" s="276"/>
      <c r="H198" s="276"/>
      <c r="I198" s="276"/>
      <c r="J198" s="353"/>
      <c r="K198" s="276"/>
      <c r="L198" s="276"/>
      <c r="M198" s="276"/>
      <c r="N198" s="276"/>
      <c r="O198" s="276"/>
      <c r="P198" s="276"/>
      <c r="Q198" s="276"/>
      <c r="R198" s="276"/>
      <c r="S198" s="276"/>
      <c r="T198" s="276"/>
      <c r="U198" s="276"/>
      <c r="V198" s="276"/>
      <c r="W198" s="276"/>
      <c r="X198" s="276"/>
      <c r="Y198" s="276"/>
      <c r="Z198" s="276"/>
      <c r="AA198" s="276"/>
      <c r="AB198" s="276"/>
      <c r="AC198" s="276"/>
      <c r="AD198" s="276"/>
      <c r="AE198" s="276"/>
      <c r="AF198" s="276"/>
      <c r="AG198" s="276"/>
      <c r="AH198" s="276"/>
      <c r="AI198" s="276"/>
      <c r="AJ198" s="276"/>
      <c r="AK198" s="276"/>
      <c r="AL198" s="276"/>
      <c r="AM198" s="276"/>
      <c r="AN198" s="276"/>
      <c r="AO198" s="276"/>
      <c r="AP198" s="276"/>
      <c r="AQ198" s="276"/>
      <c r="AR198" s="276"/>
      <c r="AS198" s="276"/>
      <c r="AT198" s="276"/>
      <c r="AU198" s="276"/>
      <c r="AV198" s="276"/>
      <c r="AW198" s="276"/>
      <c r="AX198" s="276"/>
      <c r="AY198" s="276"/>
    </row>
    <row r="199" spans="1:51" ht="15.75" customHeight="1" x14ac:dyDescent="0.25">
      <c r="A199" s="276"/>
      <c r="B199" s="276"/>
      <c r="C199" s="353"/>
      <c r="D199" s="276"/>
      <c r="E199" s="276"/>
      <c r="F199" s="276"/>
      <c r="G199" s="276"/>
      <c r="H199" s="276"/>
      <c r="I199" s="276"/>
      <c r="J199" s="353"/>
      <c r="K199" s="276"/>
      <c r="L199" s="276"/>
      <c r="M199" s="276"/>
      <c r="N199" s="276"/>
      <c r="O199" s="276"/>
      <c r="P199" s="276"/>
      <c r="Q199" s="276"/>
      <c r="R199" s="276"/>
      <c r="S199" s="276"/>
      <c r="T199" s="276"/>
      <c r="U199" s="276"/>
      <c r="V199" s="276"/>
      <c r="W199" s="276"/>
      <c r="X199" s="276"/>
      <c r="Y199" s="276"/>
      <c r="Z199" s="276"/>
      <c r="AA199" s="276"/>
      <c r="AB199" s="276"/>
      <c r="AC199" s="276"/>
      <c r="AD199" s="276"/>
      <c r="AE199" s="276"/>
      <c r="AF199" s="276"/>
      <c r="AG199" s="276"/>
      <c r="AH199" s="276"/>
      <c r="AI199" s="276"/>
      <c r="AJ199" s="276"/>
      <c r="AK199" s="276"/>
      <c r="AL199" s="276"/>
      <c r="AM199" s="276"/>
      <c r="AN199" s="276"/>
      <c r="AO199" s="276"/>
      <c r="AP199" s="276"/>
      <c r="AQ199" s="276"/>
      <c r="AR199" s="276"/>
      <c r="AS199" s="276"/>
      <c r="AT199" s="276"/>
      <c r="AU199" s="276"/>
      <c r="AV199" s="276"/>
      <c r="AW199" s="276"/>
      <c r="AX199" s="276"/>
      <c r="AY199" s="276"/>
    </row>
    <row r="200" spans="1:51" ht="15.75" customHeight="1" x14ac:dyDescent="0.25">
      <c r="A200" s="276"/>
      <c r="B200" s="276"/>
      <c r="C200" s="353"/>
      <c r="D200" s="276"/>
      <c r="E200" s="276"/>
      <c r="F200" s="276"/>
      <c r="G200" s="276"/>
      <c r="H200" s="276"/>
      <c r="I200" s="276"/>
      <c r="J200" s="353"/>
      <c r="K200" s="276"/>
      <c r="L200" s="276"/>
      <c r="M200" s="276"/>
      <c r="N200" s="276"/>
      <c r="O200" s="276"/>
      <c r="P200" s="276"/>
      <c r="Q200" s="276"/>
      <c r="R200" s="276"/>
      <c r="S200" s="276"/>
      <c r="T200" s="276"/>
      <c r="U200" s="276"/>
      <c r="V200" s="276"/>
      <c r="W200" s="276"/>
      <c r="X200" s="276"/>
      <c r="Y200" s="276"/>
      <c r="Z200" s="276"/>
      <c r="AA200" s="276"/>
      <c r="AB200" s="276"/>
      <c r="AC200" s="276"/>
      <c r="AD200" s="276"/>
      <c r="AE200" s="276"/>
      <c r="AF200" s="276"/>
      <c r="AG200" s="276"/>
      <c r="AH200" s="276"/>
      <c r="AI200" s="276"/>
      <c r="AJ200" s="276"/>
      <c r="AK200" s="276"/>
      <c r="AL200" s="276"/>
      <c r="AM200" s="276"/>
      <c r="AN200" s="276"/>
      <c r="AO200" s="276"/>
      <c r="AP200" s="276"/>
      <c r="AQ200" s="276"/>
      <c r="AR200" s="276"/>
      <c r="AS200" s="276"/>
      <c r="AT200" s="276"/>
      <c r="AU200" s="276"/>
      <c r="AV200" s="276"/>
      <c r="AW200" s="276"/>
      <c r="AX200" s="276"/>
      <c r="AY200" s="276"/>
    </row>
    <row r="201" spans="1:51" ht="15.75" customHeight="1" x14ac:dyDescent="0.25">
      <c r="A201" s="276"/>
      <c r="B201" s="276"/>
      <c r="C201" s="353"/>
      <c r="D201" s="276"/>
      <c r="E201" s="276"/>
      <c r="F201" s="276"/>
      <c r="G201" s="276"/>
      <c r="H201" s="276"/>
      <c r="I201" s="276"/>
      <c r="J201" s="353"/>
      <c r="K201" s="276"/>
      <c r="L201" s="276"/>
      <c r="M201" s="276"/>
      <c r="N201" s="276"/>
      <c r="O201" s="276"/>
      <c r="P201" s="276"/>
      <c r="Q201" s="276"/>
      <c r="R201" s="276"/>
      <c r="S201" s="276"/>
      <c r="T201" s="276"/>
      <c r="U201" s="276"/>
      <c r="V201" s="276"/>
      <c r="W201" s="276"/>
      <c r="X201" s="276"/>
      <c r="Y201" s="276"/>
      <c r="Z201" s="276"/>
      <c r="AA201" s="276"/>
      <c r="AB201" s="276"/>
      <c r="AC201" s="276"/>
      <c r="AD201" s="276"/>
      <c r="AE201" s="276"/>
      <c r="AF201" s="276"/>
      <c r="AG201" s="276"/>
      <c r="AH201" s="276"/>
      <c r="AI201" s="276"/>
      <c r="AJ201" s="276"/>
      <c r="AK201" s="276"/>
      <c r="AL201" s="276"/>
      <c r="AM201" s="276"/>
      <c r="AN201" s="276"/>
      <c r="AO201" s="276"/>
      <c r="AP201" s="276"/>
      <c r="AQ201" s="276"/>
      <c r="AR201" s="276"/>
      <c r="AS201" s="276"/>
      <c r="AT201" s="276"/>
      <c r="AU201" s="276"/>
      <c r="AV201" s="276"/>
      <c r="AW201" s="276"/>
      <c r="AX201" s="276"/>
      <c r="AY201" s="276"/>
    </row>
    <row r="202" spans="1:51" ht="15.75" customHeight="1" x14ac:dyDescent="0.25">
      <c r="A202" s="276"/>
      <c r="B202" s="276"/>
      <c r="C202" s="353"/>
      <c r="D202" s="276"/>
      <c r="E202" s="276"/>
      <c r="F202" s="276"/>
      <c r="G202" s="276"/>
      <c r="H202" s="276"/>
      <c r="I202" s="276"/>
      <c r="J202" s="353"/>
      <c r="K202" s="276"/>
      <c r="L202" s="276"/>
      <c r="M202" s="276"/>
      <c r="N202" s="276"/>
      <c r="O202" s="276"/>
      <c r="P202" s="276"/>
      <c r="Q202" s="276"/>
      <c r="R202" s="276"/>
      <c r="S202" s="276"/>
      <c r="T202" s="276"/>
      <c r="U202" s="276"/>
      <c r="V202" s="276"/>
      <c r="W202" s="276"/>
      <c r="X202" s="276"/>
      <c r="Y202" s="276"/>
      <c r="Z202" s="276"/>
      <c r="AA202" s="276"/>
      <c r="AB202" s="276"/>
      <c r="AC202" s="276"/>
      <c r="AD202" s="276"/>
      <c r="AE202" s="276"/>
      <c r="AF202" s="276"/>
      <c r="AG202" s="276"/>
      <c r="AH202" s="276"/>
      <c r="AI202" s="276"/>
      <c r="AJ202" s="276"/>
      <c r="AK202" s="276"/>
      <c r="AL202" s="276"/>
      <c r="AM202" s="276"/>
      <c r="AN202" s="276"/>
      <c r="AO202" s="276"/>
      <c r="AP202" s="276"/>
      <c r="AQ202" s="276"/>
      <c r="AR202" s="276"/>
      <c r="AS202" s="276"/>
      <c r="AT202" s="276"/>
      <c r="AU202" s="276"/>
      <c r="AV202" s="276"/>
      <c r="AW202" s="276"/>
      <c r="AX202" s="276"/>
      <c r="AY202" s="276"/>
    </row>
    <row r="203" spans="1:51" ht="15.75" customHeight="1" x14ac:dyDescent="0.25">
      <c r="A203" s="276"/>
      <c r="B203" s="276"/>
      <c r="C203" s="353"/>
      <c r="D203" s="276"/>
      <c r="E203" s="276"/>
      <c r="F203" s="276"/>
      <c r="G203" s="276"/>
      <c r="H203" s="276"/>
      <c r="I203" s="276"/>
      <c r="J203" s="353"/>
      <c r="K203" s="276"/>
      <c r="L203" s="276"/>
      <c r="M203" s="276"/>
      <c r="N203" s="276"/>
      <c r="O203" s="276"/>
      <c r="P203" s="276"/>
      <c r="Q203" s="276"/>
      <c r="R203" s="276"/>
      <c r="S203" s="276"/>
      <c r="T203" s="276"/>
      <c r="U203" s="276"/>
      <c r="V203" s="276"/>
      <c r="W203" s="276"/>
      <c r="X203" s="276"/>
      <c r="Y203" s="276"/>
      <c r="Z203" s="276"/>
      <c r="AA203" s="276"/>
      <c r="AB203" s="276"/>
      <c r="AC203" s="276"/>
      <c r="AD203" s="276"/>
      <c r="AE203" s="276"/>
      <c r="AF203" s="276"/>
      <c r="AG203" s="276"/>
      <c r="AH203" s="276"/>
      <c r="AI203" s="276"/>
      <c r="AJ203" s="276"/>
      <c r="AK203" s="276"/>
      <c r="AL203" s="276"/>
      <c r="AM203" s="276"/>
      <c r="AN203" s="276"/>
      <c r="AO203" s="276"/>
      <c r="AP203" s="276"/>
      <c r="AQ203" s="276"/>
      <c r="AR203" s="276"/>
      <c r="AS203" s="276"/>
      <c r="AT203" s="276"/>
      <c r="AU203" s="276"/>
      <c r="AV203" s="276"/>
      <c r="AW203" s="276"/>
      <c r="AX203" s="276"/>
      <c r="AY203" s="276"/>
    </row>
    <row r="204" spans="1:51" ht="15.75" customHeight="1" x14ac:dyDescent="0.25">
      <c r="A204" s="276"/>
      <c r="B204" s="276"/>
      <c r="C204" s="353"/>
      <c r="D204" s="276"/>
      <c r="E204" s="276"/>
      <c r="F204" s="276"/>
      <c r="G204" s="276"/>
      <c r="H204" s="276"/>
      <c r="I204" s="276"/>
      <c r="J204" s="353"/>
      <c r="K204" s="276"/>
      <c r="L204" s="276"/>
      <c r="M204" s="276"/>
      <c r="N204" s="276"/>
      <c r="O204" s="276"/>
      <c r="P204" s="276"/>
      <c r="Q204" s="276"/>
      <c r="R204" s="276"/>
      <c r="S204" s="276"/>
      <c r="T204" s="276"/>
      <c r="U204" s="276"/>
      <c r="V204" s="276"/>
      <c r="W204" s="276"/>
      <c r="X204" s="276"/>
      <c r="Y204" s="276"/>
      <c r="Z204" s="276"/>
      <c r="AA204" s="276"/>
      <c r="AB204" s="276"/>
      <c r="AC204" s="276"/>
      <c r="AD204" s="276"/>
      <c r="AE204" s="276"/>
      <c r="AF204" s="276"/>
      <c r="AG204" s="276"/>
      <c r="AH204" s="276"/>
      <c r="AI204" s="276"/>
      <c r="AJ204" s="276"/>
      <c r="AK204" s="276"/>
      <c r="AL204" s="276"/>
      <c r="AM204" s="276"/>
      <c r="AN204" s="276"/>
      <c r="AO204" s="276"/>
      <c r="AP204" s="276"/>
      <c r="AQ204" s="276"/>
      <c r="AR204" s="276"/>
      <c r="AS204" s="276"/>
      <c r="AT204" s="276"/>
      <c r="AU204" s="276"/>
      <c r="AV204" s="276"/>
      <c r="AW204" s="276"/>
      <c r="AX204" s="276"/>
      <c r="AY204" s="276"/>
    </row>
    <row r="205" spans="1:51" ht="15.75" customHeight="1" x14ac:dyDescent="0.25">
      <c r="A205" s="276"/>
      <c r="B205" s="276"/>
      <c r="C205" s="353"/>
      <c r="D205" s="276"/>
      <c r="E205" s="276"/>
      <c r="F205" s="276"/>
      <c r="G205" s="276"/>
      <c r="H205" s="276"/>
      <c r="I205" s="276"/>
      <c r="J205" s="353"/>
      <c r="K205" s="276"/>
      <c r="L205" s="276"/>
      <c r="M205" s="276"/>
      <c r="N205" s="276"/>
      <c r="O205" s="276"/>
      <c r="P205" s="276"/>
      <c r="Q205" s="276"/>
      <c r="R205" s="276"/>
      <c r="S205" s="276"/>
      <c r="T205" s="276"/>
      <c r="U205" s="276"/>
      <c r="V205" s="276"/>
      <c r="W205" s="276"/>
      <c r="X205" s="276"/>
      <c r="Y205" s="276"/>
      <c r="Z205" s="276"/>
      <c r="AA205" s="276"/>
      <c r="AB205" s="276"/>
      <c r="AC205" s="276"/>
      <c r="AD205" s="276"/>
      <c r="AE205" s="276"/>
      <c r="AF205" s="276"/>
      <c r="AG205" s="276"/>
      <c r="AH205" s="276"/>
      <c r="AI205" s="276"/>
      <c r="AJ205" s="276"/>
      <c r="AK205" s="276"/>
      <c r="AL205" s="276"/>
      <c r="AM205" s="276"/>
      <c r="AN205" s="276"/>
      <c r="AO205" s="276"/>
      <c r="AP205" s="276"/>
      <c r="AQ205" s="276"/>
      <c r="AR205" s="276"/>
      <c r="AS205" s="276"/>
      <c r="AT205" s="276"/>
      <c r="AU205" s="276"/>
      <c r="AV205" s="276"/>
      <c r="AW205" s="276"/>
      <c r="AX205" s="276"/>
      <c r="AY205" s="276"/>
    </row>
    <row r="206" spans="1:51" ht="15.75" customHeight="1" x14ac:dyDescent="0.25">
      <c r="A206" s="276"/>
      <c r="B206" s="276"/>
      <c r="C206" s="353"/>
      <c r="D206" s="276"/>
      <c r="E206" s="276"/>
      <c r="F206" s="276"/>
      <c r="G206" s="276"/>
      <c r="H206" s="276"/>
      <c r="I206" s="276"/>
      <c r="J206" s="353"/>
      <c r="K206" s="276"/>
      <c r="L206" s="276"/>
      <c r="M206" s="276"/>
      <c r="N206" s="276"/>
      <c r="O206" s="276"/>
      <c r="P206" s="276"/>
      <c r="Q206" s="276"/>
      <c r="R206" s="276"/>
      <c r="S206" s="276"/>
      <c r="T206" s="276"/>
      <c r="U206" s="276"/>
      <c r="V206" s="276"/>
      <c r="W206" s="276"/>
      <c r="X206" s="276"/>
      <c r="Y206" s="276"/>
      <c r="Z206" s="276"/>
      <c r="AA206" s="276"/>
      <c r="AB206" s="276"/>
      <c r="AC206" s="276"/>
      <c r="AD206" s="276"/>
      <c r="AE206" s="276"/>
      <c r="AF206" s="276"/>
      <c r="AG206" s="276"/>
      <c r="AH206" s="276"/>
      <c r="AI206" s="276"/>
      <c r="AJ206" s="276"/>
      <c r="AK206" s="276"/>
      <c r="AL206" s="276"/>
      <c r="AM206" s="276"/>
      <c r="AN206" s="276"/>
      <c r="AO206" s="276"/>
      <c r="AP206" s="276"/>
      <c r="AQ206" s="276"/>
      <c r="AR206" s="276"/>
      <c r="AS206" s="276"/>
      <c r="AT206" s="276"/>
      <c r="AU206" s="276"/>
      <c r="AV206" s="276"/>
      <c r="AW206" s="276"/>
      <c r="AX206" s="276"/>
      <c r="AY206" s="276"/>
    </row>
    <row r="207" spans="1:51" ht="15.75" customHeight="1" x14ac:dyDescent="0.25">
      <c r="A207" s="276"/>
      <c r="B207" s="276"/>
      <c r="C207" s="353"/>
      <c r="D207" s="276"/>
      <c r="E207" s="276"/>
      <c r="F207" s="276"/>
      <c r="G207" s="276"/>
      <c r="H207" s="276"/>
      <c r="I207" s="276"/>
      <c r="J207" s="353"/>
      <c r="K207" s="276"/>
      <c r="L207" s="276"/>
      <c r="M207" s="276"/>
      <c r="N207" s="276"/>
      <c r="O207" s="276"/>
      <c r="P207" s="276"/>
      <c r="Q207" s="276"/>
      <c r="R207" s="276"/>
      <c r="S207" s="276"/>
      <c r="T207" s="276"/>
      <c r="U207" s="276"/>
      <c r="V207" s="276"/>
      <c r="W207" s="276"/>
      <c r="X207" s="276"/>
      <c r="Y207" s="276"/>
      <c r="Z207" s="276"/>
      <c r="AA207" s="276"/>
      <c r="AB207" s="276"/>
      <c r="AC207" s="276"/>
      <c r="AD207" s="276"/>
      <c r="AE207" s="276"/>
      <c r="AF207" s="276"/>
      <c r="AG207" s="276"/>
      <c r="AH207" s="276"/>
      <c r="AI207" s="276"/>
      <c r="AJ207" s="276"/>
      <c r="AK207" s="276"/>
      <c r="AL207" s="276"/>
      <c r="AM207" s="276"/>
      <c r="AN207" s="276"/>
      <c r="AO207" s="276"/>
      <c r="AP207" s="276"/>
      <c r="AQ207" s="276"/>
      <c r="AR207" s="276"/>
      <c r="AS207" s="276"/>
      <c r="AT207" s="276"/>
      <c r="AU207" s="276"/>
      <c r="AV207" s="276"/>
      <c r="AW207" s="276"/>
      <c r="AX207" s="276"/>
      <c r="AY207" s="276"/>
    </row>
    <row r="208" spans="1:51" ht="15.75" customHeight="1" x14ac:dyDescent="0.25">
      <c r="A208" s="276"/>
      <c r="B208" s="276"/>
      <c r="C208" s="353"/>
      <c r="D208" s="276"/>
      <c r="E208" s="276"/>
      <c r="F208" s="276"/>
      <c r="G208" s="276"/>
      <c r="H208" s="276"/>
      <c r="I208" s="276"/>
      <c r="J208" s="353"/>
      <c r="K208" s="276"/>
      <c r="L208" s="276"/>
      <c r="M208" s="276"/>
      <c r="N208" s="276"/>
      <c r="O208" s="276"/>
      <c r="P208" s="276"/>
      <c r="Q208" s="276"/>
      <c r="R208" s="276"/>
      <c r="S208" s="276"/>
      <c r="T208" s="276"/>
      <c r="U208" s="276"/>
      <c r="V208" s="276"/>
      <c r="W208" s="276"/>
      <c r="X208" s="276"/>
      <c r="Y208" s="276"/>
      <c r="Z208" s="276"/>
      <c r="AA208" s="276"/>
      <c r="AB208" s="276"/>
      <c r="AC208" s="276"/>
      <c r="AD208" s="276"/>
      <c r="AE208" s="276"/>
      <c r="AF208" s="276"/>
      <c r="AG208" s="276"/>
      <c r="AH208" s="276"/>
      <c r="AI208" s="276"/>
      <c r="AJ208" s="276"/>
      <c r="AK208" s="276"/>
      <c r="AL208" s="276"/>
      <c r="AM208" s="276"/>
      <c r="AN208" s="276"/>
      <c r="AO208" s="276"/>
      <c r="AP208" s="276"/>
      <c r="AQ208" s="276"/>
      <c r="AR208" s="276"/>
      <c r="AS208" s="276"/>
      <c r="AT208" s="276"/>
      <c r="AU208" s="276"/>
      <c r="AV208" s="276"/>
      <c r="AW208" s="276"/>
      <c r="AX208" s="276"/>
      <c r="AY208" s="276"/>
    </row>
    <row r="209" spans="1:51" ht="15.75" customHeight="1" x14ac:dyDescent="0.25">
      <c r="A209" s="276"/>
      <c r="B209" s="276"/>
      <c r="C209" s="353"/>
      <c r="D209" s="276"/>
      <c r="E209" s="276"/>
      <c r="F209" s="276"/>
      <c r="G209" s="276"/>
      <c r="H209" s="276"/>
      <c r="I209" s="276"/>
      <c r="J209" s="353"/>
      <c r="K209" s="276"/>
      <c r="L209" s="276"/>
      <c r="M209" s="276"/>
      <c r="N209" s="276"/>
      <c r="O209" s="276"/>
      <c r="P209" s="276"/>
      <c r="Q209" s="276"/>
      <c r="R209" s="276"/>
      <c r="S209" s="276"/>
      <c r="T209" s="276"/>
      <c r="U209" s="276"/>
      <c r="V209" s="276"/>
      <c r="W209" s="276"/>
      <c r="X209" s="276"/>
      <c r="Y209" s="276"/>
      <c r="Z209" s="276"/>
      <c r="AA209" s="276"/>
      <c r="AB209" s="276"/>
      <c r="AC209" s="276"/>
      <c r="AD209" s="276"/>
      <c r="AE209" s="276"/>
      <c r="AF209" s="276"/>
      <c r="AG209" s="276"/>
      <c r="AH209" s="276"/>
      <c r="AI209" s="276"/>
      <c r="AJ209" s="276"/>
      <c r="AK209" s="276"/>
      <c r="AL209" s="276"/>
      <c r="AM209" s="276"/>
      <c r="AN209" s="276"/>
      <c r="AO209" s="276"/>
      <c r="AP209" s="276"/>
      <c r="AQ209" s="276"/>
      <c r="AR209" s="276"/>
      <c r="AS209" s="276"/>
      <c r="AT209" s="276"/>
      <c r="AU209" s="276"/>
      <c r="AV209" s="276"/>
      <c r="AW209" s="276"/>
      <c r="AX209" s="276"/>
      <c r="AY209" s="276"/>
    </row>
    <row r="210" spans="1:51" ht="15.75" customHeight="1" x14ac:dyDescent="0.25">
      <c r="A210" s="276"/>
      <c r="B210" s="276"/>
      <c r="C210" s="353"/>
      <c r="D210" s="276"/>
      <c r="E210" s="276"/>
      <c r="F210" s="276"/>
      <c r="G210" s="276"/>
      <c r="H210" s="276"/>
      <c r="I210" s="276"/>
      <c r="J210" s="353"/>
      <c r="K210" s="276"/>
      <c r="L210" s="276"/>
      <c r="M210" s="276"/>
      <c r="N210" s="276"/>
      <c r="O210" s="276"/>
      <c r="P210" s="276"/>
      <c r="Q210" s="276"/>
      <c r="R210" s="276"/>
      <c r="S210" s="276"/>
      <c r="T210" s="276"/>
      <c r="U210" s="276"/>
      <c r="V210" s="276"/>
      <c r="W210" s="276"/>
      <c r="X210" s="276"/>
      <c r="Y210" s="276"/>
      <c r="Z210" s="276"/>
      <c r="AA210" s="276"/>
      <c r="AB210" s="276"/>
      <c r="AC210" s="276"/>
      <c r="AD210" s="276"/>
      <c r="AE210" s="276"/>
      <c r="AF210" s="276"/>
      <c r="AG210" s="276"/>
      <c r="AH210" s="276"/>
      <c r="AI210" s="276"/>
      <c r="AJ210" s="276"/>
      <c r="AK210" s="276"/>
      <c r="AL210" s="276"/>
      <c r="AM210" s="276"/>
      <c r="AN210" s="276"/>
      <c r="AO210" s="276"/>
      <c r="AP210" s="276"/>
      <c r="AQ210" s="276"/>
      <c r="AR210" s="276"/>
      <c r="AS210" s="276"/>
      <c r="AT210" s="276"/>
      <c r="AU210" s="276"/>
      <c r="AV210" s="276"/>
      <c r="AW210" s="276"/>
      <c r="AX210" s="276"/>
      <c r="AY210" s="276"/>
    </row>
    <row r="211" spans="1:51" ht="15.75" customHeight="1" x14ac:dyDescent="0.25">
      <c r="A211" s="276"/>
      <c r="B211" s="276"/>
      <c r="C211" s="353"/>
      <c r="D211" s="276"/>
      <c r="E211" s="276"/>
      <c r="F211" s="276"/>
      <c r="G211" s="276"/>
      <c r="H211" s="276"/>
      <c r="I211" s="276"/>
      <c r="J211" s="353"/>
      <c r="K211" s="276"/>
      <c r="L211" s="276"/>
      <c r="M211" s="276"/>
      <c r="N211" s="276"/>
      <c r="O211" s="276"/>
      <c r="P211" s="276"/>
      <c r="Q211" s="276"/>
      <c r="R211" s="276"/>
      <c r="S211" s="276"/>
      <c r="T211" s="276"/>
      <c r="U211" s="276"/>
      <c r="V211" s="276"/>
      <c r="W211" s="276"/>
      <c r="X211" s="276"/>
      <c r="Y211" s="276"/>
      <c r="Z211" s="276"/>
      <c r="AA211" s="276"/>
      <c r="AB211" s="276"/>
      <c r="AC211" s="276"/>
      <c r="AD211" s="276"/>
      <c r="AE211" s="276"/>
      <c r="AF211" s="276"/>
      <c r="AG211" s="276"/>
      <c r="AH211" s="276"/>
      <c r="AI211" s="276"/>
      <c r="AJ211" s="276"/>
      <c r="AK211" s="276"/>
      <c r="AL211" s="276"/>
      <c r="AM211" s="276"/>
      <c r="AN211" s="276"/>
      <c r="AO211" s="276"/>
      <c r="AP211" s="276"/>
      <c r="AQ211" s="276"/>
      <c r="AR211" s="276"/>
      <c r="AS211" s="276"/>
      <c r="AT211" s="276"/>
      <c r="AU211" s="276"/>
      <c r="AV211" s="276"/>
      <c r="AW211" s="276"/>
      <c r="AX211" s="276"/>
      <c r="AY211" s="276"/>
    </row>
    <row r="212" spans="1:51" ht="15.75" customHeight="1" x14ac:dyDescent="0.25">
      <c r="A212" s="276"/>
      <c r="B212" s="276"/>
      <c r="C212" s="353"/>
      <c r="D212" s="276"/>
      <c r="E212" s="276"/>
      <c r="F212" s="276"/>
      <c r="G212" s="276"/>
      <c r="H212" s="276"/>
      <c r="I212" s="276"/>
      <c r="J212" s="353"/>
      <c r="K212" s="276"/>
      <c r="L212" s="276"/>
      <c r="M212" s="276"/>
      <c r="N212" s="276"/>
      <c r="O212" s="276"/>
      <c r="P212" s="276"/>
      <c r="Q212" s="276"/>
      <c r="R212" s="276"/>
      <c r="S212" s="276"/>
      <c r="T212" s="276"/>
      <c r="U212" s="276"/>
      <c r="V212" s="276"/>
      <c r="W212" s="276"/>
      <c r="X212" s="276"/>
      <c r="Y212" s="276"/>
      <c r="Z212" s="276"/>
      <c r="AA212" s="276"/>
      <c r="AB212" s="276"/>
      <c r="AC212" s="276"/>
      <c r="AD212" s="276"/>
      <c r="AE212" s="276"/>
      <c r="AF212" s="276"/>
      <c r="AG212" s="276"/>
      <c r="AH212" s="276"/>
      <c r="AI212" s="276"/>
      <c r="AJ212" s="276"/>
      <c r="AK212" s="276"/>
      <c r="AL212" s="276"/>
      <c r="AM212" s="276"/>
      <c r="AN212" s="276"/>
      <c r="AO212" s="276"/>
      <c r="AP212" s="276"/>
      <c r="AQ212" s="276"/>
      <c r="AR212" s="276"/>
      <c r="AS212" s="276"/>
      <c r="AT212" s="276"/>
      <c r="AU212" s="276"/>
      <c r="AV212" s="276"/>
      <c r="AW212" s="276"/>
      <c r="AX212" s="276"/>
      <c r="AY212" s="276"/>
    </row>
    <row r="213" spans="1:51" ht="15.75" customHeight="1" x14ac:dyDescent="0.25">
      <c r="A213" s="276"/>
      <c r="B213" s="276"/>
      <c r="C213" s="353"/>
      <c r="D213" s="276"/>
      <c r="E213" s="276"/>
      <c r="F213" s="276"/>
      <c r="G213" s="276"/>
      <c r="H213" s="276"/>
      <c r="I213" s="276"/>
      <c r="J213" s="353"/>
      <c r="K213" s="276"/>
      <c r="L213" s="276"/>
      <c r="M213" s="276"/>
      <c r="N213" s="276"/>
      <c r="O213" s="276"/>
      <c r="P213" s="276"/>
      <c r="Q213" s="276"/>
      <c r="R213" s="276"/>
      <c r="S213" s="276"/>
      <c r="T213" s="276"/>
      <c r="U213" s="276"/>
      <c r="V213" s="276"/>
      <c r="W213" s="276"/>
      <c r="X213" s="276"/>
      <c r="Y213" s="276"/>
      <c r="Z213" s="276"/>
      <c r="AA213" s="276"/>
      <c r="AB213" s="276"/>
      <c r="AC213" s="276"/>
      <c r="AD213" s="276"/>
      <c r="AE213" s="276"/>
      <c r="AF213" s="276"/>
      <c r="AG213" s="276"/>
      <c r="AH213" s="276"/>
      <c r="AI213" s="276"/>
      <c r="AJ213" s="276"/>
      <c r="AK213" s="276"/>
      <c r="AL213" s="276"/>
      <c r="AM213" s="276"/>
      <c r="AN213" s="276"/>
      <c r="AO213" s="276"/>
      <c r="AP213" s="276"/>
      <c r="AQ213" s="276"/>
      <c r="AR213" s="276"/>
      <c r="AS213" s="276"/>
      <c r="AT213" s="276"/>
      <c r="AU213" s="276"/>
      <c r="AV213" s="276"/>
      <c r="AW213" s="276"/>
      <c r="AX213" s="276"/>
      <c r="AY213" s="276"/>
    </row>
    <row r="214" spans="1:51" ht="15.75" customHeight="1" x14ac:dyDescent="0.25">
      <c r="A214" s="276"/>
      <c r="B214" s="276"/>
      <c r="C214" s="353"/>
      <c r="D214" s="276"/>
      <c r="E214" s="276"/>
      <c r="F214" s="276"/>
      <c r="G214" s="276"/>
      <c r="H214" s="276"/>
      <c r="I214" s="276"/>
      <c r="J214" s="353"/>
      <c r="K214" s="276"/>
      <c r="L214" s="276"/>
      <c r="M214" s="276"/>
      <c r="N214" s="276"/>
      <c r="O214" s="276"/>
      <c r="P214" s="276"/>
      <c r="Q214" s="276"/>
      <c r="R214" s="276"/>
      <c r="S214" s="276"/>
      <c r="T214" s="276"/>
      <c r="U214" s="276"/>
      <c r="V214" s="276"/>
      <c r="W214" s="276"/>
      <c r="X214" s="276"/>
      <c r="Y214" s="276"/>
      <c r="Z214" s="276"/>
      <c r="AA214" s="276"/>
      <c r="AB214" s="276"/>
      <c r="AC214" s="276"/>
      <c r="AD214" s="276"/>
      <c r="AE214" s="276"/>
      <c r="AF214" s="276"/>
      <c r="AG214" s="276"/>
      <c r="AH214" s="276"/>
      <c r="AI214" s="276"/>
      <c r="AJ214" s="276"/>
      <c r="AK214" s="276"/>
      <c r="AL214" s="276"/>
      <c r="AM214" s="276"/>
      <c r="AN214" s="276"/>
      <c r="AO214" s="276"/>
      <c r="AP214" s="276"/>
      <c r="AQ214" s="276"/>
      <c r="AR214" s="276"/>
      <c r="AS214" s="276"/>
      <c r="AT214" s="276"/>
      <c r="AU214" s="276"/>
      <c r="AV214" s="276"/>
      <c r="AW214" s="276"/>
      <c r="AX214" s="276"/>
      <c r="AY214" s="276"/>
    </row>
    <row r="215" spans="1:51" ht="15.75" customHeight="1" x14ac:dyDescent="0.25">
      <c r="A215" s="276"/>
      <c r="B215" s="276"/>
      <c r="C215" s="353"/>
      <c r="D215" s="276"/>
      <c r="E215" s="276"/>
      <c r="F215" s="276"/>
      <c r="G215" s="276"/>
      <c r="H215" s="276"/>
      <c r="I215" s="276"/>
      <c r="J215" s="353"/>
      <c r="K215" s="276"/>
      <c r="L215" s="276"/>
      <c r="M215" s="276"/>
      <c r="N215" s="276"/>
      <c r="O215" s="276"/>
      <c r="P215" s="276"/>
      <c r="Q215" s="276"/>
      <c r="R215" s="276"/>
      <c r="S215" s="276"/>
      <c r="T215" s="276"/>
      <c r="U215" s="276"/>
      <c r="V215" s="276"/>
      <c r="W215" s="276"/>
      <c r="X215" s="276"/>
      <c r="Y215" s="276"/>
      <c r="Z215" s="276"/>
      <c r="AA215" s="276"/>
      <c r="AB215" s="276"/>
      <c r="AC215" s="276"/>
      <c r="AD215" s="276"/>
      <c r="AE215" s="276"/>
      <c r="AF215" s="276"/>
      <c r="AG215" s="276"/>
      <c r="AH215" s="276"/>
      <c r="AI215" s="276"/>
      <c r="AJ215" s="276"/>
      <c r="AK215" s="276"/>
      <c r="AL215" s="276"/>
      <c r="AM215" s="276"/>
      <c r="AN215" s="276"/>
      <c r="AO215" s="276"/>
      <c r="AP215" s="276"/>
      <c r="AQ215" s="276"/>
      <c r="AR215" s="276"/>
      <c r="AS215" s="276"/>
      <c r="AT215" s="276"/>
      <c r="AU215" s="276"/>
      <c r="AV215" s="276"/>
      <c r="AW215" s="276"/>
      <c r="AX215" s="276"/>
      <c r="AY215" s="276"/>
    </row>
    <row r="216" spans="1:51" ht="15.75" customHeight="1" x14ac:dyDescent="0.25">
      <c r="A216" s="276"/>
      <c r="B216" s="276"/>
      <c r="C216" s="353"/>
      <c r="D216" s="276"/>
      <c r="E216" s="276"/>
      <c r="F216" s="276"/>
      <c r="G216" s="276"/>
      <c r="H216" s="276"/>
      <c r="I216" s="276"/>
      <c r="J216" s="353"/>
      <c r="K216" s="276"/>
      <c r="L216" s="276"/>
      <c r="M216" s="276"/>
      <c r="N216" s="276"/>
      <c r="O216" s="276"/>
      <c r="P216" s="276"/>
      <c r="Q216" s="276"/>
      <c r="R216" s="276"/>
      <c r="S216" s="276"/>
      <c r="T216" s="276"/>
      <c r="U216" s="276"/>
      <c r="V216" s="276"/>
      <c r="W216" s="276"/>
      <c r="X216" s="276"/>
      <c r="Y216" s="276"/>
      <c r="Z216" s="276"/>
      <c r="AA216" s="276"/>
      <c r="AB216" s="276"/>
      <c r="AC216" s="276"/>
      <c r="AD216" s="276"/>
      <c r="AE216" s="276"/>
      <c r="AF216" s="276"/>
      <c r="AG216" s="276"/>
      <c r="AH216" s="276"/>
      <c r="AI216" s="276"/>
      <c r="AJ216" s="276"/>
      <c r="AK216" s="276"/>
      <c r="AL216" s="276"/>
      <c r="AM216" s="276"/>
      <c r="AN216" s="276"/>
      <c r="AO216" s="276"/>
      <c r="AP216" s="276"/>
      <c r="AQ216" s="276"/>
      <c r="AR216" s="276"/>
      <c r="AS216" s="276"/>
      <c r="AT216" s="276"/>
      <c r="AU216" s="276"/>
      <c r="AV216" s="276"/>
      <c r="AW216" s="276"/>
      <c r="AX216" s="276"/>
      <c r="AY216" s="276"/>
    </row>
    <row r="217" spans="1:51" ht="15.75" customHeight="1" x14ac:dyDescent="0.25">
      <c r="A217" s="276"/>
      <c r="B217" s="276"/>
      <c r="C217" s="353"/>
      <c r="D217" s="276"/>
      <c r="E217" s="276"/>
      <c r="F217" s="276"/>
      <c r="G217" s="276"/>
      <c r="H217" s="276"/>
      <c r="I217" s="276"/>
      <c r="J217" s="353"/>
      <c r="K217" s="276"/>
      <c r="L217" s="276"/>
      <c r="M217" s="276"/>
      <c r="N217" s="276"/>
      <c r="O217" s="276"/>
      <c r="P217" s="276"/>
      <c r="Q217" s="276"/>
      <c r="R217" s="276"/>
      <c r="S217" s="276"/>
      <c r="T217" s="276"/>
      <c r="U217" s="276"/>
      <c r="V217" s="276"/>
      <c r="W217" s="276"/>
      <c r="X217" s="276"/>
      <c r="Y217" s="276"/>
      <c r="Z217" s="276"/>
      <c r="AA217" s="276"/>
      <c r="AB217" s="276"/>
      <c r="AC217" s="276"/>
      <c r="AD217" s="276"/>
      <c r="AE217" s="276"/>
      <c r="AF217" s="276"/>
      <c r="AG217" s="276"/>
      <c r="AH217" s="276"/>
      <c r="AI217" s="276"/>
      <c r="AJ217" s="276"/>
      <c r="AK217" s="276"/>
      <c r="AL217" s="276"/>
      <c r="AM217" s="276"/>
      <c r="AN217" s="276"/>
      <c r="AO217" s="276"/>
      <c r="AP217" s="276"/>
      <c r="AQ217" s="276"/>
      <c r="AR217" s="276"/>
      <c r="AS217" s="276"/>
      <c r="AT217" s="276"/>
      <c r="AU217" s="276"/>
      <c r="AV217" s="276"/>
      <c r="AW217" s="276"/>
      <c r="AX217" s="276"/>
      <c r="AY217" s="276"/>
    </row>
    <row r="218" spans="1:51" ht="15.75" customHeight="1" x14ac:dyDescent="0.25">
      <c r="A218" s="276"/>
      <c r="B218" s="276"/>
      <c r="C218" s="353"/>
      <c r="D218" s="276"/>
      <c r="E218" s="276"/>
      <c r="F218" s="276"/>
      <c r="G218" s="276"/>
      <c r="H218" s="276"/>
      <c r="I218" s="276"/>
      <c r="J218" s="353"/>
      <c r="K218" s="276"/>
      <c r="L218" s="276"/>
      <c r="M218" s="276"/>
      <c r="N218" s="276"/>
      <c r="O218" s="276"/>
      <c r="P218" s="276"/>
      <c r="Q218" s="276"/>
      <c r="R218" s="276"/>
      <c r="S218" s="276"/>
      <c r="T218" s="276"/>
      <c r="U218" s="276"/>
      <c r="V218" s="276"/>
      <c r="W218" s="276"/>
      <c r="X218" s="276"/>
      <c r="Y218" s="276"/>
      <c r="Z218" s="276"/>
      <c r="AA218" s="276"/>
      <c r="AB218" s="276"/>
      <c r="AC218" s="276"/>
      <c r="AD218" s="276"/>
      <c r="AE218" s="276"/>
      <c r="AF218" s="276"/>
      <c r="AG218" s="276"/>
      <c r="AH218" s="276"/>
      <c r="AI218" s="276"/>
      <c r="AJ218" s="276"/>
      <c r="AK218" s="276"/>
      <c r="AL218" s="276"/>
      <c r="AM218" s="276"/>
      <c r="AN218" s="276"/>
      <c r="AO218" s="276"/>
      <c r="AP218" s="276"/>
      <c r="AQ218" s="276"/>
      <c r="AR218" s="276"/>
      <c r="AS218" s="276"/>
      <c r="AT218" s="276"/>
      <c r="AU218" s="276"/>
      <c r="AV218" s="276"/>
      <c r="AW218" s="276"/>
      <c r="AX218" s="276"/>
      <c r="AY218" s="276"/>
    </row>
    <row r="219" spans="1:51" ht="15.75" customHeight="1" x14ac:dyDescent="0.25">
      <c r="A219" s="276"/>
      <c r="B219" s="276"/>
      <c r="C219" s="353"/>
      <c r="D219" s="276"/>
      <c r="E219" s="276"/>
      <c r="F219" s="276"/>
      <c r="G219" s="276"/>
      <c r="H219" s="276"/>
      <c r="I219" s="276"/>
      <c r="J219" s="353"/>
      <c r="K219" s="276"/>
      <c r="L219" s="276"/>
      <c r="M219" s="276"/>
      <c r="N219" s="276"/>
      <c r="O219" s="276"/>
      <c r="P219" s="276"/>
      <c r="Q219" s="276"/>
      <c r="R219" s="276"/>
      <c r="S219" s="276"/>
      <c r="T219" s="276"/>
      <c r="U219" s="276"/>
      <c r="V219" s="276"/>
      <c r="W219" s="276"/>
      <c r="X219" s="276"/>
      <c r="Y219" s="276"/>
      <c r="Z219" s="276"/>
      <c r="AA219" s="276"/>
      <c r="AB219" s="276"/>
      <c r="AC219" s="276"/>
      <c r="AD219" s="276"/>
      <c r="AE219" s="276"/>
      <c r="AF219" s="276"/>
      <c r="AG219" s="276"/>
      <c r="AH219" s="276"/>
      <c r="AI219" s="276"/>
      <c r="AJ219" s="276"/>
      <c r="AK219" s="276"/>
      <c r="AL219" s="276"/>
      <c r="AM219" s="276"/>
      <c r="AN219" s="276"/>
      <c r="AO219" s="276"/>
      <c r="AP219" s="276"/>
      <c r="AQ219" s="276"/>
      <c r="AR219" s="276"/>
      <c r="AS219" s="276"/>
      <c r="AT219" s="276"/>
      <c r="AU219" s="276"/>
      <c r="AV219" s="276"/>
      <c r="AW219" s="276"/>
      <c r="AX219" s="276"/>
      <c r="AY219" s="276"/>
    </row>
    <row r="220" spans="1:51" ht="15.75" customHeight="1" x14ac:dyDescent="0.25">
      <c r="A220" s="276"/>
      <c r="B220" s="276"/>
      <c r="C220" s="353"/>
      <c r="D220" s="276"/>
      <c r="E220" s="276"/>
      <c r="F220" s="276"/>
      <c r="G220" s="276"/>
      <c r="H220" s="276"/>
      <c r="I220" s="276"/>
      <c r="J220" s="353"/>
      <c r="K220" s="276"/>
      <c r="L220" s="276"/>
      <c r="M220" s="276"/>
      <c r="N220" s="276"/>
      <c r="O220" s="276"/>
      <c r="P220" s="276"/>
      <c r="Q220" s="276"/>
      <c r="R220" s="276"/>
      <c r="S220" s="276"/>
      <c r="T220" s="276"/>
      <c r="U220" s="276"/>
      <c r="V220" s="276"/>
      <c r="W220" s="276"/>
      <c r="X220" s="276"/>
      <c r="Y220" s="276"/>
      <c r="Z220" s="276"/>
      <c r="AA220" s="276"/>
      <c r="AB220" s="276"/>
      <c r="AC220" s="276"/>
      <c r="AD220" s="276"/>
      <c r="AE220" s="276"/>
      <c r="AF220" s="276"/>
      <c r="AG220" s="276"/>
      <c r="AH220" s="276"/>
      <c r="AI220" s="276"/>
      <c r="AJ220" s="276"/>
      <c r="AK220" s="276"/>
      <c r="AL220" s="276"/>
      <c r="AM220" s="276"/>
      <c r="AN220" s="276"/>
      <c r="AO220" s="276"/>
      <c r="AP220" s="276"/>
      <c r="AQ220" s="276"/>
      <c r="AR220" s="276"/>
      <c r="AS220" s="276"/>
      <c r="AT220" s="276"/>
      <c r="AU220" s="276"/>
      <c r="AV220" s="276"/>
      <c r="AW220" s="276"/>
      <c r="AX220" s="276"/>
      <c r="AY220" s="276"/>
    </row>
    <row r="221" spans="1:51" ht="15.75" customHeight="1" x14ac:dyDescent="0.25">
      <c r="A221" s="276"/>
      <c r="B221" s="276"/>
      <c r="C221" s="353"/>
      <c r="D221" s="276"/>
      <c r="E221" s="276"/>
      <c r="F221" s="276"/>
      <c r="G221" s="276"/>
      <c r="H221" s="276"/>
      <c r="I221" s="276"/>
      <c r="J221" s="353"/>
      <c r="K221" s="276"/>
      <c r="L221" s="276"/>
      <c r="M221" s="276"/>
      <c r="N221" s="276"/>
      <c r="O221" s="276"/>
      <c r="P221" s="276"/>
      <c r="Q221" s="276"/>
      <c r="R221" s="276"/>
      <c r="S221" s="276"/>
      <c r="T221" s="276"/>
      <c r="U221" s="276"/>
      <c r="V221" s="276"/>
      <c r="W221" s="276"/>
      <c r="X221" s="276"/>
      <c r="Y221" s="276"/>
      <c r="Z221" s="276"/>
      <c r="AA221" s="276"/>
      <c r="AB221" s="276"/>
      <c r="AC221" s="276"/>
      <c r="AD221" s="276"/>
      <c r="AE221" s="276"/>
      <c r="AF221" s="276"/>
      <c r="AG221" s="276"/>
      <c r="AH221" s="276"/>
      <c r="AI221" s="276"/>
      <c r="AJ221" s="276"/>
      <c r="AK221" s="276"/>
      <c r="AL221" s="276"/>
      <c r="AM221" s="276"/>
      <c r="AN221" s="276"/>
      <c r="AO221" s="276"/>
      <c r="AP221" s="276"/>
      <c r="AQ221" s="276"/>
      <c r="AR221" s="276"/>
      <c r="AS221" s="276"/>
      <c r="AT221" s="276"/>
      <c r="AU221" s="276"/>
      <c r="AV221" s="276"/>
      <c r="AW221" s="276"/>
      <c r="AX221" s="276"/>
      <c r="AY221" s="276"/>
    </row>
    <row r="222" spans="1:51" ht="15.75" customHeight="1" x14ac:dyDescent="0.25">
      <c r="A222" s="276"/>
      <c r="B222" s="276"/>
      <c r="C222" s="353"/>
      <c r="D222" s="276"/>
      <c r="E222" s="276"/>
      <c r="F222" s="276"/>
      <c r="G222" s="276"/>
      <c r="H222" s="276"/>
      <c r="I222" s="276"/>
      <c r="J222" s="353"/>
      <c r="K222" s="276"/>
      <c r="L222" s="276"/>
      <c r="M222" s="276"/>
      <c r="N222" s="276"/>
      <c r="O222" s="276"/>
      <c r="P222" s="276"/>
      <c r="Q222" s="276"/>
      <c r="R222" s="276"/>
      <c r="S222" s="276"/>
      <c r="T222" s="276"/>
      <c r="U222" s="276"/>
      <c r="V222" s="276"/>
      <c r="W222" s="276"/>
      <c r="X222" s="276"/>
      <c r="Y222" s="276"/>
      <c r="Z222" s="276"/>
      <c r="AA222" s="276"/>
      <c r="AB222" s="276"/>
      <c r="AC222" s="276"/>
      <c r="AD222" s="276"/>
      <c r="AE222" s="276"/>
      <c r="AF222" s="276"/>
      <c r="AG222" s="276"/>
      <c r="AH222" s="276"/>
      <c r="AI222" s="276"/>
      <c r="AJ222" s="276"/>
      <c r="AK222" s="276"/>
      <c r="AL222" s="276"/>
      <c r="AM222" s="276"/>
      <c r="AN222" s="276"/>
      <c r="AO222" s="276"/>
      <c r="AP222" s="276"/>
      <c r="AQ222" s="276"/>
      <c r="AR222" s="276"/>
      <c r="AS222" s="276"/>
      <c r="AT222" s="276"/>
      <c r="AU222" s="276"/>
      <c r="AV222" s="276"/>
      <c r="AW222" s="276"/>
      <c r="AX222" s="276"/>
      <c r="AY222" s="276"/>
    </row>
    <row r="223" spans="1:51" ht="15.75" customHeight="1" x14ac:dyDescent="0.25">
      <c r="A223" s="276"/>
      <c r="B223" s="276"/>
      <c r="C223" s="353"/>
      <c r="D223" s="276"/>
      <c r="E223" s="276"/>
      <c r="F223" s="276"/>
      <c r="G223" s="276"/>
      <c r="H223" s="276"/>
      <c r="I223" s="276"/>
      <c r="J223" s="353"/>
      <c r="K223" s="276"/>
      <c r="L223" s="276"/>
      <c r="M223" s="276"/>
      <c r="N223" s="276"/>
      <c r="O223" s="276"/>
      <c r="P223" s="276"/>
      <c r="Q223" s="276"/>
      <c r="R223" s="276"/>
      <c r="S223" s="276"/>
      <c r="T223" s="276"/>
      <c r="U223" s="276"/>
      <c r="V223" s="276"/>
      <c r="W223" s="276"/>
      <c r="X223" s="276"/>
      <c r="Y223" s="276"/>
      <c r="Z223" s="276"/>
      <c r="AA223" s="276"/>
      <c r="AB223" s="276"/>
      <c r="AC223" s="276"/>
      <c r="AD223" s="276"/>
      <c r="AE223" s="276"/>
      <c r="AF223" s="276"/>
      <c r="AG223" s="276"/>
      <c r="AH223" s="276"/>
      <c r="AI223" s="276"/>
      <c r="AJ223" s="276"/>
      <c r="AK223" s="276"/>
      <c r="AL223" s="276"/>
      <c r="AM223" s="276"/>
      <c r="AN223" s="276"/>
      <c r="AO223" s="276"/>
      <c r="AP223" s="276"/>
      <c r="AQ223" s="276"/>
      <c r="AR223" s="276"/>
      <c r="AS223" s="276"/>
      <c r="AT223" s="276"/>
      <c r="AU223" s="276"/>
      <c r="AV223" s="276"/>
      <c r="AW223" s="276"/>
      <c r="AX223" s="276"/>
      <c r="AY223" s="276"/>
    </row>
    <row r="224" spans="1:51" ht="15.75" customHeight="1" x14ac:dyDescent="0.25">
      <c r="A224" s="276"/>
      <c r="B224" s="276"/>
      <c r="C224" s="353"/>
      <c r="D224" s="276"/>
      <c r="E224" s="276"/>
      <c r="F224" s="276"/>
      <c r="G224" s="276"/>
      <c r="H224" s="276"/>
      <c r="I224" s="276"/>
      <c r="J224" s="353"/>
      <c r="K224" s="276"/>
      <c r="L224" s="276"/>
      <c r="M224" s="276"/>
      <c r="N224" s="276"/>
      <c r="O224" s="276"/>
      <c r="P224" s="276"/>
      <c r="Q224" s="276"/>
      <c r="R224" s="276"/>
      <c r="S224" s="276"/>
      <c r="T224" s="276"/>
      <c r="U224" s="276"/>
      <c r="V224" s="276"/>
      <c r="W224" s="276"/>
      <c r="X224" s="276"/>
      <c r="Y224" s="276"/>
      <c r="Z224" s="276"/>
      <c r="AA224" s="276"/>
      <c r="AB224" s="276"/>
      <c r="AC224" s="276"/>
      <c r="AD224" s="276"/>
      <c r="AE224" s="276"/>
      <c r="AF224" s="276"/>
      <c r="AG224" s="276"/>
      <c r="AH224" s="276"/>
      <c r="AI224" s="276"/>
      <c r="AJ224" s="276"/>
      <c r="AK224" s="276"/>
      <c r="AL224" s="276"/>
      <c r="AM224" s="276"/>
      <c r="AN224" s="276"/>
      <c r="AO224" s="276"/>
      <c r="AP224" s="276"/>
      <c r="AQ224" s="276"/>
      <c r="AR224" s="276"/>
      <c r="AS224" s="276"/>
      <c r="AT224" s="276"/>
      <c r="AU224" s="276"/>
      <c r="AV224" s="276"/>
      <c r="AW224" s="276"/>
      <c r="AX224" s="276"/>
      <c r="AY224" s="276"/>
    </row>
    <row r="225" spans="1:51" ht="15.75" customHeight="1" x14ac:dyDescent="0.25">
      <c r="A225" s="276"/>
      <c r="B225" s="276"/>
      <c r="C225" s="353"/>
      <c r="D225" s="276"/>
      <c r="E225" s="276"/>
      <c r="F225" s="276"/>
      <c r="G225" s="276"/>
      <c r="H225" s="276"/>
      <c r="I225" s="276"/>
      <c r="J225" s="353"/>
      <c r="K225" s="276"/>
      <c r="L225" s="276"/>
      <c r="M225" s="276"/>
      <c r="N225" s="276"/>
      <c r="O225" s="276"/>
      <c r="P225" s="276"/>
      <c r="Q225" s="276"/>
      <c r="R225" s="276"/>
      <c r="S225" s="276"/>
      <c r="T225" s="276"/>
      <c r="U225" s="276"/>
      <c r="V225" s="276"/>
      <c r="W225" s="276"/>
      <c r="X225" s="276"/>
      <c r="Y225" s="276"/>
      <c r="Z225" s="276"/>
      <c r="AA225" s="276"/>
      <c r="AB225" s="276"/>
      <c r="AC225" s="276"/>
      <c r="AD225" s="276"/>
      <c r="AE225" s="276"/>
      <c r="AF225" s="276"/>
      <c r="AG225" s="276"/>
      <c r="AH225" s="276"/>
      <c r="AI225" s="276"/>
      <c r="AJ225" s="276"/>
      <c r="AK225" s="276"/>
      <c r="AL225" s="276"/>
      <c r="AM225" s="276"/>
      <c r="AN225" s="276"/>
      <c r="AO225" s="276"/>
      <c r="AP225" s="276"/>
      <c r="AQ225" s="276"/>
      <c r="AR225" s="276"/>
      <c r="AS225" s="276"/>
      <c r="AT225" s="276"/>
      <c r="AU225" s="276"/>
      <c r="AV225" s="276"/>
      <c r="AW225" s="276"/>
      <c r="AX225" s="276"/>
      <c r="AY225" s="276"/>
    </row>
    <row r="226" spans="1:51" ht="15.75" customHeight="1" x14ac:dyDescent="0.25">
      <c r="A226" s="276"/>
      <c r="B226" s="276"/>
      <c r="C226" s="353"/>
      <c r="D226" s="276"/>
      <c r="E226" s="276"/>
      <c r="F226" s="276"/>
      <c r="G226" s="276"/>
      <c r="H226" s="276"/>
      <c r="I226" s="276"/>
      <c r="J226" s="353"/>
      <c r="K226" s="276"/>
      <c r="L226" s="276"/>
      <c r="M226" s="276"/>
      <c r="N226" s="276"/>
      <c r="O226" s="276"/>
      <c r="P226" s="276"/>
      <c r="Q226" s="276"/>
      <c r="R226" s="276"/>
      <c r="S226" s="276"/>
      <c r="T226" s="276"/>
      <c r="U226" s="276"/>
      <c r="V226" s="276"/>
      <c r="W226" s="276"/>
      <c r="X226" s="276"/>
      <c r="Y226" s="276"/>
      <c r="Z226" s="276"/>
      <c r="AA226" s="276"/>
      <c r="AB226" s="276"/>
      <c r="AC226" s="276"/>
      <c r="AD226" s="276"/>
      <c r="AE226" s="276"/>
      <c r="AF226" s="276"/>
      <c r="AG226" s="276"/>
      <c r="AH226" s="276"/>
      <c r="AI226" s="276"/>
      <c r="AJ226" s="276"/>
      <c r="AK226" s="276"/>
      <c r="AL226" s="276"/>
      <c r="AM226" s="276"/>
      <c r="AN226" s="276"/>
      <c r="AO226" s="276"/>
      <c r="AP226" s="276"/>
      <c r="AQ226" s="276"/>
      <c r="AR226" s="276"/>
      <c r="AS226" s="276"/>
      <c r="AT226" s="276"/>
      <c r="AU226" s="276"/>
      <c r="AV226" s="276"/>
      <c r="AW226" s="276"/>
      <c r="AX226" s="276"/>
      <c r="AY226" s="276"/>
    </row>
    <row r="227" spans="1:51" ht="15.75" customHeight="1" x14ac:dyDescent="0.25">
      <c r="A227" s="276"/>
      <c r="B227" s="276"/>
      <c r="C227" s="353"/>
      <c r="D227" s="276"/>
      <c r="E227" s="276"/>
      <c r="F227" s="276"/>
      <c r="G227" s="276"/>
      <c r="H227" s="276"/>
      <c r="I227" s="276"/>
      <c r="J227" s="353"/>
      <c r="K227" s="276"/>
      <c r="L227" s="276"/>
      <c r="M227" s="276"/>
      <c r="N227" s="276"/>
      <c r="O227" s="276"/>
      <c r="P227" s="276"/>
      <c r="Q227" s="276"/>
      <c r="R227" s="276"/>
      <c r="S227" s="276"/>
      <c r="T227" s="276"/>
      <c r="U227" s="276"/>
      <c r="V227" s="276"/>
      <c r="W227" s="276"/>
      <c r="X227" s="276"/>
      <c r="Y227" s="276"/>
      <c r="Z227" s="276"/>
      <c r="AA227" s="276"/>
      <c r="AB227" s="276"/>
      <c r="AC227" s="276"/>
      <c r="AD227" s="276"/>
      <c r="AE227" s="276"/>
      <c r="AF227" s="276"/>
      <c r="AG227" s="276"/>
      <c r="AH227" s="276"/>
      <c r="AI227" s="276"/>
      <c r="AJ227" s="276"/>
      <c r="AK227" s="276"/>
      <c r="AL227" s="276"/>
      <c r="AM227" s="276"/>
      <c r="AN227" s="276"/>
      <c r="AO227" s="276"/>
      <c r="AP227" s="276"/>
      <c r="AQ227" s="276"/>
      <c r="AR227" s="276"/>
      <c r="AS227" s="276"/>
      <c r="AT227" s="276"/>
      <c r="AU227" s="276"/>
      <c r="AV227" s="276"/>
      <c r="AW227" s="276"/>
      <c r="AX227" s="276"/>
      <c r="AY227" s="276"/>
    </row>
    <row r="228" spans="1:51" ht="15.75" customHeight="1" x14ac:dyDescent="0.25">
      <c r="A228" s="276"/>
      <c r="B228" s="276"/>
      <c r="C228" s="353"/>
      <c r="D228" s="276"/>
      <c r="E228" s="276"/>
      <c r="F228" s="276"/>
      <c r="G228" s="276"/>
      <c r="H228" s="276"/>
      <c r="I228" s="276"/>
      <c r="J228" s="353"/>
      <c r="K228" s="276"/>
      <c r="L228" s="276"/>
      <c r="M228" s="276"/>
      <c r="N228" s="276"/>
      <c r="O228" s="276"/>
      <c r="P228" s="276"/>
      <c r="Q228" s="276"/>
      <c r="R228" s="276"/>
      <c r="S228" s="276"/>
      <c r="T228" s="276"/>
      <c r="U228" s="276"/>
      <c r="V228" s="276"/>
      <c r="W228" s="276"/>
      <c r="X228" s="276"/>
      <c r="Y228" s="276"/>
      <c r="Z228" s="276"/>
      <c r="AA228" s="276"/>
      <c r="AB228" s="276"/>
      <c r="AC228" s="276"/>
      <c r="AD228" s="276"/>
      <c r="AE228" s="276"/>
      <c r="AF228" s="276"/>
      <c r="AG228" s="276"/>
      <c r="AH228" s="276"/>
      <c r="AI228" s="276"/>
      <c r="AJ228" s="276"/>
      <c r="AK228" s="276"/>
      <c r="AL228" s="276"/>
      <c r="AM228" s="276"/>
      <c r="AN228" s="276"/>
      <c r="AO228" s="276"/>
      <c r="AP228" s="276"/>
      <c r="AQ228" s="276"/>
      <c r="AR228" s="276"/>
      <c r="AS228" s="276"/>
      <c r="AT228" s="276"/>
      <c r="AU228" s="276"/>
      <c r="AV228" s="276"/>
      <c r="AW228" s="276"/>
      <c r="AX228" s="276"/>
      <c r="AY228" s="276"/>
    </row>
    <row r="229" spans="1:51" ht="15.75" customHeight="1" x14ac:dyDescent="0.25">
      <c r="A229" s="276"/>
      <c r="B229" s="276"/>
      <c r="C229" s="353"/>
      <c r="D229" s="276"/>
      <c r="E229" s="276"/>
      <c r="F229" s="276"/>
      <c r="G229" s="276"/>
      <c r="H229" s="276"/>
      <c r="I229" s="276"/>
      <c r="J229" s="353"/>
      <c r="K229" s="276"/>
      <c r="L229" s="276"/>
      <c r="M229" s="276"/>
      <c r="N229" s="276"/>
      <c r="O229" s="276"/>
      <c r="P229" s="276"/>
      <c r="Q229" s="276"/>
      <c r="R229" s="276"/>
      <c r="S229" s="276"/>
      <c r="T229" s="276"/>
      <c r="U229" s="276"/>
      <c r="V229" s="276"/>
      <c r="W229" s="276"/>
      <c r="X229" s="276"/>
      <c r="Y229" s="276"/>
      <c r="Z229" s="276"/>
      <c r="AA229" s="276"/>
      <c r="AB229" s="276"/>
      <c r="AC229" s="276"/>
      <c r="AD229" s="276"/>
      <c r="AE229" s="276"/>
      <c r="AF229" s="276"/>
      <c r="AG229" s="276"/>
      <c r="AH229" s="276"/>
      <c r="AI229" s="276"/>
      <c r="AJ229" s="276"/>
      <c r="AK229" s="276"/>
      <c r="AL229" s="276"/>
      <c r="AM229" s="276"/>
      <c r="AN229" s="276"/>
      <c r="AO229" s="276"/>
      <c r="AP229" s="276"/>
      <c r="AQ229" s="276"/>
      <c r="AR229" s="276"/>
      <c r="AS229" s="276"/>
      <c r="AT229" s="276"/>
      <c r="AU229" s="276"/>
      <c r="AV229" s="276"/>
      <c r="AW229" s="276"/>
      <c r="AX229" s="276"/>
      <c r="AY229" s="276"/>
    </row>
    <row r="230" spans="1:51" ht="15.75" customHeight="1" x14ac:dyDescent="0.25">
      <c r="A230" s="276"/>
      <c r="B230" s="276"/>
      <c r="C230" s="353"/>
      <c r="D230" s="276"/>
      <c r="E230" s="276"/>
      <c r="F230" s="276"/>
      <c r="G230" s="276"/>
      <c r="H230" s="276"/>
      <c r="I230" s="276"/>
      <c r="J230" s="353"/>
      <c r="K230" s="276"/>
      <c r="L230" s="276"/>
      <c r="M230" s="276"/>
      <c r="N230" s="276"/>
      <c r="O230" s="276"/>
      <c r="P230" s="276"/>
      <c r="Q230" s="276"/>
      <c r="R230" s="276"/>
      <c r="S230" s="276"/>
      <c r="T230" s="276"/>
      <c r="U230" s="276"/>
      <c r="V230" s="276"/>
      <c r="W230" s="276"/>
      <c r="X230" s="276"/>
      <c r="Y230" s="276"/>
      <c r="Z230" s="276"/>
      <c r="AA230" s="276"/>
      <c r="AB230" s="276"/>
      <c r="AC230" s="276"/>
      <c r="AD230" s="276"/>
      <c r="AE230" s="276"/>
      <c r="AF230" s="276"/>
      <c r="AG230" s="276"/>
      <c r="AH230" s="276"/>
      <c r="AI230" s="276"/>
      <c r="AJ230" s="276"/>
      <c r="AK230" s="276"/>
      <c r="AL230" s="276"/>
      <c r="AM230" s="276"/>
      <c r="AN230" s="276"/>
      <c r="AO230" s="276"/>
      <c r="AP230" s="276"/>
      <c r="AQ230" s="276"/>
      <c r="AR230" s="276"/>
      <c r="AS230" s="276"/>
      <c r="AT230" s="276"/>
      <c r="AU230" s="276"/>
      <c r="AV230" s="276"/>
      <c r="AW230" s="276"/>
      <c r="AX230" s="276"/>
      <c r="AY230" s="276"/>
    </row>
    <row r="231" spans="1:51" ht="15.75" customHeight="1" x14ac:dyDescent="0.25">
      <c r="A231" s="276"/>
      <c r="B231" s="276"/>
      <c r="C231" s="353"/>
      <c r="D231" s="276"/>
      <c r="E231" s="276"/>
      <c r="F231" s="276"/>
      <c r="G231" s="276"/>
      <c r="H231" s="276"/>
      <c r="I231" s="276"/>
      <c r="J231" s="353"/>
      <c r="K231" s="276"/>
      <c r="L231" s="276"/>
      <c r="M231" s="276"/>
      <c r="N231" s="276"/>
      <c r="O231" s="276"/>
      <c r="P231" s="276"/>
      <c r="Q231" s="276"/>
      <c r="R231" s="276"/>
      <c r="S231" s="276"/>
      <c r="T231" s="276"/>
      <c r="U231" s="276"/>
      <c r="V231" s="276"/>
      <c r="W231" s="276"/>
      <c r="X231" s="276"/>
      <c r="Y231" s="276"/>
      <c r="Z231" s="276"/>
      <c r="AA231" s="276"/>
      <c r="AB231" s="276"/>
      <c r="AC231" s="276"/>
      <c r="AD231" s="276"/>
      <c r="AE231" s="276"/>
      <c r="AF231" s="276"/>
      <c r="AG231" s="276"/>
      <c r="AH231" s="276"/>
      <c r="AI231" s="276"/>
      <c r="AJ231" s="276"/>
      <c r="AK231" s="276"/>
      <c r="AL231" s="276"/>
      <c r="AM231" s="276"/>
      <c r="AN231" s="276"/>
      <c r="AO231" s="276"/>
      <c r="AP231" s="276"/>
      <c r="AQ231" s="276"/>
      <c r="AR231" s="276"/>
      <c r="AS231" s="276"/>
      <c r="AT231" s="276"/>
      <c r="AU231" s="276"/>
      <c r="AV231" s="276"/>
      <c r="AW231" s="276"/>
      <c r="AX231" s="276"/>
      <c r="AY231" s="276"/>
    </row>
    <row r="232" spans="1:51" ht="15.75" customHeight="1" x14ac:dyDescent="0.25">
      <c r="A232" s="276"/>
      <c r="B232" s="276"/>
      <c r="C232" s="353"/>
      <c r="D232" s="276"/>
      <c r="E232" s="276"/>
      <c r="F232" s="276"/>
      <c r="G232" s="276"/>
      <c r="H232" s="276"/>
      <c r="I232" s="276"/>
      <c r="J232" s="353"/>
      <c r="K232" s="276"/>
      <c r="L232" s="276"/>
      <c r="M232" s="276"/>
      <c r="N232" s="276"/>
      <c r="O232" s="276"/>
      <c r="P232" s="276"/>
      <c r="Q232" s="276"/>
      <c r="R232" s="276"/>
      <c r="S232" s="276"/>
      <c r="T232" s="276"/>
      <c r="U232" s="276"/>
      <c r="V232" s="276"/>
      <c r="W232" s="276"/>
      <c r="X232" s="276"/>
      <c r="Y232" s="276"/>
      <c r="Z232" s="276"/>
      <c r="AA232" s="276"/>
      <c r="AB232" s="276"/>
      <c r="AC232" s="276"/>
      <c r="AD232" s="276"/>
      <c r="AE232" s="276"/>
      <c r="AF232" s="276"/>
      <c r="AG232" s="276"/>
      <c r="AH232" s="276"/>
      <c r="AI232" s="276"/>
      <c r="AJ232" s="276"/>
      <c r="AK232" s="276"/>
      <c r="AL232" s="276"/>
      <c r="AM232" s="276"/>
      <c r="AN232" s="276"/>
      <c r="AO232" s="276"/>
      <c r="AP232" s="276"/>
      <c r="AQ232" s="276"/>
      <c r="AR232" s="276"/>
      <c r="AS232" s="276"/>
      <c r="AT232" s="276"/>
      <c r="AU232" s="276"/>
      <c r="AV232" s="276"/>
      <c r="AW232" s="276"/>
      <c r="AX232" s="276"/>
      <c r="AY232" s="276"/>
    </row>
    <row r="233" spans="1:51" ht="15.75" customHeight="1" x14ac:dyDescent="0.25">
      <c r="A233" s="276"/>
      <c r="B233" s="276"/>
      <c r="C233" s="353"/>
      <c r="D233" s="276"/>
      <c r="E233" s="276"/>
      <c r="F233" s="276"/>
      <c r="G233" s="276"/>
      <c r="H233" s="276"/>
      <c r="I233" s="276"/>
      <c r="J233" s="353"/>
      <c r="K233" s="276"/>
      <c r="L233" s="276"/>
      <c r="M233" s="276"/>
      <c r="N233" s="276"/>
      <c r="O233" s="276"/>
      <c r="P233" s="276"/>
      <c r="Q233" s="276"/>
      <c r="R233" s="276"/>
      <c r="S233" s="276"/>
      <c r="T233" s="276"/>
      <c r="U233" s="276"/>
      <c r="V233" s="276"/>
      <c r="W233" s="276"/>
      <c r="X233" s="276"/>
      <c r="Y233" s="276"/>
      <c r="Z233" s="276"/>
      <c r="AA233" s="276"/>
      <c r="AB233" s="276"/>
      <c r="AC233" s="276"/>
      <c r="AD233" s="276"/>
      <c r="AE233" s="276"/>
      <c r="AF233" s="276"/>
      <c r="AG233" s="276"/>
      <c r="AH233" s="276"/>
      <c r="AI233" s="276"/>
      <c r="AJ233" s="276"/>
      <c r="AK233" s="276"/>
      <c r="AL233" s="276"/>
      <c r="AM233" s="276"/>
      <c r="AN233" s="276"/>
      <c r="AO233" s="276"/>
      <c r="AP233" s="276"/>
      <c r="AQ233" s="276"/>
      <c r="AR233" s="276"/>
      <c r="AS233" s="276"/>
      <c r="AT233" s="276"/>
      <c r="AU233" s="276"/>
      <c r="AV233" s="276"/>
      <c r="AW233" s="276"/>
      <c r="AX233" s="276"/>
      <c r="AY233" s="276"/>
    </row>
    <row r="234" spans="1:51" ht="15.75" customHeight="1" x14ac:dyDescent="0.25">
      <c r="A234" s="276"/>
      <c r="B234" s="276"/>
      <c r="C234" s="353"/>
      <c r="D234" s="276"/>
      <c r="E234" s="276"/>
      <c r="F234" s="276"/>
      <c r="G234" s="276"/>
      <c r="H234" s="276"/>
      <c r="I234" s="276"/>
      <c r="J234" s="353"/>
      <c r="K234" s="276"/>
      <c r="L234" s="276"/>
      <c r="M234" s="276"/>
      <c r="N234" s="276"/>
      <c r="O234" s="276"/>
      <c r="P234" s="276"/>
      <c r="Q234" s="276"/>
      <c r="R234" s="276"/>
      <c r="S234" s="276"/>
      <c r="T234" s="276"/>
      <c r="U234" s="276"/>
      <c r="V234" s="276"/>
      <c r="W234" s="276"/>
      <c r="X234" s="276"/>
      <c r="Y234" s="276"/>
      <c r="Z234" s="276"/>
      <c r="AA234" s="276"/>
      <c r="AB234" s="276"/>
      <c r="AC234" s="276"/>
      <c r="AD234" s="276"/>
      <c r="AE234" s="276"/>
      <c r="AF234" s="276"/>
      <c r="AG234" s="276"/>
      <c r="AH234" s="276"/>
      <c r="AI234" s="276"/>
      <c r="AJ234" s="276"/>
      <c r="AK234" s="276"/>
      <c r="AL234" s="276"/>
      <c r="AM234" s="276"/>
      <c r="AN234" s="276"/>
      <c r="AO234" s="276"/>
      <c r="AP234" s="276"/>
      <c r="AQ234" s="276"/>
      <c r="AR234" s="276"/>
      <c r="AS234" s="276"/>
      <c r="AT234" s="276"/>
      <c r="AU234" s="276"/>
      <c r="AV234" s="276"/>
      <c r="AW234" s="276"/>
      <c r="AX234" s="276"/>
      <c r="AY234" s="276"/>
    </row>
    <row r="235" spans="1:51" ht="15.75" customHeight="1" x14ac:dyDescent="0.25">
      <c r="A235" s="276"/>
      <c r="B235" s="276"/>
      <c r="C235" s="353"/>
      <c r="D235" s="276"/>
      <c r="E235" s="276"/>
      <c r="F235" s="276"/>
      <c r="G235" s="276"/>
      <c r="H235" s="276"/>
      <c r="I235" s="276"/>
      <c r="J235" s="353"/>
      <c r="K235" s="276"/>
      <c r="L235" s="276"/>
      <c r="M235" s="276"/>
      <c r="N235" s="276"/>
      <c r="O235" s="276"/>
      <c r="P235" s="276"/>
      <c r="Q235" s="276"/>
      <c r="R235" s="276"/>
      <c r="S235" s="276"/>
      <c r="T235" s="276"/>
      <c r="U235" s="276"/>
      <c r="V235" s="276"/>
      <c r="W235" s="276"/>
      <c r="X235" s="276"/>
      <c r="Y235" s="276"/>
      <c r="Z235" s="276"/>
      <c r="AA235" s="276"/>
      <c r="AB235" s="276"/>
      <c r="AC235" s="276"/>
      <c r="AD235" s="276"/>
      <c r="AE235" s="276"/>
      <c r="AF235" s="276"/>
      <c r="AG235" s="276"/>
      <c r="AH235" s="276"/>
      <c r="AI235" s="276"/>
      <c r="AJ235" s="276"/>
      <c r="AK235" s="276"/>
      <c r="AL235" s="276"/>
      <c r="AM235" s="276"/>
      <c r="AN235" s="276"/>
      <c r="AO235" s="276"/>
      <c r="AP235" s="276"/>
      <c r="AQ235" s="276"/>
      <c r="AR235" s="276"/>
      <c r="AS235" s="276"/>
      <c r="AT235" s="276"/>
      <c r="AU235" s="276"/>
      <c r="AV235" s="276"/>
      <c r="AW235" s="276"/>
      <c r="AX235" s="276"/>
      <c r="AY235" s="276"/>
    </row>
    <row r="236" spans="1:51" ht="15.75" customHeight="1" x14ac:dyDescent="0.25">
      <c r="A236" s="276"/>
      <c r="B236" s="276"/>
      <c r="C236" s="353"/>
      <c r="D236" s="276"/>
      <c r="E236" s="276"/>
      <c r="F236" s="276"/>
      <c r="G236" s="276"/>
      <c r="H236" s="276"/>
      <c r="I236" s="276"/>
      <c r="J236" s="353"/>
      <c r="K236" s="276"/>
      <c r="L236" s="276"/>
      <c r="M236" s="276"/>
      <c r="N236" s="276"/>
      <c r="O236" s="276"/>
      <c r="P236" s="276"/>
      <c r="Q236" s="276"/>
      <c r="R236" s="276"/>
      <c r="S236" s="276"/>
      <c r="T236" s="276"/>
      <c r="U236" s="276"/>
      <c r="V236" s="276"/>
      <c r="W236" s="276"/>
      <c r="X236" s="276"/>
      <c r="Y236" s="276"/>
      <c r="Z236" s="276"/>
      <c r="AA236" s="276"/>
      <c r="AB236" s="276"/>
      <c r="AC236" s="276"/>
      <c r="AD236" s="276"/>
      <c r="AE236" s="276"/>
      <c r="AF236" s="276"/>
      <c r="AG236" s="276"/>
      <c r="AH236" s="276"/>
      <c r="AI236" s="276"/>
      <c r="AJ236" s="276"/>
      <c r="AK236" s="276"/>
      <c r="AL236" s="276"/>
      <c r="AM236" s="276"/>
      <c r="AN236" s="276"/>
      <c r="AO236" s="276"/>
      <c r="AP236" s="276"/>
      <c r="AQ236" s="276"/>
      <c r="AR236" s="276"/>
      <c r="AS236" s="276"/>
      <c r="AT236" s="276"/>
      <c r="AU236" s="276"/>
      <c r="AV236" s="276"/>
      <c r="AW236" s="276"/>
      <c r="AX236" s="276"/>
      <c r="AY236" s="276"/>
    </row>
    <row r="237" spans="1:51" ht="15.75" customHeight="1" x14ac:dyDescent="0.25">
      <c r="A237" s="276"/>
      <c r="B237" s="276"/>
      <c r="C237" s="353"/>
      <c r="D237" s="276"/>
      <c r="E237" s="276"/>
      <c r="F237" s="276"/>
      <c r="G237" s="276"/>
      <c r="H237" s="276"/>
      <c r="I237" s="276"/>
      <c r="J237" s="353"/>
      <c r="K237" s="276"/>
      <c r="L237" s="276"/>
      <c r="M237" s="276"/>
      <c r="N237" s="276"/>
      <c r="O237" s="276"/>
      <c r="P237" s="276"/>
      <c r="Q237" s="276"/>
      <c r="R237" s="276"/>
      <c r="S237" s="276"/>
      <c r="T237" s="276"/>
      <c r="U237" s="276"/>
      <c r="V237" s="276"/>
      <c r="W237" s="276"/>
      <c r="X237" s="276"/>
      <c r="Y237" s="276"/>
      <c r="Z237" s="276"/>
      <c r="AA237" s="276"/>
      <c r="AB237" s="276"/>
      <c r="AC237" s="276"/>
      <c r="AD237" s="276"/>
      <c r="AE237" s="276"/>
      <c r="AF237" s="276"/>
      <c r="AG237" s="276"/>
      <c r="AH237" s="276"/>
      <c r="AI237" s="276"/>
      <c r="AJ237" s="276"/>
      <c r="AK237" s="276"/>
      <c r="AL237" s="276"/>
      <c r="AM237" s="276"/>
      <c r="AN237" s="276"/>
      <c r="AO237" s="276"/>
      <c r="AP237" s="276"/>
      <c r="AQ237" s="276"/>
      <c r="AR237" s="276"/>
      <c r="AS237" s="276"/>
      <c r="AT237" s="276"/>
      <c r="AU237" s="276"/>
      <c r="AV237" s="276"/>
      <c r="AW237" s="276"/>
      <c r="AX237" s="276"/>
      <c r="AY237" s="276"/>
    </row>
    <row r="238" spans="1:51" ht="15.75" customHeight="1" x14ac:dyDescent="0.25">
      <c r="A238" s="276"/>
      <c r="B238" s="276"/>
      <c r="C238" s="353"/>
      <c r="D238" s="276"/>
      <c r="E238" s="276"/>
      <c r="F238" s="276"/>
      <c r="G238" s="276"/>
      <c r="H238" s="276"/>
      <c r="I238" s="276"/>
      <c r="J238" s="353"/>
      <c r="K238" s="276"/>
      <c r="L238" s="276"/>
      <c r="M238" s="276"/>
      <c r="N238" s="276"/>
      <c r="O238" s="276"/>
      <c r="P238" s="276"/>
      <c r="Q238" s="276"/>
      <c r="R238" s="276"/>
      <c r="S238" s="276"/>
      <c r="T238" s="276"/>
      <c r="U238" s="276"/>
      <c r="V238" s="276"/>
      <c r="W238" s="276"/>
      <c r="X238" s="276"/>
      <c r="Y238" s="276"/>
      <c r="Z238" s="276"/>
      <c r="AA238" s="276"/>
      <c r="AB238" s="276"/>
      <c r="AC238" s="276"/>
      <c r="AD238" s="276"/>
      <c r="AE238" s="276"/>
      <c r="AF238" s="276"/>
      <c r="AG238" s="276"/>
      <c r="AH238" s="276"/>
      <c r="AI238" s="276"/>
      <c r="AJ238" s="276"/>
      <c r="AK238" s="276"/>
      <c r="AL238" s="276"/>
      <c r="AM238" s="276"/>
      <c r="AN238" s="276"/>
      <c r="AO238" s="276"/>
      <c r="AP238" s="276"/>
      <c r="AQ238" s="276"/>
      <c r="AR238" s="276"/>
      <c r="AS238" s="276"/>
      <c r="AT238" s="276"/>
      <c r="AU238" s="276"/>
      <c r="AV238" s="276"/>
      <c r="AW238" s="276"/>
      <c r="AX238" s="276"/>
      <c r="AY238" s="276"/>
    </row>
    <row r="239" spans="1:51" ht="15.75" customHeight="1" x14ac:dyDescent="0.25">
      <c r="A239" s="276"/>
      <c r="B239" s="276"/>
      <c r="C239" s="353"/>
      <c r="D239" s="276"/>
      <c r="E239" s="276"/>
      <c r="F239" s="276"/>
      <c r="G239" s="276"/>
      <c r="H239" s="276"/>
      <c r="I239" s="276"/>
      <c r="J239" s="353"/>
      <c r="K239" s="276"/>
      <c r="L239" s="276"/>
      <c r="M239" s="276"/>
      <c r="N239" s="276"/>
      <c r="O239" s="276"/>
      <c r="P239" s="276"/>
      <c r="Q239" s="276"/>
      <c r="R239" s="276"/>
      <c r="S239" s="276"/>
      <c r="T239" s="276"/>
      <c r="U239" s="276"/>
      <c r="V239" s="276"/>
      <c r="W239" s="276"/>
      <c r="X239" s="276"/>
      <c r="Y239" s="276"/>
      <c r="Z239" s="276"/>
      <c r="AA239" s="276"/>
      <c r="AB239" s="276"/>
      <c r="AC239" s="276"/>
      <c r="AD239" s="276"/>
      <c r="AE239" s="276"/>
      <c r="AF239" s="276"/>
      <c r="AG239" s="276"/>
      <c r="AH239" s="276"/>
      <c r="AI239" s="276"/>
      <c r="AJ239" s="276"/>
      <c r="AK239" s="276"/>
      <c r="AL239" s="276"/>
      <c r="AM239" s="276"/>
      <c r="AN239" s="276"/>
      <c r="AO239" s="276"/>
      <c r="AP239" s="276"/>
      <c r="AQ239" s="276"/>
      <c r="AR239" s="276"/>
      <c r="AS239" s="276"/>
      <c r="AT239" s="276"/>
      <c r="AU239" s="276"/>
      <c r="AV239" s="276"/>
      <c r="AW239" s="276"/>
      <c r="AX239" s="276"/>
      <c r="AY239" s="276"/>
    </row>
    <row r="240" spans="1:51" ht="15.75" customHeight="1" x14ac:dyDescent="0.25">
      <c r="A240" s="276"/>
      <c r="B240" s="276"/>
      <c r="C240" s="353"/>
      <c r="D240" s="276"/>
      <c r="E240" s="276"/>
      <c r="F240" s="276"/>
      <c r="G240" s="276"/>
      <c r="H240" s="276"/>
      <c r="I240" s="276"/>
      <c r="J240" s="353"/>
      <c r="K240" s="276"/>
      <c r="L240" s="276"/>
      <c r="M240" s="276"/>
      <c r="N240" s="276"/>
      <c r="O240" s="276"/>
      <c r="P240" s="276"/>
      <c r="Q240" s="276"/>
      <c r="R240" s="276"/>
      <c r="S240" s="276"/>
      <c r="T240" s="276"/>
      <c r="U240" s="276"/>
      <c r="V240" s="276"/>
      <c r="W240" s="276"/>
      <c r="X240" s="276"/>
      <c r="Y240" s="276"/>
      <c r="Z240" s="276"/>
      <c r="AA240" s="276"/>
      <c r="AB240" s="276"/>
      <c r="AC240" s="276"/>
      <c r="AD240" s="276"/>
      <c r="AE240" s="276"/>
      <c r="AF240" s="276"/>
      <c r="AG240" s="276"/>
      <c r="AH240" s="276"/>
      <c r="AI240" s="276"/>
      <c r="AJ240" s="276"/>
      <c r="AK240" s="276"/>
      <c r="AL240" s="276"/>
      <c r="AM240" s="276"/>
      <c r="AN240" s="276"/>
      <c r="AO240" s="276"/>
      <c r="AP240" s="276"/>
      <c r="AQ240" s="276"/>
      <c r="AR240" s="276"/>
      <c r="AS240" s="276"/>
      <c r="AT240" s="276"/>
      <c r="AU240" s="276"/>
      <c r="AV240" s="276"/>
      <c r="AW240" s="276"/>
      <c r="AX240" s="276"/>
      <c r="AY240" s="276"/>
    </row>
    <row r="241" spans="1:51" ht="15.75" customHeight="1" x14ac:dyDescent="0.25">
      <c r="A241" s="276"/>
      <c r="B241" s="276"/>
      <c r="C241" s="353"/>
      <c r="D241" s="276"/>
      <c r="E241" s="276"/>
      <c r="F241" s="276"/>
      <c r="G241" s="276"/>
      <c r="H241" s="276"/>
      <c r="I241" s="276"/>
      <c r="J241" s="353"/>
      <c r="K241" s="276"/>
      <c r="L241" s="276"/>
      <c r="M241" s="276"/>
      <c r="N241" s="276"/>
      <c r="O241" s="276"/>
      <c r="P241" s="276"/>
      <c r="Q241" s="276"/>
      <c r="R241" s="276"/>
      <c r="S241" s="276"/>
      <c r="T241" s="276"/>
      <c r="U241" s="276"/>
      <c r="V241" s="276"/>
      <c r="W241" s="276"/>
      <c r="X241" s="276"/>
      <c r="Y241" s="276"/>
      <c r="Z241" s="276"/>
      <c r="AA241" s="276"/>
      <c r="AB241" s="276"/>
      <c r="AC241" s="276"/>
      <c r="AD241" s="276"/>
      <c r="AE241" s="276"/>
      <c r="AF241" s="276"/>
      <c r="AG241" s="276"/>
      <c r="AH241" s="276"/>
      <c r="AI241" s="276"/>
      <c r="AJ241" s="276"/>
      <c r="AK241" s="276"/>
      <c r="AL241" s="276"/>
      <c r="AM241" s="276"/>
      <c r="AN241" s="276"/>
      <c r="AO241" s="276"/>
      <c r="AP241" s="276"/>
      <c r="AQ241" s="276"/>
      <c r="AR241" s="276"/>
      <c r="AS241" s="276"/>
      <c r="AT241" s="276"/>
      <c r="AU241" s="276"/>
      <c r="AV241" s="276"/>
      <c r="AW241" s="276"/>
      <c r="AX241" s="276"/>
      <c r="AY241" s="276"/>
    </row>
    <row r="242" spans="1:51" ht="15.75" customHeight="1" x14ac:dyDescent="0.25">
      <c r="A242" s="276"/>
      <c r="B242" s="276"/>
      <c r="C242" s="353"/>
      <c r="D242" s="276"/>
      <c r="E242" s="276"/>
      <c r="F242" s="276"/>
      <c r="G242" s="276"/>
      <c r="H242" s="276"/>
      <c r="I242" s="276"/>
      <c r="J242" s="353"/>
      <c r="K242" s="276"/>
      <c r="L242" s="276"/>
      <c r="M242" s="276"/>
      <c r="N242" s="276"/>
      <c r="O242" s="276"/>
      <c r="P242" s="276"/>
      <c r="Q242" s="276"/>
      <c r="R242" s="276"/>
      <c r="S242" s="276"/>
      <c r="T242" s="276"/>
      <c r="U242" s="276"/>
      <c r="V242" s="276"/>
      <c r="W242" s="276"/>
      <c r="X242" s="276"/>
      <c r="Y242" s="276"/>
      <c r="Z242" s="276"/>
      <c r="AA242" s="276"/>
      <c r="AB242" s="276"/>
      <c r="AC242" s="276"/>
      <c r="AD242" s="276"/>
      <c r="AE242" s="276"/>
      <c r="AF242" s="276"/>
      <c r="AG242" s="276"/>
      <c r="AH242" s="276"/>
      <c r="AI242" s="276"/>
      <c r="AJ242" s="276"/>
      <c r="AK242" s="276"/>
      <c r="AL242" s="276"/>
      <c r="AM242" s="276"/>
      <c r="AN242" s="276"/>
      <c r="AO242" s="276"/>
      <c r="AP242" s="276"/>
      <c r="AQ242" s="276"/>
      <c r="AR242" s="276"/>
      <c r="AS242" s="276"/>
      <c r="AT242" s="276"/>
      <c r="AU242" s="276"/>
      <c r="AV242" s="276"/>
      <c r="AW242" s="276"/>
      <c r="AX242" s="276"/>
      <c r="AY242" s="276"/>
    </row>
    <row r="243" spans="1:51" ht="15.75" customHeight="1" x14ac:dyDescent="0.25">
      <c r="A243" s="276"/>
      <c r="B243" s="276"/>
      <c r="C243" s="353"/>
      <c r="D243" s="276"/>
      <c r="E243" s="276"/>
      <c r="F243" s="276"/>
      <c r="G243" s="276"/>
      <c r="H243" s="276"/>
      <c r="I243" s="276"/>
      <c r="J243" s="353"/>
      <c r="K243" s="276"/>
      <c r="L243" s="276"/>
      <c r="M243" s="276"/>
      <c r="N243" s="276"/>
      <c r="O243" s="276"/>
      <c r="P243" s="276"/>
      <c r="Q243" s="276"/>
      <c r="R243" s="276"/>
      <c r="S243" s="276"/>
      <c r="T243" s="276"/>
      <c r="U243" s="276"/>
      <c r="V243" s="276"/>
      <c r="W243" s="276"/>
      <c r="X243" s="276"/>
      <c r="Y243" s="276"/>
      <c r="Z243" s="276"/>
      <c r="AA243" s="276"/>
      <c r="AB243" s="276"/>
      <c r="AC243" s="276"/>
      <c r="AD243" s="276"/>
      <c r="AE243" s="276"/>
      <c r="AF243" s="276"/>
      <c r="AG243" s="276"/>
      <c r="AH243" s="276"/>
      <c r="AI243" s="276"/>
      <c r="AJ243" s="276"/>
      <c r="AK243" s="276"/>
      <c r="AL243" s="276"/>
      <c r="AM243" s="276"/>
      <c r="AN243" s="276"/>
      <c r="AO243" s="276"/>
      <c r="AP243" s="276"/>
      <c r="AQ243" s="276"/>
      <c r="AR243" s="276"/>
      <c r="AS243" s="276"/>
      <c r="AT243" s="276"/>
      <c r="AU243" s="276"/>
      <c r="AV243" s="276"/>
      <c r="AW243" s="276"/>
      <c r="AX243" s="276"/>
      <c r="AY243" s="276"/>
    </row>
    <row r="244" spans="1:51" ht="15.75" customHeight="1" x14ac:dyDescent="0.25">
      <c r="A244" s="276"/>
      <c r="B244" s="276"/>
      <c r="C244" s="353"/>
      <c r="D244" s="276"/>
      <c r="E244" s="276"/>
      <c r="F244" s="276"/>
      <c r="G244" s="276"/>
      <c r="H244" s="276"/>
      <c r="I244" s="276"/>
      <c r="J244" s="353"/>
      <c r="K244" s="276"/>
      <c r="L244" s="276"/>
      <c r="M244" s="276"/>
      <c r="N244" s="276"/>
      <c r="O244" s="276"/>
      <c r="P244" s="276"/>
      <c r="Q244" s="276"/>
      <c r="R244" s="276"/>
      <c r="S244" s="276"/>
      <c r="T244" s="276"/>
      <c r="U244" s="276"/>
      <c r="V244" s="276"/>
      <c r="W244" s="276"/>
      <c r="X244" s="276"/>
      <c r="Y244" s="276"/>
      <c r="Z244" s="276"/>
      <c r="AA244" s="276"/>
      <c r="AB244" s="276"/>
      <c r="AC244" s="276"/>
      <c r="AD244" s="276"/>
      <c r="AE244" s="276"/>
      <c r="AF244" s="276"/>
      <c r="AG244" s="276"/>
      <c r="AH244" s="276"/>
      <c r="AI244" s="276"/>
      <c r="AJ244" s="276"/>
      <c r="AK244" s="276"/>
      <c r="AL244" s="276"/>
      <c r="AM244" s="276"/>
      <c r="AN244" s="276"/>
      <c r="AO244" s="276"/>
      <c r="AP244" s="276"/>
      <c r="AQ244" s="276"/>
      <c r="AR244" s="276"/>
      <c r="AS244" s="276"/>
      <c r="AT244" s="276"/>
      <c r="AU244" s="276"/>
      <c r="AV244" s="276"/>
      <c r="AW244" s="276"/>
      <c r="AX244" s="276"/>
      <c r="AY244" s="276"/>
    </row>
    <row r="245" spans="1:51" ht="15.75" customHeight="1" x14ac:dyDescent="0.25">
      <c r="A245" s="276"/>
      <c r="B245" s="276"/>
      <c r="C245" s="353"/>
      <c r="D245" s="276"/>
      <c r="E245" s="276"/>
      <c r="F245" s="276"/>
      <c r="G245" s="276"/>
      <c r="H245" s="276"/>
      <c r="I245" s="276"/>
      <c r="J245" s="353"/>
      <c r="K245" s="276"/>
      <c r="L245" s="276"/>
      <c r="M245" s="276"/>
      <c r="N245" s="276"/>
      <c r="O245" s="276"/>
      <c r="P245" s="276"/>
      <c r="Q245" s="276"/>
      <c r="R245" s="276"/>
      <c r="S245" s="276"/>
      <c r="T245" s="276"/>
      <c r="U245" s="276"/>
      <c r="V245" s="276"/>
      <c r="W245" s="276"/>
      <c r="X245" s="276"/>
      <c r="Y245" s="276"/>
      <c r="Z245" s="276"/>
      <c r="AA245" s="276"/>
      <c r="AB245" s="276"/>
      <c r="AC245" s="276"/>
      <c r="AD245" s="276"/>
      <c r="AE245" s="276"/>
      <c r="AF245" s="276"/>
      <c r="AG245" s="276"/>
      <c r="AH245" s="276"/>
      <c r="AI245" s="276"/>
      <c r="AJ245" s="276"/>
      <c r="AK245" s="276"/>
      <c r="AL245" s="276"/>
      <c r="AM245" s="276"/>
      <c r="AN245" s="276"/>
      <c r="AO245" s="276"/>
      <c r="AP245" s="276"/>
      <c r="AQ245" s="276"/>
      <c r="AR245" s="276"/>
      <c r="AS245" s="276"/>
      <c r="AT245" s="276"/>
      <c r="AU245" s="276"/>
      <c r="AV245" s="276"/>
      <c r="AW245" s="276"/>
      <c r="AX245" s="276"/>
      <c r="AY245" s="276"/>
    </row>
    <row r="246" spans="1:51" ht="15.75" customHeight="1" x14ac:dyDescent="0.25">
      <c r="A246" s="276"/>
      <c r="B246" s="276"/>
      <c r="C246" s="353"/>
      <c r="D246" s="276"/>
      <c r="E246" s="276"/>
      <c r="F246" s="276"/>
      <c r="G246" s="276"/>
      <c r="H246" s="276"/>
      <c r="I246" s="276"/>
      <c r="J246" s="353"/>
      <c r="K246" s="276"/>
      <c r="L246" s="276"/>
      <c r="M246" s="276"/>
      <c r="N246" s="276"/>
      <c r="O246" s="276"/>
      <c r="P246" s="276"/>
      <c r="Q246" s="276"/>
      <c r="R246" s="276"/>
      <c r="S246" s="276"/>
      <c r="T246" s="276"/>
      <c r="U246" s="276"/>
      <c r="V246" s="276"/>
      <c r="W246" s="276"/>
      <c r="X246" s="276"/>
      <c r="Y246" s="276"/>
      <c r="Z246" s="276"/>
      <c r="AA246" s="276"/>
      <c r="AB246" s="276"/>
      <c r="AC246" s="276"/>
      <c r="AD246" s="276"/>
      <c r="AE246" s="276"/>
      <c r="AF246" s="276"/>
      <c r="AG246" s="276"/>
      <c r="AH246" s="276"/>
      <c r="AI246" s="276"/>
      <c r="AJ246" s="276"/>
      <c r="AK246" s="276"/>
      <c r="AL246" s="276"/>
      <c r="AM246" s="276"/>
      <c r="AN246" s="276"/>
      <c r="AO246" s="276"/>
      <c r="AP246" s="276"/>
      <c r="AQ246" s="276"/>
      <c r="AR246" s="276"/>
      <c r="AS246" s="276"/>
      <c r="AT246" s="276"/>
      <c r="AU246" s="276"/>
      <c r="AV246" s="276"/>
      <c r="AW246" s="276"/>
      <c r="AX246" s="276"/>
      <c r="AY246" s="276"/>
    </row>
    <row r="247" spans="1:51" ht="15.75" customHeight="1" x14ac:dyDescent="0.25">
      <c r="A247" s="276"/>
      <c r="B247" s="276"/>
      <c r="C247" s="353"/>
      <c r="D247" s="276"/>
      <c r="E247" s="276"/>
      <c r="F247" s="276"/>
      <c r="G247" s="276"/>
      <c r="H247" s="276"/>
      <c r="I247" s="276"/>
      <c r="J247" s="353"/>
      <c r="K247" s="276"/>
      <c r="L247" s="276"/>
      <c r="M247" s="276"/>
      <c r="N247" s="276"/>
      <c r="O247" s="276"/>
      <c r="P247" s="276"/>
      <c r="Q247" s="276"/>
      <c r="R247" s="276"/>
      <c r="S247" s="276"/>
      <c r="T247" s="276"/>
      <c r="U247" s="276"/>
      <c r="V247" s="276"/>
      <c r="W247" s="276"/>
      <c r="X247" s="276"/>
      <c r="Y247" s="276"/>
      <c r="Z247" s="276"/>
      <c r="AA247" s="276"/>
      <c r="AB247" s="276"/>
      <c r="AC247" s="276"/>
      <c r="AD247" s="276"/>
      <c r="AE247" s="276"/>
      <c r="AF247" s="276"/>
      <c r="AG247" s="276"/>
      <c r="AH247" s="276"/>
      <c r="AI247" s="276"/>
      <c r="AJ247" s="276"/>
      <c r="AK247" s="276"/>
      <c r="AL247" s="276"/>
      <c r="AM247" s="276"/>
      <c r="AN247" s="276"/>
      <c r="AO247" s="276"/>
      <c r="AP247" s="276"/>
      <c r="AQ247" s="276"/>
      <c r="AR247" s="276"/>
      <c r="AS247" s="276"/>
      <c r="AT247" s="276"/>
      <c r="AU247" s="276"/>
      <c r="AV247" s="276"/>
      <c r="AW247" s="276"/>
      <c r="AX247" s="276"/>
      <c r="AY247" s="276"/>
    </row>
    <row r="248" spans="1:51" ht="15.75" customHeight="1" x14ac:dyDescent="0.25">
      <c r="A248" s="276"/>
      <c r="B248" s="276"/>
      <c r="C248" s="353"/>
      <c r="D248" s="276"/>
      <c r="E248" s="276"/>
      <c r="F248" s="276"/>
      <c r="G248" s="276"/>
      <c r="H248" s="276"/>
      <c r="I248" s="276"/>
      <c r="J248" s="353"/>
      <c r="K248" s="276"/>
      <c r="L248" s="276"/>
      <c r="M248" s="276"/>
      <c r="N248" s="276"/>
      <c r="O248" s="276"/>
      <c r="P248" s="276"/>
      <c r="Q248" s="276"/>
      <c r="R248" s="276"/>
      <c r="S248" s="276"/>
      <c r="T248" s="276"/>
      <c r="U248" s="276"/>
      <c r="V248" s="276"/>
      <c r="W248" s="276"/>
      <c r="X248" s="276"/>
      <c r="Y248" s="276"/>
      <c r="Z248" s="276"/>
      <c r="AA248" s="276"/>
      <c r="AB248" s="276"/>
      <c r="AC248" s="276"/>
      <c r="AD248" s="276"/>
      <c r="AE248" s="276"/>
      <c r="AF248" s="276"/>
      <c r="AG248" s="276"/>
      <c r="AH248" s="276"/>
      <c r="AI248" s="276"/>
      <c r="AJ248" s="276"/>
      <c r="AK248" s="276"/>
      <c r="AL248" s="276"/>
      <c r="AM248" s="276"/>
      <c r="AN248" s="276"/>
      <c r="AO248" s="276"/>
      <c r="AP248" s="276"/>
      <c r="AQ248" s="276"/>
      <c r="AR248" s="276"/>
      <c r="AS248" s="276"/>
      <c r="AT248" s="276"/>
      <c r="AU248" s="276"/>
      <c r="AV248" s="276"/>
      <c r="AW248" s="276"/>
      <c r="AX248" s="276"/>
      <c r="AY248" s="276"/>
    </row>
    <row r="249" spans="1:51" ht="15.75" customHeight="1" x14ac:dyDescent="0.25">
      <c r="A249" s="276"/>
      <c r="B249" s="276"/>
      <c r="C249" s="353"/>
      <c r="D249" s="276"/>
      <c r="E249" s="276"/>
      <c r="F249" s="276"/>
      <c r="G249" s="276"/>
      <c r="H249" s="276"/>
      <c r="I249" s="276"/>
      <c r="J249" s="353"/>
      <c r="K249" s="276"/>
      <c r="L249" s="276"/>
      <c r="M249" s="276"/>
      <c r="N249" s="276"/>
      <c r="O249" s="276"/>
      <c r="P249" s="276"/>
      <c r="Q249" s="276"/>
      <c r="R249" s="276"/>
      <c r="S249" s="276"/>
      <c r="T249" s="276"/>
      <c r="U249" s="276"/>
      <c r="V249" s="276"/>
      <c r="W249" s="276"/>
      <c r="X249" s="276"/>
      <c r="Y249" s="276"/>
      <c r="Z249" s="276"/>
      <c r="AA249" s="276"/>
      <c r="AB249" s="276"/>
      <c r="AC249" s="276"/>
      <c r="AD249" s="276"/>
      <c r="AE249" s="276"/>
      <c r="AF249" s="276"/>
      <c r="AG249" s="276"/>
      <c r="AH249" s="276"/>
      <c r="AI249" s="276"/>
      <c r="AJ249" s="276"/>
      <c r="AK249" s="276"/>
      <c r="AL249" s="276"/>
      <c r="AM249" s="276"/>
      <c r="AN249" s="276"/>
      <c r="AO249" s="276"/>
      <c r="AP249" s="276"/>
      <c r="AQ249" s="276"/>
      <c r="AR249" s="276"/>
      <c r="AS249" s="276"/>
      <c r="AT249" s="276"/>
      <c r="AU249" s="276"/>
      <c r="AV249" s="276"/>
      <c r="AW249" s="276"/>
      <c r="AX249" s="276"/>
      <c r="AY249" s="276"/>
    </row>
    <row r="250" spans="1:51" ht="15.75" customHeight="1" x14ac:dyDescent="0.25">
      <c r="A250" s="276"/>
      <c r="B250" s="276"/>
      <c r="C250" s="353"/>
      <c r="D250" s="276"/>
      <c r="E250" s="276"/>
      <c r="F250" s="276"/>
      <c r="G250" s="276"/>
      <c r="H250" s="276"/>
      <c r="I250" s="276"/>
      <c r="J250" s="353"/>
      <c r="K250" s="276"/>
      <c r="L250" s="276"/>
      <c r="M250" s="276"/>
      <c r="N250" s="276"/>
      <c r="O250" s="276"/>
      <c r="P250" s="276"/>
      <c r="Q250" s="276"/>
      <c r="R250" s="276"/>
      <c r="S250" s="276"/>
      <c r="T250" s="276"/>
      <c r="U250" s="276"/>
      <c r="V250" s="276"/>
      <c r="W250" s="276"/>
      <c r="X250" s="276"/>
      <c r="Y250" s="276"/>
      <c r="Z250" s="276"/>
      <c r="AA250" s="276"/>
      <c r="AB250" s="276"/>
      <c r="AC250" s="276"/>
      <c r="AD250" s="276"/>
      <c r="AE250" s="276"/>
      <c r="AF250" s="276"/>
      <c r="AG250" s="276"/>
      <c r="AH250" s="276"/>
      <c r="AI250" s="276"/>
      <c r="AJ250" s="276"/>
      <c r="AK250" s="276"/>
      <c r="AL250" s="276"/>
      <c r="AM250" s="276"/>
      <c r="AN250" s="276"/>
      <c r="AO250" s="276"/>
      <c r="AP250" s="276"/>
      <c r="AQ250" s="276"/>
      <c r="AR250" s="276"/>
      <c r="AS250" s="276"/>
      <c r="AT250" s="276"/>
      <c r="AU250" s="276"/>
      <c r="AV250" s="276"/>
      <c r="AW250" s="276"/>
      <c r="AX250" s="276"/>
      <c r="AY250" s="276"/>
    </row>
    <row r="251" spans="1:51" ht="15.75" customHeight="1" x14ac:dyDescent="0.25">
      <c r="A251" s="271"/>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c r="AM251" s="271"/>
      <c r="AN251" s="271"/>
      <c r="AO251" s="271"/>
      <c r="AP251" s="271"/>
      <c r="AQ251" s="271"/>
      <c r="AR251" s="271"/>
      <c r="AS251" s="271"/>
      <c r="AT251" s="271"/>
      <c r="AU251" s="271"/>
      <c r="AV251" s="271"/>
      <c r="AW251" s="271"/>
      <c r="AX251" s="271"/>
      <c r="AY251" s="271"/>
    </row>
    <row r="252" spans="1:51" ht="15.75" customHeight="1" x14ac:dyDescent="0.25">
      <c r="A252" s="271"/>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c r="AM252" s="271"/>
      <c r="AN252" s="271"/>
      <c r="AO252" s="271"/>
      <c r="AP252" s="271"/>
      <c r="AQ252" s="271"/>
      <c r="AR252" s="271"/>
      <c r="AS252" s="271"/>
      <c r="AT252" s="271"/>
      <c r="AU252" s="271"/>
      <c r="AV252" s="271"/>
      <c r="AW252" s="271"/>
      <c r="AX252" s="271"/>
      <c r="AY252" s="271"/>
    </row>
    <row r="253" spans="1:51" ht="15.75" customHeight="1" x14ac:dyDescent="0.25">
      <c r="A253" s="271"/>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c r="AM253" s="271"/>
      <c r="AN253" s="271"/>
      <c r="AO253" s="271"/>
      <c r="AP253" s="271"/>
      <c r="AQ253" s="271"/>
      <c r="AR253" s="271"/>
      <c r="AS253" s="271"/>
      <c r="AT253" s="271"/>
      <c r="AU253" s="271"/>
      <c r="AV253" s="271"/>
      <c r="AW253" s="271"/>
      <c r="AX253" s="271"/>
      <c r="AY253" s="271"/>
    </row>
    <row r="254" spans="1:51" ht="15.75" customHeight="1" x14ac:dyDescent="0.25">
      <c r="A254" s="271"/>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c r="AM254" s="271"/>
      <c r="AN254" s="271"/>
      <c r="AO254" s="271"/>
      <c r="AP254" s="271"/>
      <c r="AQ254" s="271"/>
      <c r="AR254" s="271"/>
      <c r="AS254" s="271"/>
      <c r="AT254" s="271"/>
      <c r="AU254" s="271"/>
      <c r="AV254" s="271"/>
      <c r="AW254" s="271"/>
      <c r="AX254" s="271"/>
      <c r="AY254" s="271"/>
    </row>
    <row r="255" spans="1:51" ht="15.75" customHeight="1" x14ac:dyDescent="0.25">
      <c r="A255" s="271"/>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c r="AM255" s="271"/>
      <c r="AN255" s="271"/>
      <c r="AO255" s="271"/>
      <c r="AP255" s="271"/>
      <c r="AQ255" s="271"/>
      <c r="AR255" s="271"/>
      <c r="AS255" s="271"/>
      <c r="AT255" s="271"/>
      <c r="AU255" s="271"/>
      <c r="AV255" s="271"/>
      <c r="AW255" s="271"/>
      <c r="AX255" s="271"/>
      <c r="AY255" s="271"/>
    </row>
    <row r="256" spans="1:51" ht="15.75" customHeight="1" x14ac:dyDescent="0.25">
      <c r="A256" s="271"/>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c r="AM256" s="271"/>
      <c r="AN256" s="271"/>
      <c r="AO256" s="271"/>
      <c r="AP256" s="271"/>
      <c r="AQ256" s="271"/>
      <c r="AR256" s="271"/>
      <c r="AS256" s="271"/>
      <c r="AT256" s="271"/>
      <c r="AU256" s="271"/>
      <c r="AV256" s="271"/>
      <c r="AW256" s="271"/>
      <c r="AX256" s="271"/>
      <c r="AY256" s="271"/>
    </row>
    <row r="257" spans="1:51" ht="15.75" customHeight="1" x14ac:dyDescent="0.25">
      <c r="A257" s="271"/>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c r="AM257" s="271"/>
      <c r="AN257" s="271"/>
      <c r="AO257" s="271"/>
      <c r="AP257" s="271"/>
      <c r="AQ257" s="271"/>
      <c r="AR257" s="271"/>
      <c r="AS257" s="271"/>
      <c r="AT257" s="271"/>
      <c r="AU257" s="271"/>
      <c r="AV257" s="271"/>
      <c r="AW257" s="271"/>
      <c r="AX257" s="271"/>
      <c r="AY257" s="271"/>
    </row>
    <row r="258" spans="1:51" ht="15.75" customHeight="1" x14ac:dyDescent="0.25">
      <c r="A258" s="271"/>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c r="AM258" s="271"/>
      <c r="AN258" s="271"/>
      <c r="AO258" s="271"/>
      <c r="AP258" s="271"/>
      <c r="AQ258" s="271"/>
      <c r="AR258" s="271"/>
      <c r="AS258" s="271"/>
      <c r="AT258" s="271"/>
      <c r="AU258" s="271"/>
      <c r="AV258" s="271"/>
      <c r="AW258" s="271"/>
      <c r="AX258" s="271"/>
      <c r="AY258" s="271"/>
    </row>
    <row r="259" spans="1:51" ht="15.75" customHeight="1" x14ac:dyDescent="0.25">
      <c r="A259" s="271"/>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c r="AM259" s="271"/>
      <c r="AN259" s="271"/>
      <c r="AO259" s="271"/>
      <c r="AP259" s="271"/>
      <c r="AQ259" s="271"/>
      <c r="AR259" s="271"/>
      <c r="AS259" s="271"/>
      <c r="AT259" s="271"/>
      <c r="AU259" s="271"/>
      <c r="AV259" s="271"/>
      <c r="AW259" s="271"/>
      <c r="AX259" s="271"/>
      <c r="AY259" s="271"/>
    </row>
    <row r="260" spans="1:51" ht="15.75" customHeight="1" x14ac:dyDescent="0.25">
      <c r="A260" s="271"/>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c r="AM260" s="271"/>
      <c r="AN260" s="271"/>
      <c r="AO260" s="271"/>
      <c r="AP260" s="271"/>
      <c r="AQ260" s="271"/>
      <c r="AR260" s="271"/>
      <c r="AS260" s="271"/>
      <c r="AT260" s="271"/>
      <c r="AU260" s="271"/>
      <c r="AV260" s="271"/>
      <c r="AW260" s="271"/>
      <c r="AX260" s="271"/>
      <c r="AY260" s="271"/>
    </row>
    <row r="261" spans="1:51" ht="15.75" customHeight="1" x14ac:dyDescent="0.25">
      <c r="A261" s="271"/>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c r="AM261" s="271"/>
      <c r="AN261" s="271"/>
      <c r="AO261" s="271"/>
      <c r="AP261" s="271"/>
      <c r="AQ261" s="271"/>
      <c r="AR261" s="271"/>
      <c r="AS261" s="271"/>
      <c r="AT261" s="271"/>
      <c r="AU261" s="271"/>
      <c r="AV261" s="271"/>
      <c r="AW261" s="271"/>
      <c r="AX261" s="271"/>
      <c r="AY261" s="271"/>
    </row>
    <row r="262" spans="1:51" ht="15.75" customHeight="1" x14ac:dyDescent="0.25">
      <c r="A262" s="271"/>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c r="AM262" s="271"/>
      <c r="AN262" s="271"/>
      <c r="AO262" s="271"/>
      <c r="AP262" s="271"/>
      <c r="AQ262" s="271"/>
      <c r="AR262" s="271"/>
      <c r="AS262" s="271"/>
      <c r="AT262" s="271"/>
      <c r="AU262" s="271"/>
      <c r="AV262" s="271"/>
      <c r="AW262" s="271"/>
      <c r="AX262" s="271"/>
      <c r="AY262" s="271"/>
    </row>
    <row r="263" spans="1:51" ht="15.75" customHeight="1" x14ac:dyDescent="0.25">
      <c r="A263" s="271"/>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c r="AM263" s="271"/>
      <c r="AN263" s="271"/>
      <c r="AO263" s="271"/>
      <c r="AP263" s="271"/>
      <c r="AQ263" s="271"/>
      <c r="AR263" s="271"/>
      <c r="AS263" s="271"/>
      <c r="AT263" s="271"/>
      <c r="AU263" s="271"/>
      <c r="AV263" s="271"/>
      <c r="AW263" s="271"/>
      <c r="AX263" s="271"/>
      <c r="AY263" s="271"/>
    </row>
    <row r="264" spans="1:51" ht="15.75" customHeight="1" x14ac:dyDescent="0.25">
      <c r="A264" s="271"/>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c r="AM264" s="271"/>
      <c r="AN264" s="271"/>
      <c r="AO264" s="271"/>
      <c r="AP264" s="271"/>
      <c r="AQ264" s="271"/>
      <c r="AR264" s="271"/>
      <c r="AS264" s="271"/>
      <c r="AT264" s="271"/>
      <c r="AU264" s="271"/>
      <c r="AV264" s="271"/>
      <c r="AW264" s="271"/>
      <c r="AX264" s="271"/>
      <c r="AY264" s="271"/>
    </row>
    <row r="265" spans="1:51" ht="15.75" customHeight="1" x14ac:dyDescent="0.25">
      <c r="A265" s="271"/>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c r="AL265" s="271"/>
      <c r="AM265" s="271"/>
      <c r="AN265" s="271"/>
      <c r="AO265" s="271"/>
      <c r="AP265" s="271"/>
      <c r="AQ265" s="271"/>
      <c r="AR265" s="271"/>
      <c r="AS265" s="271"/>
      <c r="AT265" s="271"/>
      <c r="AU265" s="271"/>
      <c r="AV265" s="271"/>
      <c r="AW265" s="271"/>
      <c r="AX265" s="271"/>
      <c r="AY265" s="271"/>
    </row>
    <row r="266" spans="1:51" ht="15.75" customHeight="1" x14ac:dyDescent="0.25">
      <c r="A266" s="271"/>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c r="AL266" s="271"/>
      <c r="AM266" s="271"/>
      <c r="AN266" s="271"/>
      <c r="AO266" s="271"/>
      <c r="AP266" s="271"/>
      <c r="AQ266" s="271"/>
      <c r="AR266" s="271"/>
      <c r="AS266" s="271"/>
      <c r="AT266" s="271"/>
      <c r="AU266" s="271"/>
      <c r="AV266" s="271"/>
      <c r="AW266" s="271"/>
      <c r="AX266" s="271"/>
      <c r="AY266" s="271"/>
    </row>
    <row r="267" spans="1:51" ht="15.75" customHeight="1" x14ac:dyDescent="0.25">
      <c r="A267" s="271"/>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c r="AL267" s="271"/>
      <c r="AM267" s="271"/>
      <c r="AN267" s="271"/>
      <c r="AO267" s="271"/>
      <c r="AP267" s="271"/>
      <c r="AQ267" s="271"/>
      <c r="AR267" s="271"/>
      <c r="AS267" s="271"/>
      <c r="AT267" s="271"/>
      <c r="AU267" s="271"/>
      <c r="AV267" s="271"/>
      <c r="AW267" s="271"/>
      <c r="AX267" s="271"/>
      <c r="AY267" s="271"/>
    </row>
    <row r="268" spans="1:51" ht="15.75" customHeight="1" x14ac:dyDescent="0.25">
      <c r="A268" s="271"/>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c r="AL268" s="271"/>
      <c r="AM268" s="271"/>
      <c r="AN268" s="271"/>
      <c r="AO268" s="271"/>
      <c r="AP268" s="271"/>
      <c r="AQ268" s="271"/>
      <c r="AR268" s="271"/>
      <c r="AS268" s="271"/>
      <c r="AT268" s="271"/>
      <c r="AU268" s="271"/>
      <c r="AV268" s="271"/>
      <c r="AW268" s="271"/>
      <c r="AX268" s="271"/>
      <c r="AY268" s="271"/>
    </row>
    <row r="269" spans="1:51" ht="15.75" customHeight="1" x14ac:dyDescent="0.25">
      <c r="A269" s="271"/>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c r="AM269" s="271"/>
      <c r="AN269" s="271"/>
      <c r="AO269" s="271"/>
      <c r="AP269" s="271"/>
      <c r="AQ269" s="271"/>
      <c r="AR269" s="271"/>
      <c r="AS269" s="271"/>
      <c r="AT269" s="271"/>
      <c r="AU269" s="271"/>
      <c r="AV269" s="271"/>
      <c r="AW269" s="271"/>
      <c r="AX269" s="271"/>
      <c r="AY269" s="271"/>
    </row>
    <row r="270" spans="1:51" ht="15.75" customHeight="1" x14ac:dyDescent="0.25">
      <c r="A270" s="271"/>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c r="AM270" s="271"/>
      <c r="AN270" s="271"/>
      <c r="AO270" s="271"/>
      <c r="AP270" s="271"/>
      <c r="AQ270" s="271"/>
      <c r="AR270" s="271"/>
      <c r="AS270" s="271"/>
      <c r="AT270" s="271"/>
      <c r="AU270" s="271"/>
      <c r="AV270" s="271"/>
      <c r="AW270" s="271"/>
      <c r="AX270" s="271"/>
      <c r="AY270" s="271"/>
    </row>
    <row r="271" spans="1:51" ht="15.75" customHeight="1" x14ac:dyDescent="0.25">
      <c r="A271" s="271"/>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c r="AL271" s="271"/>
      <c r="AM271" s="271"/>
      <c r="AN271" s="271"/>
      <c r="AO271" s="271"/>
      <c r="AP271" s="271"/>
      <c r="AQ271" s="271"/>
      <c r="AR271" s="271"/>
      <c r="AS271" s="271"/>
      <c r="AT271" s="271"/>
      <c r="AU271" s="271"/>
      <c r="AV271" s="271"/>
      <c r="AW271" s="271"/>
      <c r="AX271" s="271"/>
      <c r="AY271" s="271"/>
    </row>
    <row r="272" spans="1:51" ht="15.75" customHeight="1" x14ac:dyDescent="0.25">
      <c r="A272" s="271"/>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c r="AL272" s="271"/>
      <c r="AM272" s="271"/>
      <c r="AN272" s="271"/>
      <c r="AO272" s="271"/>
      <c r="AP272" s="271"/>
      <c r="AQ272" s="271"/>
      <c r="AR272" s="271"/>
      <c r="AS272" s="271"/>
      <c r="AT272" s="271"/>
      <c r="AU272" s="271"/>
      <c r="AV272" s="271"/>
      <c r="AW272" s="271"/>
      <c r="AX272" s="271"/>
      <c r="AY272" s="271"/>
    </row>
    <row r="273" spans="1:51" ht="15.75" customHeight="1" x14ac:dyDescent="0.25">
      <c r="A273" s="271"/>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c r="AM273" s="271"/>
      <c r="AN273" s="271"/>
      <c r="AO273" s="271"/>
      <c r="AP273" s="271"/>
      <c r="AQ273" s="271"/>
      <c r="AR273" s="271"/>
      <c r="AS273" s="271"/>
      <c r="AT273" s="271"/>
      <c r="AU273" s="271"/>
      <c r="AV273" s="271"/>
      <c r="AW273" s="271"/>
      <c r="AX273" s="271"/>
      <c r="AY273" s="271"/>
    </row>
    <row r="274" spans="1:51" ht="15.75" customHeight="1" x14ac:dyDescent="0.25">
      <c r="A274" s="271"/>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c r="AL274" s="271"/>
      <c r="AM274" s="271"/>
      <c r="AN274" s="271"/>
      <c r="AO274" s="271"/>
      <c r="AP274" s="271"/>
      <c r="AQ274" s="271"/>
      <c r="AR274" s="271"/>
      <c r="AS274" s="271"/>
      <c r="AT274" s="271"/>
      <c r="AU274" s="271"/>
      <c r="AV274" s="271"/>
      <c r="AW274" s="271"/>
      <c r="AX274" s="271"/>
      <c r="AY274" s="271"/>
    </row>
    <row r="275" spans="1:51" ht="15.75" customHeight="1" x14ac:dyDescent="0.25">
      <c r="A275" s="271"/>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c r="AL275" s="271"/>
      <c r="AM275" s="271"/>
      <c r="AN275" s="271"/>
      <c r="AO275" s="271"/>
      <c r="AP275" s="271"/>
      <c r="AQ275" s="271"/>
      <c r="AR275" s="271"/>
      <c r="AS275" s="271"/>
      <c r="AT275" s="271"/>
      <c r="AU275" s="271"/>
      <c r="AV275" s="271"/>
      <c r="AW275" s="271"/>
      <c r="AX275" s="271"/>
      <c r="AY275" s="271"/>
    </row>
    <row r="276" spans="1:51" ht="15.75" customHeight="1" x14ac:dyDescent="0.25">
      <c r="A276" s="271"/>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c r="AM276" s="271"/>
      <c r="AN276" s="271"/>
      <c r="AO276" s="271"/>
      <c r="AP276" s="271"/>
      <c r="AQ276" s="271"/>
      <c r="AR276" s="271"/>
      <c r="AS276" s="271"/>
      <c r="AT276" s="271"/>
      <c r="AU276" s="271"/>
      <c r="AV276" s="271"/>
      <c r="AW276" s="271"/>
      <c r="AX276" s="271"/>
      <c r="AY276" s="271"/>
    </row>
    <row r="277" spans="1:51" ht="15.75" customHeight="1" x14ac:dyDescent="0.25">
      <c r="A277" s="271"/>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c r="AM277" s="271"/>
      <c r="AN277" s="271"/>
      <c r="AO277" s="271"/>
      <c r="AP277" s="271"/>
      <c r="AQ277" s="271"/>
      <c r="AR277" s="271"/>
      <c r="AS277" s="271"/>
      <c r="AT277" s="271"/>
      <c r="AU277" s="271"/>
      <c r="AV277" s="271"/>
      <c r="AW277" s="271"/>
      <c r="AX277" s="271"/>
      <c r="AY277" s="271"/>
    </row>
    <row r="278" spans="1:51" ht="15.75" customHeight="1" x14ac:dyDescent="0.25">
      <c r="A278" s="271"/>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c r="AL278" s="271"/>
      <c r="AM278" s="271"/>
      <c r="AN278" s="271"/>
      <c r="AO278" s="271"/>
      <c r="AP278" s="271"/>
      <c r="AQ278" s="271"/>
      <c r="AR278" s="271"/>
      <c r="AS278" s="271"/>
      <c r="AT278" s="271"/>
      <c r="AU278" s="271"/>
      <c r="AV278" s="271"/>
      <c r="AW278" s="271"/>
      <c r="AX278" s="271"/>
      <c r="AY278" s="271"/>
    </row>
    <row r="279" spans="1:51" ht="15.75" customHeight="1" x14ac:dyDescent="0.25">
      <c r="A279" s="271"/>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c r="AM279" s="271"/>
      <c r="AN279" s="271"/>
      <c r="AO279" s="271"/>
      <c r="AP279" s="271"/>
      <c r="AQ279" s="271"/>
      <c r="AR279" s="271"/>
      <c r="AS279" s="271"/>
      <c r="AT279" s="271"/>
      <c r="AU279" s="271"/>
      <c r="AV279" s="271"/>
      <c r="AW279" s="271"/>
      <c r="AX279" s="271"/>
      <c r="AY279" s="271"/>
    </row>
    <row r="280" spans="1:51" ht="15.75" customHeight="1" x14ac:dyDescent="0.25">
      <c r="A280" s="271"/>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c r="AL280" s="271"/>
      <c r="AM280" s="271"/>
      <c r="AN280" s="271"/>
      <c r="AO280" s="271"/>
      <c r="AP280" s="271"/>
      <c r="AQ280" s="271"/>
      <c r="AR280" s="271"/>
      <c r="AS280" s="271"/>
      <c r="AT280" s="271"/>
      <c r="AU280" s="271"/>
      <c r="AV280" s="271"/>
      <c r="AW280" s="271"/>
      <c r="AX280" s="271"/>
      <c r="AY280" s="271"/>
    </row>
    <row r="281" spans="1:51" ht="15.75" customHeight="1" x14ac:dyDescent="0.25">
      <c r="A281" s="271"/>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c r="AL281" s="271"/>
      <c r="AM281" s="271"/>
      <c r="AN281" s="271"/>
      <c r="AO281" s="271"/>
      <c r="AP281" s="271"/>
      <c r="AQ281" s="271"/>
      <c r="AR281" s="271"/>
      <c r="AS281" s="271"/>
      <c r="AT281" s="271"/>
      <c r="AU281" s="271"/>
      <c r="AV281" s="271"/>
      <c r="AW281" s="271"/>
      <c r="AX281" s="271"/>
      <c r="AY281" s="271"/>
    </row>
    <row r="282" spans="1:51" ht="15.75" customHeight="1" x14ac:dyDescent="0.25">
      <c r="A282" s="271"/>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c r="AL282" s="271"/>
      <c r="AM282" s="271"/>
      <c r="AN282" s="271"/>
      <c r="AO282" s="271"/>
      <c r="AP282" s="271"/>
      <c r="AQ282" s="271"/>
      <c r="AR282" s="271"/>
      <c r="AS282" s="271"/>
      <c r="AT282" s="271"/>
      <c r="AU282" s="271"/>
      <c r="AV282" s="271"/>
      <c r="AW282" s="271"/>
      <c r="AX282" s="271"/>
      <c r="AY282" s="271"/>
    </row>
    <row r="283" spans="1:51" ht="15.75" customHeight="1" x14ac:dyDescent="0.25">
      <c r="A283" s="271"/>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c r="AL283" s="271"/>
      <c r="AM283" s="271"/>
      <c r="AN283" s="271"/>
      <c r="AO283" s="271"/>
      <c r="AP283" s="271"/>
      <c r="AQ283" s="271"/>
      <c r="AR283" s="271"/>
      <c r="AS283" s="271"/>
      <c r="AT283" s="271"/>
      <c r="AU283" s="271"/>
      <c r="AV283" s="271"/>
      <c r="AW283" s="271"/>
      <c r="AX283" s="271"/>
      <c r="AY283" s="271"/>
    </row>
    <row r="284" spans="1:51" ht="15.75" customHeight="1" x14ac:dyDescent="0.25">
      <c r="A284" s="271"/>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c r="AL284" s="271"/>
      <c r="AM284" s="271"/>
      <c r="AN284" s="271"/>
      <c r="AO284" s="271"/>
      <c r="AP284" s="271"/>
      <c r="AQ284" s="271"/>
      <c r="AR284" s="271"/>
      <c r="AS284" s="271"/>
      <c r="AT284" s="271"/>
      <c r="AU284" s="271"/>
      <c r="AV284" s="271"/>
      <c r="AW284" s="271"/>
      <c r="AX284" s="271"/>
      <c r="AY284" s="271"/>
    </row>
    <row r="285" spans="1:51" ht="15.75" customHeight="1" x14ac:dyDescent="0.25">
      <c r="A285" s="271"/>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c r="AL285" s="271"/>
      <c r="AM285" s="271"/>
      <c r="AN285" s="271"/>
      <c r="AO285" s="271"/>
      <c r="AP285" s="271"/>
      <c r="AQ285" s="271"/>
      <c r="AR285" s="271"/>
      <c r="AS285" s="271"/>
      <c r="AT285" s="271"/>
      <c r="AU285" s="271"/>
      <c r="AV285" s="271"/>
      <c r="AW285" s="271"/>
      <c r="AX285" s="271"/>
      <c r="AY285" s="271"/>
    </row>
    <row r="286" spans="1:51" ht="15.75" customHeight="1" x14ac:dyDescent="0.25">
      <c r="A286" s="271"/>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c r="AL286" s="271"/>
      <c r="AM286" s="271"/>
      <c r="AN286" s="271"/>
      <c r="AO286" s="271"/>
      <c r="AP286" s="271"/>
      <c r="AQ286" s="271"/>
      <c r="AR286" s="271"/>
      <c r="AS286" s="271"/>
      <c r="AT286" s="271"/>
      <c r="AU286" s="271"/>
      <c r="AV286" s="271"/>
      <c r="AW286" s="271"/>
      <c r="AX286" s="271"/>
      <c r="AY286" s="271"/>
    </row>
    <row r="287" spans="1:51" ht="15.75" customHeight="1" x14ac:dyDescent="0.25">
      <c r="A287" s="271"/>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c r="AL287" s="271"/>
      <c r="AM287" s="271"/>
      <c r="AN287" s="271"/>
      <c r="AO287" s="271"/>
      <c r="AP287" s="271"/>
      <c r="AQ287" s="271"/>
      <c r="AR287" s="271"/>
      <c r="AS287" s="271"/>
      <c r="AT287" s="271"/>
      <c r="AU287" s="271"/>
      <c r="AV287" s="271"/>
      <c r="AW287" s="271"/>
      <c r="AX287" s="271"/>
      <c r="AY287" s="271"/>
    </row>
    <row r="288" spans="1:51" ht="15.75" customHeight="1" x14ac:dyDescent="0.25">
      <c r="A288" s="271"/>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c r="AL288" s="271"/>
      <c r="AM288" s="271"/>
      <c r="AN288" s="271"/>
      <c r="AO288" s="271"/>
      <c r="AP288" s="271"/>
      <c r="AQ288" s="271"/>
      <c r="AR288" s="271"/>
      <c r="AS288" s="271"/>
      <c r="AT288" s="271"/>
      <c r="AU288" s="271"/>
      <c r="AV288" s="271"/>
      <c r="AW288" s="271"/>
      <c r="AX288" s="271"/>
      <c r="AY288" s="271"/>
    </row>
    <row r="289" spans="1:51" ht="15.75" customHeight="1" x14ac:dyDescent="0.25">
      <c r="A289" s="271"/>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c r="AL289" s="271"/>
      <c r="AM289" s="271"/>
      <c r="AN289" s="271"/>
      <c r="AO289" s="271"/>
      <c r="AP289" s="271"/>
      <c r="AQ289" s="271"/>
      <c r="AR289" s="271"/>
      <c r="AS289" s="271"/>
      <c r="AT289" s="271"/>
      <c r="AU289" s="271"/>
      <c r="AV289" s="271"/>
      <c r="AW289" s="271"/>
      <c r="AX289" s="271"/>
      <c r="AY289" s="271"/>
    </row>
    <row r="290" spans="1:51" ht="15.75" customHeight="1" x14ac:dyDescent="0.25">
      <c r="A290" s="271"/>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c r="AM290" s="271"/>
      <c r="AN290" s="271"/>
      <c r="AO290" s="271"/>
      <c r="AP290" s="271"/>
      <c r="AQ290" s="271"/>
      <c r="AR290" s="271"/>
      <c r="AS290" s="271"/>
      <c r="AT290" s="271"/>
      <c r="AU290" s="271"/>
      <c r="AV290" s="271"/>
      <c r="AW290" s="271"/>
      <c r="AX290" s="271"/>
      <c r="AY290" s="271"/>
    </row>
    <row r="291" spans="1:51" ht="15.75" customHeight="1" x14ac:dyDescent="0.25">
      <c r="A291" s="271"/>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c r="AM291" s="271"/>
      <c r="AN291" s="271"/>
      <c r="AO291" s="271"/>
      <c r="AP291" s="271"/>
      <c r="AQ291" s="271"/>
      <c r="AR291" s="271"/>
      <c r="AS291" s="271"/>
      <c r="AT291" s="271"/>
      <c r="AU291" s="271"/>
      <c r="AV291" s="271"/>
      <c r="AW291" s="271"/>
      <c r="AX291" s="271"/>
      <c r="AY291" s="271"/>
    </row>
    <row r="292" spans="1:51" ht="15.75" customHeight="1" x14ac:dyDescent="0.25">
      <c r="A292" s="271"/>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c r="AL292" s="271"/>
      <c r="AM292" s="271"/>
      <c r="AN292" s="271"/>
      <c r="AO292" s="271"/>
      <c r="AP292" s="271"/>
      <c r="AQ292" s="271"/>
      <c r="AR292" s="271"/>
      <c r="AS292" s="271"/>
      <c r="AT292" s="271"/>
      <c r="AU292" s="271"/>
      <c r="AV292" s="271"/>
      <c r="AW292" s="271"/>
      <c r="AX292" s="271"/>
      <c r="AY292" s="271"/>
    </row>
    <row r="293" spans="1:51" ht="15.75" customHeight="1" x14ac:dyDescent="0.25">
      <c r="A293" s="271"/>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c r="AL293" s="271"/>
      <c r="AM293" s="271"/>
      <c r="AN293" s="271"/>
      <c r="AO293" s="271"/>
      <c r="AP293" s="271"/>
      <c r="AQ293" s="271"/>
      <c r="AR293" s="271"/>
      <c r="AS293" s="271"/>
      <c r="AT293" s="271"/>
      <c r="AU293" s="271"/>
      <c r="AV293" s="271"/>
      <c r="AW293" s="271"/>
      <c r="AX293" s="271"/>
      <c r="AY293" s="271"/>
    </row>
    <row r="294" spans="1:51" ht="15.75" customHeight="1" x14ac:dyDescent="0.25">
      <c r="A294" s="271"/>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c r="AL294" s="271"/>
      <c r="AM294" s="271"/>
      <c r="AN294" s="271"/>
      <c r="AO294" s="271"/>
      <c r="AP294" s="271"/>
      <c r="AQ294" s="271"/>
      <c r="AR294" s="271"/>
      <c r="AS294" s="271"/>
      <c r="AT294" s="271"/>
      <c r="AU294" s="271"/>
      <c r="AV294" s="271"/>
      <c r="AW294" s="271"/>
      <c r="AX294" s="271"/>
      <c r="AY294" s="271"/>
    </row>
    <row r="295" spans="1:51" ht="15.75" customHeight="1" x14ac:dyDescent="0.25">
      <c r="A295" s="271"/>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c r="AL295" s="271"/>
      <c r="AM295" s="271"/>
      <c r="AN295" s="271"/>
      <c r="AO295" s="271"/>
      <c r="AP295" s="271"/>
      <c r="AQ295" s="271"/>
      <c r="AR295" s="271"/>
      <c r="AS295" s="271"/>
      <c r="AT295" s="271"/>
      <c r="AU295" s="271"/>
      <c r="AV295" s="271"/>
      <c r="AW295" s="271"/>
      <c r="AX295" s="271"/>
      <c r="AY295" s="271"/>
    </row>
    <row r="296" spans="1:51" ht="15.75" customHeight="1" x14ac:dyDescent="0.25">
      <c r="A296" s="271"/>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c r="AL296" s="271"/>
      <c r="AM296" s="271"/>
      <c r="AN296" s="271"/>
      <c r="AO296" s="271"/>
      <c r="AP296" s="271"/>
      <c r="AQ296" s="271"/>
      <c r="AR296" s="271"/>
      <c r="AS296" s="271"/>
      <c r="AT296" s="271"/>
      <c r="AU296" s="271"/>
      <c r="AV296" s="271"/>
      <c r="AW296" s="271"/>
      <c r="AX296" s="271"/>
      <c r="AY296" s="271"/>
    </row>
    <row r="297" spans="1:51" ht="15.75" customHeight="1" x14ac:dyDescent="0.25">
      <c r="A297" s="271"/>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c r="AL297" s="271"/>
      <c r="AM297" s="271"/>
      <c r="AN297" s="271"/>
      <c r="AO297" s="271"/>
      <c r="AP297" s="271"/>
      <c r="AQ297" s="271"/>
      <c r="AR297" s="271"/>
      <c r="AS297" s="271"/>
      <c r="AT297" s="271"/>
      <c r="AU297" s="271"/>
      <c r="AV297" s="271"/>
      <c r="AW297" s="271"/>
      <c r="AX297" s="271"/>
      <c r="AY297" s="271"/>
    </row>
    <row r="298" spans="1:51" ht="15.75" customHeight="1" x14ac:dyDescent="0.25">
      <c r="A298" s="271"/>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c r="AL298" s="271"/>
      <c r="AM298" s="271"/>
      <c r="AN298" s="271"/>
      <c r="AO298" s="271"/>
      <c r="AP298" s="271"/>
      <c r="AQ298" s="271"/>
      <c r="AR298" s="271"/>
      <c r="AS298" s="271"/>
      <c r="AT298" s="271"/>
      <c r="AU298" s="271"/>
      <c r="AV298" s="271"/>
      <c r="AW298" s="271"/>
      <c r="AX298" s="271"/>
      <c r="AY298" s="271"/>
    </row>
    <row r="299" spans="1:51" ht="15.75" customHeight="1" x14ac:dyDescent="0.25">
      <c r="A299" s="271"/>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c r="AL299" s="271"/>
      <c r="AM299" s="271"/>
      <c r="AN299" s="271"/>
      <c r="AO299" s="271"/>
      <c r="AP299" s="271"/>
      <c r="AQ299" s="271"/>
      <c r="AR299" s="271"/>
      <c r="AS299" s="271"/>
      <c r="AT299" s="271"/>
      <c r="AU299" s="271"/>
      <c r="AV299" s="271"/>
      <c r="AW299" s="271"/>
      <c r="AX299" s="271"/>
      <c r="AY299" s="271"/>
    </row>
    <row r="300" spans="1:51" ht="15.75" customHeight="1" x14ac:dyDescent="0.25">
      <c r="A300" s="271"/>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c r="AL300" s="271"/>
      <c r="AM300" s="271"/>
      <c r="AN300" s="271"/>
      <c r="AO300" s="271"/>
      <c r="AP300" s="271"/>
      <c r="AQ300" s="271"/>
      <c r="AR300" s="271"/>
      <c r="AS300" s="271"/>
      <c r="AT300" s="271"/>
      <c r="AU300" s="271"/>
      <c r="AV300" s="271"/>
      <c r="AW300" s="271"/>
      <c r="AX300" s="271"/>
      <c r="AY300" s="271"/>
    </row>
    <row r="301" spans="1:51" ht="15.75" customHeight="1" x14ac:dyDescent="0.25">
      <c r="A301" s="271"/>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c r="AL301" s="271"/>
      <c r="AM301" s="271"/>
      <c r="AN301" s="271"/>
      <c r="AO301" s="271"/>
      <c r="AP301" s="271"/>
      <c r="AQ301" s="271"/>
      <c r="AR301" s="271"/>
      <c r="AS301" s="271"/>
      <c r="AT301" s="271"/>
      <c r="AU301" s="271"/>
      <c r="AV301" s="271"/>
      <c r="AW301" s="271"/>
      <c r="AX301" s="271"/>
      <c r="AY301" s="271"/>
    </row>
    <row r="302" spans="1:51" ht="15.75" customHeight="1" x14ac:dyDescent="0.25">
      <c r="A302" s="271"/>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c r="AL302" s="271"/>
      <c r="AM302" s="271"/>
      <c r="AN302" s="271"/>
      <c r="AO302" s="271"/>
      <c r="AP302" s="271"/>
      <c r="AQ302" s="271"/>
      <c r="AR302" s="271"/>
      <c r="AS302" s="271"/>
      <c r="AT302" s="271"/>
      <c r="AU302" s="271"/>
      <c r="AV302" s="271"/>
      <c r="AW302" s="271"/>
      <c r="AX302" s="271"/>
      <c r="AY302" s="271"/>
    </row>
    <row r="303" spans="1:51" ht="15.75" customHeight="1" x14ac:dyDescent="0.25">
      <c r="A303" s="271"/>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c r="AL303" s="271"/>
      <c r="AM303" s="271"/>
      <c r="AN303" s="271"/>
      <c r="AO303" s="271"/>
      <c r="AP303" s="271"/>
      <c r="AQ303" s="271"/>
      <c r="AR303" s="271"/>
      <c r="AS303" s="271"/>
      <c r="AT303" s="271"/>
      <c r="AU303" s="271"/>
      <c r="AV303" s="271"/>
      <c r="AW303" s="271"/>
      <c r="AX303" s="271"/>
      <c r="AY303" s="271"/>
    </row>
    <row r="304" spans="1:51" ht="15.75" customHeight="1" x14ac:dyDescent="0.25">
      <c r="A304" s="271"/>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c r="AL304" s="271"/>
      <c r="AM304" s="271"/>
      <c r="AN304" s="271"/>
      <c r="AO304" s="271"/>
      <c r="AP304" s="271"/>
      <c r="AQ304" s="271"/>
      <c r="AR304" s="271"/>
      <c r="AS304" s="271"/>
      <c r="AT304" s="271"/>
      <c r="AU304" s="271"/>
      <c r="AV304" s="271"/>
      <c r="AW304" s="271"/>
      <c r="AX304" s="271"/>
      <c r="AY304" s="271"/>
    </row>
    <row r="305" spans="1:51" ht="15.75" customHeight="1" x14ac:dyDescent="0.25">
      <c r="A305" s="271"/>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c r="AL305" s="271"/>
      <c r="AM305" s="271"/>
      <c r="AN305" s="271"/>
      <c r="AO305" s="271"/>
      <c r="AP305" s="271"/>
      <c r="AQ305" s="271"/>
      <c r="AR305" s="271"/>
      <c r="AS305" s="271"/>
      <c r="AT305" s="271"/>
      <c r="AU305" s="271"/>
      <c r="AV305" s="271"/>
      <c r="AW305" s="271"/>
      <c r="AX305" s="271"/>
      <c r="AY305" s="271"/>
    </row>
    <row r="306" spans="1:51" ht="15.75" customHeight="1" x14ac:dyDescent="0.25">
      <c r="A306" s="271"/>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c r="AM306" s="271"/>
      <c r="AN306" s="271"/>
      <c r="AO306" s="271"/>
      <c r="AP306" s="271"/>
      <c r="AQ306" s="271"/>
      <c r="AR306" s="271"/>
      <c r="AS306" s="271"/>
      <c r="AT306" s="271"/>
      <c r="AU306" s="271"/>
      <c r="AV306" s="271"/>
      <c r="AW306" s="271"/>
      <c r="AX306" s="271"/>
      <c r="AY306" s="271"/>
    </row>
    <row r="307" spans="1:51" ht="15.75" customHeight="1" x14ac:dyDescent="0.25">
      <c r="A307" s="271"/>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c r="AL307" s="271"/>
      <c r="AM307" s="271"/>
      <c r="AN307" s="271"/>
      <c r="AO307" s="271"/>
      <c r="AP307" s="271"/>
      <c r="AQ307" s="271"/>
      <c r="AR307" s="271"/>
      <c r="AS307" s="271"/>
      <c r="AT307" s="271"/>
      <c r="AU307" s="271"/>
      <c r="AV307" s="271"/>
      <c r="AW307" s="271"/>
      <c r="AX307" s="271"/>
      <c r="AY307" s="271"/>
    </row>
    <row r="308" spans="1:51" ht="15.75" customHeight="1" x14ac:dyDescent="0.25">
      <c r="A308" s="271"/>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c r="AL308" s="271"/>
      <c r="AM308" s="271"/>
      <c r="AN308" s="271"/>
      <c r="AO308" s="271"/>
      <c r="AP308" s="271"/>
      <c r="AQ308" s="271"/>
      <c r="AR308" s="271"/>
      <c r="AS308" s="271"/>
      <c r="AT308" s="271"/>
      <c r="AU308" s="271"/>
      <c r="AV308" s="271"/>
      <c r="AW308" s="271"/>
      <c r="AX308" s="271"/>
      <c r="AY308" s="271"/>
    </row>
    <row r="309" spans="1:51" ht="15.75" customHeight="1" x14ac:dyDescent="0.25">
      <c r="A309" s="271"/>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c r="AM309" s="271"/>
      <c r="AN309" s="271"/>
      <c r="AO309" s="271"/>
      <c r="AP309" s="271"/>
      <c r="AQ309" s="271"/>
      <c r="AR309" s="271"/>
      <c r="AS309" s="271"/>
      <c r="AT309" s="271"/>
      <c r="AU309" s="271"/>
      <c r="AV309" s="271"/>
      <c r="AW309" s="271"/>
      <c r="AX309" s="271"/>
      <c r="AY309" s="271"/>
    </row>
    <row r="310" spans="1:51" ht="15.75" customHeight="1" x14ac:dyDescent="0.25">
      <c r="A310" s="271"/>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c r="AL310" s="271"/>
      <c r="AM310" s="271"/>
      <c r="AN310" s="271"/>
      <c r="AO310" s="271"/>
      <c r="AP310" s="271"/>
      <c r="AQ310" s="271"/>
      <c r="AR310" s="271"/>
      <c r="AS310" s="271"/>
      <c r="AT310" s="271"/>
      <c r="AU310" s="271"/>
      <c r="AV310" s="271"/>
      <c r="AW310" s="271"/>
      <c r="AX310" s="271"/>
      <c r="AY310" s="271"/>
    </row>
    <row r="311" spans="1:51" ht="15.75" customHeight="1" x14ac:dyDescent="0.25">
      <c r="A311" s="271"/>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c r="AL311" s="271"/>
      <c r="AM311" s="271"/>
      <c r="AN311" s="271"/>
      <c r="AO311" s="271"/>
      <c r="AP311" s="271"/>
      <c r="AQ311" s="271"/>
      <c r="AR311" s="271"/>
      <c r="AS311" s="271"/>
      <c r="AT311" s="271"/>
      <c r="AU311" s="271"/>
      <c r="AV311" s="271"/>
      <c r="AW311" s="271"/>
      <c r="AX311" s="271"/>
      <c r="AY311" s="271"/>
    </row>
    <row r="312" spans="1:51" ht="15.75" customHeight="1" x14ac:dyDescent="0.25">
      <c r="A312" s="271"/>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c r="AL312" s="271"/>
      <c r="AM312" s="271"/>
      <c r="AN312" s="271"/>
      <c r="AO312" s="271"/>
      <c r="AP312" s="271"/>
      <c r="AQ312" s="271"/>
      <c r="AR312" s="271"/>
      <c r="AS312" s="271"/>
      <c r="AT312" s="271"/>
      <c r="AU312" s="271"/>
      <c r="AV312" s="271"/>
      <c r="AW312" s="271"/>
      <c r="AX312" s="271"/>
      <c r="AY312" s="271"/>
    </row>
    <row r="313" spans="1:51" ht="15.75" customHeight="1" x14ac:dyDescent="0.25">
      <c r="A313" s="271"/>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c r="AM313" s="271"/>
      <c r="AN313" s="271"/>
      <c r="AO313" s="271"/>
      <c r="AP313" s="271"/>
      <c r="AQ313" s="271"/>
      <c r="AR313" s="271"/>
      <c r="AS313" s="271"/>
      <c r="AT313" s="271"/>
      <c r="AU313" s="271"/>
      <c r="AV313" s="271"/>
      <c r="AW313" s="271"/>
      <c r="AX313" s="271"/>
      <c r="AY313" s="271"/>
    </row>
    <row r="314" spans="1:51" ht="15.75" customHeight="1" x14ac:dyDescent="0.25">
      <c r="A314" s="271"/>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c r="AL314" s="271"/>
      <c r="AM314" s="271"/>
      <c r="AN314" s="271"/>
      <c r="AO314" s="271"/>
      <c r="AP314" s="271"/>
      <c r="AQ314" s="271"/>
      <c r="AR314" s="271"/>
      <c r="AS314" s="271"/>
      <c r="AT314" s="271"/>
      <c r="AU314" s="271"/>
      <c r="AV314" s="271"/>
      <c r="AW314" s="271"/>
      <c r="AX314" s="271"/>
      <c r="AY314" s="271"/>
    </row>
    <row r="315" spans="1:51" ht="15.75" customHeight="1" x14ac:dyDescent="0.25">
      <c r="A315" s="271"/>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c r="AM315" s="271"/>
      <c r="AN315" s="271"/>
      <c r="AO315" s="271"/>
      <c r="AP315" s="271"/>
      <c r="AQ315" s="271"/>
      <c r="AR315" s="271"/>
      <c r="AS315" s="271"/>
      <c r="AT315" s="271"/>
      <c r="AU315" s="271"/>
      <c r="AV315" s="271"/>
      <c r="AW315" s="271"/>
      <c r="AX315" s="271"/>
      <c r="AY315" s="271"/>
    </row>
    <row r="316" spans="1:51" ht="15.75" customHeight="1" x14ac:dyDescent="0.25">
      <c r="A316" s="271"/>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c r="AL316" s="271"/>
      <c r="AM316" s="271"/>
      <c r="AN316" s="271"/>
      <c r="AO316" s="271"/>
      <c r="AP316" s="271"/>
      <c r="AQ316" s="271"/>
      <c r="AR316" s="271"/>
      <c r="AS316" s="271"/>
      <c r="AT316" s="271"/>
      <c r="AU316" s="271"/>
      <c r="AV316" s="271"/>
      <c r="AW316" s="271"/>
      <c r="AX316" s="271"/>
      <c r="AY316" s="271"/>
    </row>
    <row r="317" spans="1:51" ht="15.75" customHeight="1" x14ac:dyDescent="0.25">
      <c r="A317" s="271"/>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c r="AM317" s="271"/>
      <c r="AN317" s="271"/>
      <c r="AO317" s="271"/>
      <c r="AP317" s="271"/>
      <c r="AQ317" s="271"/>
      <c r="AR317" s="271"/>
      <c r="AS317" s="271"/>
      <c r="AT317" s="271"/>
      <c r="AU317" s="271"/>
      <c r="AV317" s="271"/>
      <c r="AW317" s="271"/>
      <c r="AX317" s="271"/>
      <c r="AY317" s="271"/>
    </row>
    <row r="318" spans="1:51" ht="15.75" customHeight="1" x14ac:dyDescent="0.25">
      <c r="A318" s="271"/>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c r="AL318" s="271"/>
      <c r="AM318" s="271"/>
      <c r="AN318" s="271"/>
      <c r="AO318" s="271"/>
      <c r="AP318" s="271"/>
      <c r="AQ318" s="271"/>
      <c r="AR318" s="271"/>
      <c r="AS318" s="271"/>
      <c r="AT318" s="271"/>
      <c r="AU318" s="271"/>
      <c r="AV318" s="271"/>
      <c r="AW318" s="271"/>
      <c r="AX318" s="271"/>
      <c r="AY318" s="271"/>
    </row>
    <row r="319" spans="1:51" ht="15.75" customHeight="1" x14ac:dyDescent="0.25">
      <c r="A319" s="271"/>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c r="AM319" s="271"/>
      <c r="AN319" s="271"/>
      <c r="AO319" s="271"/>
      <c r="AP319" s="271"/>
      <c r="AQ319" s="271"/>
      <c r="AR319" s="271"/>
      <c r="AS319" s="271"/>
      <c r="AT319" s="271"/>
      <c r="AU319" s="271"/>
      <c r="AV319" s="271"/>
      <c r="AW319" s="271"/>
      <c r="AX319" s="271"/>
      <c r="AY319" s="271"/>
    </row>
    <row r="320" spans="1:51" ht="15.75" customHeight="1" x14ac:dyDescent="0.25">
      <c r="A320" s="271"/>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c r="AL320" s="271"/>
      <c r="AM320" s="271"/>
      <c r="AN320" s="271"/>
      <c r="AO320" s="271"/>
      <c r="AP320" s="271"/>
      <c r="AQ320" s="271"/>
      <c r="AR320" s="271"/>
      <c r="AS320" s="271"/>
      <c r="AT320" s="271"/>
      <c r="AU320" s="271"/>
      <c r="AV320" s="271"/>
      <c r="AW320" s="271"/>
      <c r="AX320" s="271"/>
      <c r="AY320" s="271"/>
    </row>
    <row r="321" spans="1:51" ht="15.75" customHeight="1" x14ac:dyDescent="0.25">
      <c r="A321" s="271"/>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c r="AM321" s="271"/>
      <c r="AN321" s="271"/>
      <c r="AO321" s="271"/>
      <c r="AP321" s="271"/>
      <c r="AQ321" s="271"/>
      <c r="AR321" s="271"/>
      <c r="AS321" s="271"/>
      <c r="AT321" s="271"/>
      <c r="AU321" s="271"/>
      <c r="AV321" s="271"/>
      <c r="AW321" s="271"/>
      <c r="AX321" s="271"/>
      <c r="AY321" s="271"/>
    </row>
    <row r="322" spans="1:51" ht="15.75" customHeight="1" x14ac:dyDescent="0.25">
      <c r="A322" s="271"/>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c r="AL322" s="271"/>
      <c r="AM322" s="271"/>
      <c r="AN322" s="271"/>
      <c r="AO322" s="271"/>
      <c r="AP322" s="271"/>
      <c r="AQ322" s="271"/>
      <c r="AR322" s="271"/>
      <c r="AS322" s="271"/>
      <c r="AT322" s="271"/>
      <c r="AU322" s="271"/>
      <c r="AV322" s="271"/>
      <c r="AW322" s="271"/>
      <c r="AX322" s="271"/>
      <c r="AY322" s="271"/>
    </row>
    <row r="323" spans="1:51" ht="15.75" customHeight="1" x14ac:dyDescent="0.25">
      <c r="A323" s="271"/>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c r="AM323" s="271"/>
      <c r="AN323" s="271"/>
      <c r="AO323" s="271"/>
      <c r="AP323" s="271"/>
      <c r="AQ323" s="271"/>
      <c r="AR323" s="271"/>
      <c r="AS323" s="271"/>
      <c r="AT323" s="271"/>
      <c r="AU323" s="271"/>
      <c r="AV323" s="271"/>
      <c r="AW323" s="271"/>
      <c r="AX323" s="271"/>
      <c r="AY323" s="271"/>
    </row>
    <row r="324" spans="1:51" ht="15.75" customHeight="1" x14ac:dyDescent="0.25">
      <c r="A324" s="271"/>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c r="AL324" s="271"/>
      <c r="AM324" s="271"/>
      <c r="AN324" s="271"/>
      <c r="AO324" s="271"/>
      <c r="AP324" s="271"/>
      <c r="AQ324" s="271"/>
      <c r="AR324" s="271"/>
      <c r="AS324" s="271"/>
      <c r="AT324" s="271"/>
      <c r="AU324" s="271"/>
      <c r="AV324" s="271"/>
      <c r="AW324" s="271"/>
      <c r="AX324" s="271"/>
      <c r="AY324" s="271"/>
    </row>
    <row r="325" spans="1:51" ht="15.75" customHeight="1" x14ac:dyDescent="0.25">
      <c r="A325" s="271"/>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c r="AL325" s="271"/>
      <c r="AM325" s="271"/>
      <c r="AN325" s="271"/>
      <c r="AO325" s="271"/>
      <c r="AP325" s="271"/>
      <c r="AQ325" s="271"/>
      <c r="AR325" s="271"/>
      <c r="AS325" s="271"/>
      <c r="AT325" s="271"/>
      <c r="AU325" s="271"/>
      <c r="AV325" s="271"/>
      <c r="AW325" s="271"/>
      <c r="AX325" s="271"/>
      <c r="AY325" s="271"/>
    </row>
    <row r="326" spans="1:51" ht="15.75" customHeight="1" x14ac:dyDescent="0.25">
      <c r="A326" s="271"/>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c r="AM326" s="271"/>
      <c r="AN326" s="271"/>
      <c r="AO326" s="271"/>
      <c r="AP326" s="271"/>
      <c r="AQ326" s="271"/>
      <c r="AR326" s="271"/>
      <c r="AS326" s="271"/>
      <c r="AT326" s="271"/>
      <c r="AU326" s="271"/>
      <c r="AV326" s="271"/>
      <c r="AW326" s="271"/>
      <c r="AX326" s="271"/>
      <c r="AY326" s="271"/>
    </row>
    <row r="327" spans="1:51" ht="15.75" customHeight="1" x14ac:dyDescent="0.25">
      <c r="A327" s="271"/>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c r="AL327" s="271"/>
      <c r="AM327" s="271"/>
      <c r="AN327" s="271"/>
      <c r="AO327" s="271"/>
      <c r="AP327" s="271"/>
      <c r="AQ327" s="271"/>
      <c r="AR327" s="271"/>
      <c r="AS327" s="271"/>
      <c r="AT327" s="271"/>
      <c r="AU327" s="271"/>
      <c r="AV327" s="271"/>
      <c r="AW327" s="271"/>
      <c r="AX327" s="271"/>
      <c r="AY327" s="271"/>
    </row>
    <row r="328" spans="1:51" ht="15.75" customHeight="1" x14ac:dyDescent="0.25">
      <c r="A328" s="271"/>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c r="AM328" s="271"/>
      <c r="AN328" s="271"/>
      <c r="AO328" s="271"/>
      <c r="AP328" s="271"/>
      <c r="AQ328" s="271"/>
      <c r="AR328" s="271"/>
      <c r="AS328" s="271"/>
      <c r="AT328" s="271"/>
      <c r="AU328" s="271"/>
      <c r="AV328" s="271"/>
      <c r="AW328" s="271"/>
      <c r="AX328" s="271"/>
      <c r="AY328" s="271"/>
    </row>
    <row r="329" spans="1:51" ht="15.75" customHeight="1" x14ac:dyDescent="0.25">
      <c r="A329" s="271"/>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c r="AL329" s="271"/>
      <c r="AM329" s="271"/>
      <c r="AN329" s="271"/>
      <c r="AO329" s="271"/>
      <c r="AP329" s="271"/>
      <c r="AQ329" s="271"/>
      <c r="AR329" s="271"/>
      <c r="AS329" s="271"/>
      <c r="AT329" s="271"/>
      <c r="AU329" s="271"/>
      <c r="AV329" s="271"/>
      <c r="AW329" s="271"/>
      <c r="AX329" s="271"/>
      <c r="AY329" s="271"/>
    </row>
    <row r="330" spans="1:51" ht="15.75" customHeight="1" x14ac:dyDescent="0.25">
      <c r="A330" s="271"/>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c r="AL330" s="271"/>
      <c r="AM330" s="271"/>
      <c r="AN330" s="271"/>
      <c r="AO330" s="271"/>
      <c r="AP330" s="271"/>
      <c r="AQ330" s="271"/>
      <c r="AR330" s="271"/>
      <c r="AS330" s="271"/>
      <c r="AT330" s="271"/>
      <c r="AU330" s="271"/>
      <c r="AV330" s="271"/>
      <c r="AW330" s="271"/>
      <c r="AX330" s="271"/>
      <c r="AY330" s="271"/>
    </row>
    <row r="331" spans="1:51" ht="15.75" customHeight="1" x14ac:dyDescent="0.25">
      <c r="A331" s="271"/>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c r="AM331" s="271"/>
      <c r="AN331" s="271"/>
      <c r="AO331" s="271"/>
      <c r="AP331" s="271"/>
      <c r="AQ331" s="271"/>
      <c r="AR331" s="271"/>
      <c r="AS331" s="271"/>
      <c r="AT331" s="271"/>
      <c r="AU331" s="271"/>
      <c r="AV331" s="271"/>
      <c r="AW331" s="271"/>
      <c r="AX331" s="271"/>
      <c r="AY331" s="271"/>
    </row>
    <row r="332" spans="1:51" ht="15.75" customHeight="1" x14ac:dyDescent="0.25">
      <c r="A332" s="271"/>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c r="AL332" s="271"/>
      <c r="AM332" s="271"/>
      <c r="AN332" s="271"/>
      <c r="AO332" s="271"/>
      <c r="AP332" s="271"/>
      <c r="AQ332" s="271"/>
      <c r="AR332" s="271"/>
      <c r="AS332" s="271"/>
      <c r="AT332" s="271"/>
      <c r="AU332" s="271"/>
      <c r="AV332" s="271"/>
      <c r="AW332" s="271"/>
      <c r="AX332" s="271"/>
      <c r="AY332" s="271"/>
    </row>
    <row r="333" spans="1:51" ht="15.75" customHeight="1" x14ac:dyDescent="0.25">
      <c r="A333" s="271"/>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c r="AM333" s="271"/>
      <c r="AN333" s="271"/>
      <c r="AO333" s="271"/>
      <c r="AP333" s="271"/>
      <c r="AQ333" s="271"/>
      <c r="AR333" s="271"/>
      <c r="AS333" s="271"/>
      <c r="AT333" s="271"/>
      <c r="AU333" s="271"/>
      <c r="AV333" s="271"/>
      <c r="AW333" s="271"/>
      <c r="AX333" s="271"/>
      <c r="AY333" s="271"/>
    </row>
    <row r="334" spans="1:51" ht="15.75" customHeight="1" x14ac:dyDescent="0.25">
      <c r="A334" s="271"/>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c r="AL334" s="271"/>
      <c r="AM334" s="271"/>
      <c r="AN334" s="271"/>
      <c r="AO334" s="271"/>
      <c r="AP334" s="271"/>
      <c r="AQ334" s="271"/>
      <c r="AR334" s="271"/>
      <c r="AS334" s="271"/>
      <c r="AT334" s="271"/>
      <c r="AU334" s="271"/>
      <c r="AV334" s="271"/>
      <c r="AW334" s="271"/>
      <c r="AX334" s="271"/>
      <c r="AY334" s="271"/>
    </row>
    <row r="335" spans="1:51" ht="15.75" customHeight="1" x14ac:dyDescent="0.25">
      <c r="A335" s="271"/>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c r="AL335" s="271"/>
      <c r="AM335" s="271"/>
      <c r="AN335" s="271"/>
      <c r="AO335" s="271"/>
      <c r="AP335" s="271"/>
      <c r="AQ335" s="271"/>
      <c r="AR335" s="271"/>
      <c r="AS335" s="271"/>
      <c r="AT335" s="271"/>
      <c r="AU335" s="271"/>
      <c r="AV335" s="271"/>
      <c r="AW335" s="271"/>
      <c r="AX335" s="271"/>
      <c r="AY335" s="271"/>
    </row>
    <row r="336" spans="1:51" ht="15.75" customHeight="1" x14ac:dyDescent="0.25">
      <c r="A336" s="271"/>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c r="AL336" s="271"/>
      <c r="AM336" s="271"/>
      <c r="AN336" s="271"/>
      <c r="AO336" s="271"/>
      <c r="AP336" s="271"/>
      <c r="AQ336" s="271"/>
      <c r="AR336" s="271"/>
      <c r="AS336" s="271"/>
      <c r="AT336" s="271"/>
      <c r="AU336" s="271"/>
      <c r="AV336" s="271"/>
      <c r="AW336" s="271"/>
      <c r="AX336" s="271"/>
      <c r="AY336" s="271"/>
    </row>
    <row r="337" spans="1:51" ht="15.75" customHeight="1" x14ac:dyDescent="0.25">
      <c r="A337" s="271"/>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c r="AL337" s="271"/>
      <c r="AM337" s="271"/>
      <c r="AN337" s="271"/>
      <c r="AO337" s="271"/>
      <c r="AP337" s="271"/>
      <c r="AQ337" s="271"/>
      <c r="AR337" s="271"/>
      <c r="AS337" s="271"/>
      <c r="AT337" s="271"/>
      <c r="AU337" s="271"/>
      <c r="AV337" s="271"/>
      <c r="AW337" s="271"/>
      <c r="AX337" s="271"/>
      <c r="AY337" s="271"/>
    </row>
    <row r="338" spans="1:51" ht="15.75" customHeight="1" x14ac:dyDescent="0.25">
      <c r="A338" s="271"/>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c r="AL338" s="271"/>
      <c r="AM338" s="271"/>
      <c r="AN338" s="271"/>
      <c r="AO338" s="271"/>
      <c r="AP338" s="271"/>
      <c r="AQ338" s="271"/>
      <c r="AR338" s="271"/>
      <c r="AS338" s="271"/>
      <c r="AT338" s="271"/>
      <c r="AU338" s="271"/>
      <c r="AV338" s="271"/>
      <c r="AW338" s="271"/>
      <c r="AX338" s="271"/>
      <c r="AY338" s="271"/>
    </row>
    <row r="339" spans="1:51" ht="15.75" customHeight="1" x14ac:dyDescent="0.25">
      <c r="A339" s="271"/>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c r="AL339" s="271"/>
      <c r="AM339" s="271"/>
      <c r="AN339" s="271"/>
      <c r="AO339" s="271"/>
      <c r="AP339" s="271"/>
      <c r="AQ339" s="271"/>
      <c r="AR339" s="271"/>
      <c r="AS339" s="271"/>
      <c r="AT339" s="271"/>
      <c r="AU339" s="271"/>
      <c r="AV339" s="271"/>
      <c r="AW339" s="271"/>
      <c r="AX339" s="271"/>
      <c r="AY339" s="271"/>
    </row>
    <row r="340" spans="1:51" ht="15.75" customHeight="1" x14ac:dyDescent="0.25">
      <c r="A340" s="271"/>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c r="AL340" s="271"/>
      <c r="AM340" s="271"/>
      <c r="AN340" s="271"/>
      <c r="AO340" s="271"/>
      <c r="AP340" s="271"/>
      <c r="AQ340" s="271"/>
      <c r="AR340" s="271"/>
      <c r="AS340" s="271"/>
      <c r="AT340" s="271"/>
      <c r="AU340" s="271"/>
      <c r="AV340" s="271"/>
      <c r="AW340" s="271"/>
      <c r="AX340" s="271"/>
      <c r="AY340" s="271"/>
    </row>
    <row r="341" spans="1:51" ht="15.75" customHeight="1" x14ac:dyDescent="0.25">
      <c r="A341" s="271"/>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c r="AL341" s="271"/>
      <c r="AM341" s="271"/>
      <c r="AN341" s="271"/>
      <c r="AO341" s="271"/>
      <c r="AP341" s="271"/>
      <c r="AQ341" s="271"/>
      <c r="AR341" s="271"/>
      <c r="AS341" s="271"/>
      <c r="AT341" s="271"/>
      <c r="AU341" s="271"/>
      <c r="AV341" s="271"/>
      <c r="AW341" s="271"/>
      <c r="AX341" s="271"/>
      <c r="AY341" s="271"/>
    </row>
    <row r="342" spans="1:51" ht="15.75" customHeight="1" x14ac:dyDescent="0.25">
      <c r="A342" s="271"/>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c r="AL342" s="271"/>
      <c r="AM342" s="271"/>
      <c r="AN342" s="271"/>
      <c r="AO342" s="271"/>
      <c r="AP342" s="271"/>
      <c r="AQ342" s="271"/>
      <c r="AR342" s="271"/>
      <c r="AS342" s="271"/>
      <c r="AT342" s="271"/>
      <c r="AU342" s="271"/>
      <c r="AV342" s="271"/>
      <c r="AW342" s="271"/>
      <c r="AX342" s="271"/>
      <c r="AY342" s="271"/>
    </row>
    <row r="343" spans="1:51" ht="15.75" customHeight="1" x14ac:dyDescent="0.25">
      <c r="A343" s="271"/>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c r="AL343" s="271"/>
      <c r="AM343" s="271"/>
      <c r="AN343" s="271"/>
      <c r="AO343" s="271"/>
      <c r="AP343" s="271"/>
      <c r="AQ343" s="271"/>
      <c r="AR343" s="271"/>
      <c r="AS343" s="271"/>
      <c r="AT343" s="271"/>
      <c r="AU343" s="271"/>
      <c r="AV343" s="271"/>
      <c r="AW343" s="271"/>
      <c r="AX343" s="271"/>
      <c r="AY343" s="271"/>
    </row>
    <row r="344" spans="1:51" ht="15.75" customHeight="1" x14ac:dyDescent="0.25">
      <c r="A344" s="271"/>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c r="AL344" s="271"/>
      <c r="AM344" s="271"/>
      <c r="AN344" s="271"/>
      <c r="AO344" s="271"/>
      <c r="AP344" s="271"/>
      <c r="AQ344" s="271"/>
      <c r="AR344" s="271"/>
      <c r="AS344" s="271"/>
      <c r="AT344" s="271"/>
      <c r="AU344" s="271"/>
      <c r="AV344" s="271"/>
      <c r="AW344" s="271"/>
      <c r="AX344" s="271"/>
      <c r="AY344" s="271"/>
    </row>
    <row r="345" spans="1:51" ht="15.75" customHeight="1" x14ac:dyDescent="0.25">
      <c r="A345" s="271"/>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c r="AL345" s="271"/>
      <c r="AM345" s="271"/>
      <c r="AN345" s="271"/>
      <c r="AO345" s="271"/>
      <c r="AP345" s="271"/>
      <c r="AQ345" s="271"/>
      <c r="AR345" s="271"/>
      <c r="AS345" s="271"/>
      <c r="AT345" s="271"/>
      <c r="AU345" s="271"/>
      <c r="AV345" s="271"/>
      <c r="AW345" s="271"/>
      <c r="AX345" s="271"/>
      <c r="AY345" s="271"/>
    </row>
    <row r="346" spans="1:51" ht="15.75" customHeight="1" x14ac:dyDescent="0.25">
      <c r="A346" s="271"/>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c r="AL346" s="271"/>
      <c r="AM346" s="271"/>
      <c r="AN346" s="271"/>
      <c r="AO346" s="271"/>
      <c r="AP346" s="271"/>
      <c r="AQ346" s="271"/>
      <c r="AR346" s="271"/>
      <c r="AS346" s="271"/>
      <c r="AT346" s="271"/>
      <c r="AU346" s="271"/>
      <c r="AV346" s="271"/>
      <c r="AW346" s="271"/>
      <c r="AX346" s="271"/>
      <c r="AY346" s="271"/>
    </row>
    <row r="347" spans="1:51" ht="15.75" customHeight="1" x14ac:dyDescent="0.25">
      <c r="A347" s="271"/>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c r="AL347" s="271"/>
      <c r="AM347" s="271"/>
      <c r="AN347" s="271"/>
      <c r="AO347" s="271"/>
      <c r="AP347" s="271"/>
      <c r="AQ347" s="271"/>
      <c r="AR347" s="271"/>
      <c r="AS347" s="271"/>
      <c r="AT347" s="271"/>
      <c r="AU347" s="271"/>
      <c r="AV347" s="271"/>
      <c r="AW347" s="271"/>
      <c r="AX347" s="271"/>
      <c r="AY347" s="271"/>
    </row>
    <row r="348" spans="1:51" ht="15.75" customHeight="1" x14ac:dyDescent="0.25">
      <c r="A348" s="271"/>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c r="AL348" s="271"/>
      <c r="AM348" s="271"/>
      <c r="AN348" s="271"/>
      <c r="AO348" s="271"/>
      <c r="AP348" s="271"/>
      <c r="AQ348" s="271"/>
      <c r="AR348" s="271"/>
      <c r="AS348" s="271"/>
      <c r="AT348" s="271"/>
      <c r="AU348" s="271"/>
      <c r="AV348" s="271"/>
      <c r="AW348" s="271"/>
      <c r="AX348" s="271"/>
      <c r="AY348" s="271"/>
    </row>
    <row r="349" spans="1:51" ht="15.75" customHeight="1" x14ac:dyDescent="0.25">
      <c r="A349" s="271"/>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c r="AL349" s="271"/>
      <c r="AM349" s="271"/>
      <c r="AN349" s="271"/>
      <c r="AO349" s="271"/>
      <c r="AP349" s="271"/>
      <c r="AQ349" s="271"/>
      <c r="AR349" s="271"/>
      <c r="AS349" s="271"/>
      <c r="AT349" s="271"/>
      <c r="AU349" s="271"/>
      <c r="AV349" s="271"/>
      <c r="AW349" s="271"/>
      <c r="AX349" s="271"/>
      <c r="AY349" s="271"/>
    </row>
    <row r="350" spans="1:51" ht="15.75" customHeight="1" x14ac:dyDescent="0.25">
      <c r="A350" s="271"/>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c r="AL350" s="271"/>
      <c r="AM350" s="271"/>
      <c r="AN350" s="271"/>
      <c r="AO350" s="271"/>
      <c r="AP350" s="271"/>
      <c r="AQ350" s="271"/>
      <c r="AR350" s="271"/>
      <c r="AS350" s="271"/>
      <c r="AT350" s="271"/>
      <c r="AU350" s="271"/>
      <c r="AV350" s="271"/>
      <c r="AW350" s="271"/>
      <c r="AX350" s="271"/>
      <c r="AY350" s="271"/>
    </row>
    <row r="351" spans="1:51" ht="15.75" customHeight="1" x14ac:dyDescent="0.25">
      <c r="A351" s="271"/>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c r="AL351" s="271"/>
      <c r="AM351" s="271"/>
      <c r="AN351" s="271"/>
      <c r="AO351" s="271"/>
      <c r="AP351" s="271"/>
      <c r="AQ351" s="271"/>
      <c r="AR351" s="271"/>
      <c r="AS351" s="271"/>
      <c r="AT351" s="271"/>
      <c r="AU351" s="271"/>
      <c r="AV351" s="271"/>
      <c r="AW351" s="271"/>
      <c r="AX351" s="271"/>
      <c r="AY351" s="271"/>
    </row>
    <row r="352" spans="1:51" ht="15.75" customHeight="1" x14ac:dyDescent="0.25">
      <c r="A352" s="271"/>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c r="AL352" s="271"/>
      <c r="AM352" s="271"/>
      <c r="AN352" s="271"/>
      <c r="AO352" s="271"/>
      <c r="AP352" s="271"/>
      <c r="AQ352" s="271"/>
      <c r="AR352" s="271"/>
      <c r="AS352" s="271"/>
      <c r="AT352" s="271"/>
      <c r="AU352" s="271"/>
      <c r="AV352" s="271"/>
      <c r="AW352" s="271"/>
      <c r="AX352" s="271"/>
      <c r="AY352" s="271"/>
    </row>
    <row r="353" spans="1:51" ht="15.75" customHeight="1" x14ac:dyDescent="0.25">
      <c r="A353" s="271"/>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c r="AL353" s="271"/>
      <c r="AM353" s="271"/>
      <c r="AN353" s="271"/>
      <c r="AO353" s="271"/>
      <c r="AP353" s="271"/>
      <c r="AQ353" s="271"/>
      <c r="AR353" s="271"/>
      <c r="AS353" s="271"/>
      <c r="AT353" s="271"/>
      <c r="AU353" s="271"/>
      <c r="AV353" s="271"/>
      <c r="AW353" s="271"/>
      <c r="AX353" s="271"/>
      <c r="AY353" s="271"/>
    </row>
    <row r="354" spans="1:51" ht="15.75" customHeight="1" x14ac:dyDescent="0.25">
      <c r="A354" s="271"/>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c r="AL354" s="271"/>
      <c r="AM354" s="271"/>
      <c r="AN354" s="271"/>
      <c r="AO354" s="271"/>
      <c r="AP354" s="271"/>
      <c r="AQ354" s="271"/>
      <c r="AR354" s="271"/>
      <c r="AS354" s="271"/>
      <c r="AT354" s="271"/>
      <c r="AU354" s="271"/>
      <c r="AV354" s="271"/>
      <c r="AW354" s="271"/>
      <c r="AX354" s="271"/>
      <c r="AY354" s="271"/>
    </row>
    <row r="355" spans="1:51" ht="15.75" customHeight="1" x14ac:dyDescent="0.25">
      <c r="A355" s="271"/>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c r="AL355" s="271"/>
      <c r="AM355" s="271"/>
      <c r="AN355" s="271"/>
      <c r="AO355" s="271"/>
      <c r="AP355" s="271"/>
      <c r="AQ355" s="271"/>
      <c r="AR355" s="271"/>
      <c r="AS355" s="271"/>
      <c r="AT355" s="271"/>
      <c r="AU355" s="271"/>
      <c r="AV355" s="271"/>
      <c r="AW355" s="271"/>
      <c r="AX355" s="271"/>
      <c r="AY355" s="271"/>
    </row>
    <row r="356" spans="1:51" ht="15.75" customHeight="1" x14ac:dyDescent="0.25">
      <c r="A356" s="271"/>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c r="AL356" s="271"/>
      <c r="AM356" s="271"/>
      <c r="AN356" s="271"/>
      <c r="AO356" s="271"/>
      <c r="AP356" s="271"/>
      <c r="AQ356" s="271"/>
      <c r="AR356" s="271"/>
      <c r="AS356" s="271"/>
      <c r="AT356" s="271"/>
      <c r="AU356" s="271"/>
      <c r="AV356" s="271"/>
      <c r="AW356" s="271"/>
      <c r="AX356" s="271"/>
      <c r="AY356" s="271"/>
    </row>
    <row r="357" spans="1:51" ht="15.75" customHeight="1" x14ac:dyDescent="0.25">
      <c r="A357" s="271"/>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c r="AL357" s="271"/>
      <c r="AM357" s="271"/>
      <c r="AN357" s="271"/>
      <c r="AO357" s="271"/>
      <c r="AP357" s="271"/>
      <c r="AQ357" s="271"/>
      <c r="AR357" s="271"/>
      <c r="AS357" s="271"/>
      <c r="AT357" s="271"/>
      <c r="AU357" s="271"/>
      <c r="AV357" s="271"/>
      <c r="AW357" s="271"/>
      <c r="AX357" s="271"/>
      <c r="AY357" s="271"/>
    </row>
    <row r="358" spans="1:51" ht="15.75" customHeight="1" x14ac:dyDescent="0.25">
      <c r="A358" s="271"/>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c r="AL358" s="271"/>
      <c r="AM358" s="271"/>
      <c r="AN358" s="271"/>
      <c r="AO358" s="271"/>
      <c r="AP358" s="271"/>
      <c r="AQ358" s="271"/>
      <c r="AR358" s="271"/>
      <c r="AS358" s="271"/>
      <c r="AT358" s="271"/>
      <c r="AU358" s="271"/>
      <c r="AV358" s="271"/>
      <c r="AW358" s="271"/>
      <c r="AX358" s="271"/>
      <c r="AY358" s="271"/>
    </row>
    <row r="359" spans="1:51" ht="15.75" customHeight="1" x14ac:dyDescent="0.25">
      <c r="A359" s="271"/>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c r="AL359" s="271"/>
      <c r="AM359" s="271"/>
      <c r="AN359" s="271"/>
      <c r="AO359" s="271"/>
      <c r="AP359" s="271"/>
      <c r="AQ359" s="271"/>
      <c r="AR359" s="271"/>
      <c r="AS359" s="271"/>
      <c r="AT359" s="271"/>
      <c r="AU359" s="271"/>
      <c r="AV359" s="271"/>
      <c r="AW359" s="271"/>
      <c r="AX359" s="271"/>
      <c r="AY359" s="271"/>
    </row>
    <row r="360" spans="1:51" ht="15.75" customHeight="1" x14ac:dyDescent="0.25">
      <c r="A360" s="271"/>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c r="AL360" s="271"/>
      <c r="AM360" s="271"/>
      <c r="AN360" s="271"/>
      <c r="AO360" s="271"/>
      <c r="AP360" s="271"/>
      <c r="AQ360" s="271"/>
      <c r="AR360" s="271"/>
      <c r="AS360" s="271"/>
      <c r="AT360" s="271"/>
      <c r="AU360" s="271"/>
      <c r="AV360" s="271"/>
      <c r="AW360" s="271"/>
      <c r="AX360" s="271"/>
      <c r="AY360" s="271"/>
    </row>
    <row r="361" spans="1:51" ht="15.75" customHeight="1" x14ac:dyDescent="0.25">
      <c r="A361" s="271"/>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c r="AL361" s="271"/>
      <c r="AM361" s="271"/>
      <c r="AN361" s="271"/>
      <c r="AO361" s="271"/>
      <c r="AP361" s="271"/>
      <c r="AQ361" s="271"/>
      <c r="AR361" s="271"/>
      <c r="AS361" s="271"/>
      <c r="AT361" s="271"/>
      <c r="AU361" s="271"/>
      <c r="AV361" s="271"/>
      <c r="AW361" s="271"/>
      <c r="AX361" s="271"/>
      <c r="AY361" s="271"/>
    </row>
    <row r="362" spans="1:51" ht="15.75" customHeight="1" x14ac:dyDescent="0.25">
      <c r="A362" s="271"/>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c r="AL362" s="271"/>
      <c r="AM362" s="271"/>
      <c r="AN362" s="271"/>
      <c r="AO362" s="271"/>
      <c r="AP362" s="271"/>
      <c r="AQ362" s="271"/>
      <c r="AR362" s="271"/>
      <c r="AS362" s="271"/>
      <c r="AT362" s="271"/>
      <c r="AU362" s="271"/>
      <c r="AV362" s="271"/>
      <c r="AW362" s="271"/>
      <c r="AX362" s="271"/>
      <c r="AY362" s="271"/>
    </row>
    <row r="363" spans="1:51" ht="15.75" customHeight="1" x14ac:dyDescent="0.25">
      <c r="A363" s="271"/>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c r="AL363" s="271"/>
      <c r="AM363" s="271"/>
      <c r="AN363" s="271"/>
      <c r="AO363" s="271"/>
      <c r="AP363" s="271"/>
      <c r="AQ363" s="271"/>
      <c r="AR363" s="271"/>
      <c r="AS363" s="271"/>
      <c r="AT363" s="271"/>
      <c r="AU363" s="271"/>
      <c r="AV363" s="271"/>
      <c r="AW363" s="271"/>
      <c r="AX363" s="271"/>
      <c r="AY363" s="271"/>
    </row>
    <row r="364" spans="1:51" ht="15.75" customHeight="1" x14ac:dyDescent="0.25">
      <c r="A364" s="271"/>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c r="AL364" s="271"/>
      <c r="AM364" s="271"/>
      <c r="AN364" s="271"/>
      <c r="AO364" s="271"/>
      <c r="AP364" s="271"/>
      <c r="AQ364" s="271"/>
      <c r="AR364" s="271"/>
      <c r="AS364" s="271"/>
      <c r="AT364" s="271"/>
      <c r="AU364" s="271"/>
      <c r="AV364" s="271"/>
      <c r="AW364" s="271"/>
      <c r="AX364" s="271"/>
      <c r="AY364" s="271"/>
    </row>
    <row r="365" spans="1:51" ht="15.75" customHeight="1" x14ac:dyDescent="0.25">
      <c r="A365" s="271"/>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c r="AL365" s="271"/>
      <c r="AM365" s="271"/>
      <c r="AN365" s="271"/>
      <c r="AO365" s="271"/>
      <c r="AP365" s="271"/>
      <c r="AQ365" s="271"/>
      <c r="AR365" s="271"/>
      <c r="AS365" s="271"/>
      <c r="AT365" s="271"/>
      <c r="AU365" s="271"/>
      <c r="AV365" s="271"/>
      <c r="AW365" s="271"/>
      <c r="AX365" s="271"/>
      <c r="AY365" s="271"/>
    </row>
    <row r="366" spans="1:51" ht="15.75" customHeight="1" x14ac:dyDescent="0.25">
      <c r="A366" s="271"/>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c r="AL366" s="271"/>
      <c r="AM366" s="271"/>
      <c r="AN366" s="271"/>
      <c r="AO366" s="271"/>
      <c r="AP366" s="271"/>
      <c r="AQ366" s="271"/>
      <c r="AR366" s="271"/>
      <c r="AS366" s="271"/>
      <c r="AT366" s="271"/>
      <c r="AU366" s="271"/>
      <c r="AV366" s="271"/>
      <c r="AW366" s="271"/>
      <c r="AX366" s="271"/>
      <c r="AY366" s="271"/>
    </row>
    <row r="367" spans="1:51" ht="15.75" customHeight="1" x14ac:dyDescent="0.25">
      <c r="A367" s="271"/>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c r="AL367" s="271"/>
      <c r="AM367" s="271"/>
      <c r="AN367" s="271"/>
      <c r="AO367" s="271"/>
      <c r="AP367" s="271"/>
      <c r="AQ367" s="271"/>
      <c r="AR367" s="271"/>
      <c r="AS367" s="271"/>
      <c r="AT367" s="271"/>
      <c r="AU367" s="271"/>
      <c r="AV367" s="271"/>
      <c r="AW367" s="271"/>
      <c r="AX367" s="271"/>
      <c r="AY367" s="271"/>
    </row>
    <row r="368" spans="1:51" ht="15.75" customHeight="1" x14ac:dyDescent="0.25">
      <c r="A368" s="271"/>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c r="AL368" s="271"/>
      <c r="AM368" s="271"/>
      <c r="AN368" s="271"/>
      <c r="AO368" s="271"/>
      <c r="AP368" s="271"/>
      <c r="AQ368" s="271"/>
      <c r="AR368" s="271"/>
      <c r="AS368" s="271"/>
      <c r="AT368" s="271"/>
      <c r="AU368" s="271"/>
      <c r="AV368" s="271"/>
      <c r="AW368" s="271"/>
      <c r="AX368" s="271"/>
      <c r="AY368" s="271"/>
    </row>
    <row r="369" spans="1:51" ht="15.75" customHeight="1" x14ac:dyDescent="0.25">
      <c r="A369" s="271"/>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c r="AL369" s="271"/>
      <c r="AM369" s="271"/>
      <c r="AN369" s="271"/>
      <c r="AO369" s="271"/>
      <c r="AP369" s="271"/>
      <c r="AQ369" s="271"/>
      <c r="AR369" s="271"/>
      <c r="AS369" s="271"/>
      <c r="AT369" s="271"/>
      <c r="AU369" s="271"/>
      <c r="AV369" s="271"/>
      <c r="AW369" s="271"/>
      <c r="AX369" s="271"/>
      <c r="AY369" s="271"/>
    </row>
    <row r="370" spans="1:51" ht="15.75" customHeight="1" x14ac:dyDescent="0.25">
      <c r="A370" s="271"/>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c r="AL370" s="271"/>
      <c r="AM370" s="271"/>
      <c r="AN370" s="271"/>
      <c r="AO370" s="271"/>
      <c r="AP370" s="271"/>
      <c r="AQ370" s="271"/>
      <c r="AR370" s="271"/>
      <c r="AS370" s="271"/>
      <c r="AT370" s="271"/>
      <c r="AU370" s="271"/>
      <c r="AV370" s="271"/>
      <c r="AW370" s="271"/>
      <c r="AX370" s="271"/>
      <c r="AY370" s="271"/>
    </row>
    <row r="371" spans="1:51" ht="15.75" customHeight="1" x14ac:dyDescent="0.25">
      <c r="A371" s="271"/>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c r="AL371" s="271"/>
      <c r="AM371" s="271"/>
      <c r="AN371" s="271"/>
      <c r="AO371" s="271"/>
      <c r="AP371" s="271"/>
      <c r="AQ371" s="271"/>
      <c r="AR371" s="271"/>
      <c r="AS371" s="271"/>
      <c r="AT371" s="271"/>
      <c r="AU371" s="271"/>
      <c r="AV371" s="271"/>
      <c r="AW371" s="271"/>
      <c r="AX371" s="271"/>
      <c r="AY371" s="271"/>
    </row>
    <row r="372" spans="1:51" ht="15.75" customHeight="1" x14ac:dyDescent="0.25">
      <c r="A372" s="271"/>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c r="AL372" s="271"/>
      <c r="AM372" s="271"/>
      <c r="AN372" s="271"/>
      <c r="AO372" s="271"/>
      <c r="AP372" s="271"/>
      <c r="AQ372" s="271"/>
      <c r="AR372" s="271"/>
      <c r="AS372" s="271"/>
      <c r="AT372" s="271"/>
      <c r="AU372" s="271"/>
      <c r="AV372" s="271"/>
      <c r="AW372" s="271"/>
      <c r="AX372" s="271"/>
      <c r="AY372" s="271"/>
    </row>
    <row r="373" spans="1:51" ht="15.75" customHeight="1" x14ac:dyDescent="0.25">
      <c r="A373" s="271"/>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c r="AL373" s="271"/>
      <c r="AM373" s="271"/>
      <c r="AN373" s="271"/>
      <c r="AO373" s="271"/>
      <c r="AP373" s="271"/>
      <c r="AQ373" s="271"/>
      <c r="AR373" s="271"/>
      <c r="AS373" s="271"/>
      <c r="AT373" s="271"/>
      <c r="AU373" s="271"/>
      <c r="AV373" s="271"/>
      <c r="AW373" s="271"/>
      <c r="AX373" s="271"/>
      <c r="AY373" s="271"/>
    </row>
    <row r="374" spans="1:51" ht="15.75" customHeight="1" x14ac:dyDescent="0.25">
      <c r="A374" s="271"/>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c r="AL374" s="271"/>
      <c r="AM374" s="271"/>
      <c r="AN374" s="271"/>
      <c r="AO374" s="271"/>
      <c r="AP374" s="271"/>
      <c r="AQ374" s="271"/>
      <c r="AR374" s="271"/>
      <c r="AS374" s="271"/>
      <c r="AT374" s="271"/>
      <c r="AU374" s="271"/>
      <c r="AV374" s="271"/>
      <c r="AW374" s="271"/>
      <c r="AX374" s="271"/>
      <c r="AY374" s="271"/>
    </row>
    <row r="375" spans="1:51" ht="15.75" customHeight="1" x14ac:dyDescent="0.25">
      <c r="A375" s="271"/>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c r="AL375" s="271"/>
      <c r="AM375" s="271"/>
      <c r="AN375" s="271"/>
      <c r="AO375" s="271"/>
      <c r="AP375" s="271"/>
      <c r="AQ375" s="271"/>
      <c r="AR375" s="271"/>
      <c r="AS375" s="271"/>
      <c r="AT375" s="271"/>
      <c r="AU375" s="271"/>
      <c r="AV375" s="271"/>
      <c r="AW375" s="271"/>
      <c r="AX375" s="271"/>
      <c r="AY375" s="271"/>
    </row>
    <row r="376" spans="1:51" ht="15.75" customHeight="1" x14ac:dyDescent="0.25">
      <c r="A376" s="271"/>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c r="AL376" s="271"/>
      <c r="AM376" s="271"/>
      <c r="AN376" s="271"/>
      <c r="AO376" s="271"/>
      <c r="AP376" s="271"/>
      <c r="AQ376" s="271"/>
      <c r="AR376" s="271"/>
      <c r="AS376" s="271"/>
      <c r="AT376" s="271"/>
      <c r="AU376" s="271"/>
      <c r="AV376" s="271"/>
      <c r="AW376" s="271"/>
      <c r="AX376" s="271"/>
      <c r="AY376" s="271"/>
    </row>
    <row r="377" spans="1:51" ht="15.75" customHeight="1" x14ac:dyDescent="0.25">
      <c r="A377" s="271"/>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c r="AL377" s="271"/>
      <c r="AM377" s="271"/>
      <c r="AN377" s="271"/>
      <c r="AO377" s="271"/>
      <c r="AP377" s="271"/>
      <c r="AQ377" s="271"/>
      <c r="AR377" s="271"/>
      <c r="AS377" s="271"/>
      <c r="AT377" s="271"/>
      <c r="AU377" s="271"/>
      <c r="AV377" s="271"/>
      <c r="AW377" s="271"/>
      <c r="AX377" s="271"/>
      <c r="AY377" s="271"/>
    </row>
    <row r="378" spans="1:51" ht="15.75" customHeight="1" x14ac:dyDescent="0.25">
      <c r="A378" s="271"/>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c r="AL378" s="271"/>
      <c r="AM378" s="271"/>
      <c r="AN378" s="271"/>
      <c r="AO378" s="271"/>
      <c r="AP378" s="271"/>
      <c r="AQ378" s="271"/>
      <c r="AR378" s="271"/>
      <c r="AS378" s="271"/>
      <c r="AT378" s="271"/>
      <c r="AU378" s="271"/>
      <c r="AV378" s="271"/>
      <c r="AW378" s="271"/>
      <c r="AX378" s="271"/>
      <c r="AY378" s="271"/>
    </row>
    <row r="379" spans="1:51" ht="15.75" customHeight="1" x14ac:dyDescent="0.25">
      <c r="A379" s="271"/>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c r="AL379" s="271"/>
      <c r="AM379" s="271"/>
      <c r="AN379" s="271"/>
      <c r="AO379" s="271"/>
      <c r="AP379" s="271"/>
      <c r="AQ379" s="271"/>
      <c r="AR379" s="271"/>
      <c r="AS379" s="271"/>
      <c r="AT379" s="271"/>
      <c r="AU379" s="271"/>
      <c r="AV379" s="271"/>
      <c r="AW379" s="271"/>
      <c r="AX379" s="271"/>
      <c r="AY379" s="271"/>
    </row>
    <row r="380" spans="1:51" ht="15.75" customHeight="1" x14ac:dyDescent="0.25">
      <c r="A380" s="271"/>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c r="AL380" s="271"/>
      <c r="AM380" s="271"/>
      <c r="AN380" s="271"/>
      <c r="AO380" s="271"/>
      <c r="AP380" s="271"/>
      <c r="AQ380" s="271"/>
      <c r="AR380" s="271"/>
      <c r="AS380" s="271"/>
      <c r="AT380" s="271"/>
      <c r="AU380" s="271"/>
      <c r="AV380" s="271"/>
      <c r="AW380" s="271"/>
      <c r="AX380" s="271"/>
      <c r="AY380" s="271"/>
    </row>
    <row r="381" spans="1:51" ht="15.75" customHeight="1" x14ac:dyDescent="0.25">
      <c r="A381" s="271"/>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c r="AL381" s="271"/>
      <c r="AM381" s="271"/>
      <c r="AN381" s="271"/>
      <c r="AO381" s="271"/>
      <c r="AP381" s="271"/>
      <c r="AQ381" s="271"/>
      <c r="AR381" s="271"/>
      <c r="AS381" s="271"/>
      <c r="AT381" s="271"/>
      <c r="AU381" s="271"/>
      <c r="AV381" s="271"/>
      <c r="AW381" s="271"/>
      <c r="AX381" s="271"/>
      <c r="AY381" s="271"/>
    </row>
    <row r="382" spans="1:51" ht="15.75" customHeight="1" x14ac:dyDescent="0.25">
      <c r="A382" s="271"/>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c r="AL382" s="271"/>
      <c r="AM382" s="271"/>
      <c r="AN382" s="271"/>
      <c r="AO382" s="271"/>
      <c r="AP382" s="271"/>
      <c r="AQ382" s="271"/>
      <c r="AR382" s="271"/>
      <c r="AS382" s="271"/>
      <c r="AT382" s="271"/>
      <c r="AU382" s="271"/>
      <c r="AV382" s="271"/>
      <c r="AW382" s="271"/>
      <c r="AX382" s="271"/>
      <c r="AY382" s="271"/>
    </row>
    <row r="383" spans="1:51" ht="15.75" customHeight="1" x14ac:dyDescent="0.25">
      <c r="A383" s="271"/>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c r="AL383" s="271"/>
      <c r="AM383" s="271"/>
      <c r="AN383" s="271"/>
      <c r="AO383" s="271"/>
      <c r="AP383" s="271"/>
      <c r="AQ383" s="271"/>
      <c r="AR383" s="271"/>
      <c r="AS383" s="271"/>
      <c r="AT383" s="271"/>
      <c r="AU383" s="271"/>
      <c r="AV383" s="271"/>
      <c r="AW383" s="271"/>
      <c r="AX383" s="271"/>
      <c r="AY383" s="271"/>
    </row>
    <row r="384" spans="1:51" ht="15.75" customHeight="1" x14ac:dyDescent="0.25">
      <c r="A384" s="271"/>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c r="AL384" s="271"/>
      <c r="AM384" s="271"/>
      <c r="AN384" s="271"/>
      <c r="AO384" s="271"/>
      <c r="AP384" s="271"/>
      <c r="AQ384" s="271"/>
      <c r="AR384" s="271"/>
      <c r="AS384" s="271"/>
      <c r="AT384" s="271"/>
      <c r="AU384" s="271"/>
      <c r="AV384" s="271"/>
      <c r="AW384" s="271"/>
      <c r="AX384" s="271"/>
      <c r="AY384" s="271"/>
    </row>
    <row r="385" spans="1:51" ht="15.75" customHeight="1" x14ac:dyDescent="0.25">
      <c r="A385" s="271"/>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c r="AL385" s="271"/>
      <c r="AM385" s="271"/>
      <c r="AN385" s="271"/>
      <c r="AO385" s="271"/>
      <c r="AP385" s="271"/>
      <c r="AQ385" s="271"/>
      <c r="AR385" s="271"/>
      <c r="AS385" s="271"/>
      <c r="AT385" s="271"/>
      <c r="AU385" s="271"/>
      <c r="AV385" s="271"/>
      <c r="AW385" s="271"/>
      <c r="AX385" s="271"/>
      <c r="AY385" s="271"/>
    </row>
    <row r="386" spans="1:51" ht="15.75" customHeight="1" x14ac:dyDescent="0.25">
      <c r="A386" s="271"/>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c r="AL386" s="271"/>
      <c r="AM386" s="271"/>
      <c r="AN386" s="271"/>
      <c r="AO386" s="271"/>
      <c r="AP386" s="271"/>
      <c r="AQ386" s="271"/>
      <c r="AR386" s="271"/>
      <c r="AS386" s="271"/>
      <c r="AT386" s="271"/>
      <c r="AU386" s="271"/>
      <c r="AV386" s="271"/>
      <c r="AW386" s="271"/>
      <c r="AX386" s="271"/>
      <c r="AY386" s="271"/>
    </row>
    <row r="387" spans="1:51" ht="15.75" customHeight="1" x14ac:dyDescent="0.25">
      <c r="A387" s="271"/>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c r="AL387" s="271"/>
      <c r="AM387" s="271"/>
      <c r="AN387" s="271"/>
      <c r="AO387" s="271"/>
      <c r="AP387" s="271"/>
      <c r="AQ387" s="271"/>
      <c r="AR387" s="271"/>
      <c r="AS387" s="271"/>
      <c r="AT387" s="271"/>
      <c r="AU387" s="271"/>
      <c r="AV387" s="271"/>
      <c r="AW387" s="271"/>
      <c r="AX387" s="271"/>
      <c r="AY387" s="271"/>
    </row>
    <row r="388" spans="1:51" ht="15.75" customHeight="1" x14ac:dyDescent="0.25">
      <c r="A388" s="271"/>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c r="AM388" s="271"/>
      <c r="AN388" s="271"/>
      <c r="AO388" s="271"/>
      <c r="AP388" s="271"/>
      <c r="AQ388" s="271"/>
      <c r="AR388" s="271"/>
      <c r="AS388" s="271"/>
      <c r="AT388" s="271"/>
      <c r="AU388" s="271"/>
      <c r="AV388" s="271"/>
      <c r="AW388" s="271"/>
      <c r="AX388" s="271"/>
      <c r="AY388" s="271"/>
    </row>
    <row r="389" spans="1:51" ht="15.75" customHeight="1" x14ac:dyDescent="0.25">
      <c r="A389" s="271"/>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c r="AL389" s="271"/>
      <c r="AM389" s="271"/>
      <c r="AN389" s="271"/>
      <c r="AO389" s="271"/>
      <c r="AP389" s="271"/>
      <c r="AQ389" s="271"/>
      <c r="AR389" s="271"/>
      <c r="AS389" s="271"/>
      <c r="AT389" s="271"/>
      <c r="AU389" s="271"/>
      <c r="AV389" s="271"/>
      <c r="AW389" s="271"/>
      <c r="AX389" s="271"/>
      <c r="AY389" s="271"/>
    </row>
    <row r="390" spans="1:51" ht="15.75" customHeight="1" x14ac:dyDescent="0.25">
      <c r="A390" s="271"/>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c r="AL390" s="271"/>
      <c r="AM390" s="271"/>
      <c r="AN390" s="271"/>
      <c r="AO390" s="271"/>
      <c r="AP390" s="271"/>
      <c r="AQ390" s="271"/>
      <c r="AR390" s="271"/>
      <c r="AS390" s="271"/>
      <c r="AT390" s="271"/>
      <c r="AU390" s="271"/>
      <c r="AV390" s="271"/>
      <c r="AW390" s="271"/>
      <c r="AX390" s="271"/>
      <c r="AY390" s="271"/>
    </row>
    <row r="391" spans="1:51" ht="15.75" customHeight="1" x14ac:dyDescent="0.25">
      <c r="A391" s="271"/>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c r="AL391" s="271"/>
      <c r="AM391" s="271"/>
      <c r="AN391" s="271"/>
      <c r="AO391" s="271"/>
      <c r="AP391" s="271"/>
      <c r="AQ391" s="271"/>
      <c r="AR391" s="271"/>
      <c r="AS391" s="271"/>
      <c r="AT391" s="271"/>
      <c r="AU391" s="271"/>
      <c r="AV391" s="271"/>
      <c r="AW391" s="271"/>
      <c r="AX391" s="271"/>
      <c r="AY391" s="271"/>
    </row>
    <row r="392" spans="1:51" ht="15.75" customHeight="1" x14ac:dyDescent="0.25">
      <c r="A392" s="271"/>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c r="AL392" s="271"/>
      <c r="AM392" s="271"/>
      <c r="AN392" s="271"/>
      <c r="AO392" s="271"/>
      <c r="AP392" s="271"/>
      <c r="AQ392" s="271"/>
      <c r="AR392" s="271"/>
      <c r="AS392" s="271"/>
      <c r="AT392" s="271"/>
      <c r="AU392" s="271"/>
      <c r="AV392" s="271"/>
      <c r="AW392" s="271"/>
      <c r="AX392" s="271"/>
      <c r="AY392" s="271"/>
    </row>
    <row r="393" spans="1:51" ht="15.75" customHeight="1" x14ac:dyDescent="0.25">
      <c r="A393" s="271"/>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c r="AL393" s="271"/>
      <c r="AM393" s="271"/>
      <c r="AN393" s="271"/>
      <c r="AO393" s="271"/>
      <c r="AP393" s="271"/>
      <c r="AQ393" s="271"/>
      <c r="AR393" s="271"/>
      <c r="AS393" s="271"/>
      <c r="AT393" s="271"/>
      <c r="AU393" s="271"/>
      <c r="AV393" s="271"/>
      <c r="AW393" s="271"/>
      <c r="AX393" s="271"/>
      <c r="AY393" s="271"/>
    </row>
    <row r="394" spans="1:51" ht="15.75" customHeight="1" x14ac:dyDescent="0.25">
      <c r="A394" s="271"/>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c r="AL394" s="271"/>
      <c r="AM394" s="271"/>
      <c r="AN394" s="271"/>
      <c r="AO394" s="271"/>
      <c r="AP394" s="271"/>
      <c r="AQ394" s="271"/>
      <c r="AR394" s="271"/>
      <c r="AS394" s="271"/>
      <c r="AT394" s="271"/>
      <c r="AU394" s="271"/>
      <c r="AV394" s="271"/>
      <c r="AW394" s="271"/>
      <c r="AX394" s="271"/>
      <c r="AY394" s="271"/>
    </row>
    <row r="395" spans="1:51" ht="15.75" customHeight="1" x14ac:dyDescent="0.25">
      <c r="A395" s="271"/>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c r="AL395" s="271"/>
      <c r="AM395" s="271"/>
      <c r="AN395" s="271"/>
      <c r="AO395" s="271"/>
      <c r="AP395" s="271"/>
      <c r="AQ395" s="271"/>
      <c r="AR395" s="271"/>
      <c r="AS395" s="271"/>
      <c r="AT395" s="271"/>
      <c r="AU395" s="271"/>
      <c r="AV395" s="271"/>
      <c r="AW395" s="271"/>
      <c r="AX395" s="271"/>
      <c r="AY395" s="271"/>
    </row>
    <row r="396" spans="1:51" ht="15.75" customHeight="1" x14ac:dyDescent="0.25">
      <c r="A396" s="271"/>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c r="AL396" s="271"/>
      <c r="AM396" s="271"/>
      <c r="AN396" s="271"/>
      <c r="AO396" s="271"/>
      <c r="AP396" s="271"/>
      <c r="AQ396" s="271"/>
      <c r="AR396" s="271"/>
      <c r="AS396" s="271"/>
      <c r="AT396" s="271"/>
      <c r="AU396" s="271"/>
      <c r="AV396" s="271"/>
      <c r="AW396" s="271"/>
      <c r="AX396" s="271"/>
      <c r="AY396" s="271"/>
    </row>
    <row r="397" spans="1:51" ht="15.75" customHeight="1" x14ac:dyDescent="0.25">
      <c r="A397" s="271"/>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c r="AL397" s="271"/>
      <c r="AM397" s="271"/>
      <c r="AN397" s="271"/>
      <c r="AO397" s="271"/>
      <c r="AP397" s="271"/>
      <c r="AQ397" s="271"/>
      <c r="AR397" s="271"/>
      <c r="AS397" s="271"/>
      <c r="AT397" s="271"/>
      <c r="AU397" s="271"/>
      <c r="AV397" s="271"/>
      <c r="AW397" s="271"/>
      <c r="AX397" s="271"/>
      <c r="AY397" s="271"/>
    </row>
    <row r="398" spans="1:51" ht="15.75" customHeight="1" x14ac:dyDescent="0.25">
      <c r="A398" s="271"/>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c r="AL398" s="271"/>
      <c r="AM398" s="271"/>
      <c r="AN398" s="271"/>
      <c r="AO398" s="271"/>
      <c r="AP398" s="271"/>
      <c r="AQ398" s="271"/>
      <c r="AR398" s="271"/>
      <c r="AS398" s="271"/>
      <c r="AT398" s="271"/>
      <c r="AU398" s="271"/>
      <c r="AV398" s="271"/>
      <c r="AW398" s="271"/>
      <c r="AX398" s="271"/>
      <c r="AY398" s="271"/>
    </row>
    <row r="399" spans="1:51" ht="15.75" customHeight="1" x14ac:dyDescent="0.25">
      <c r="A399" s="271"/>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c r="AL399" s="271"/>
      <c r="AM399" s="271"/>
      <c r="AN399" s="271"/>
      <c r="AO399" s="271"/>
      <c r="AP399" s="271"/>
      <c r="AQ399" s="271"/>
      <c r="AR399" s="271"/>
      <c r="AS399" s="271"/>
      <c r="AT399" s="271"/>
      <c r="AU399" s="271"/>
      <c r="AV399" s="271"/>
      <c r="AW399" s="271"/>
      <c r="AX399" s="271"/>
      <c r="AY399" s="271"/>
    </row>
    <row r="400" spans="1:51" ht="15.75" customHeight="1" x14ac:dyDescent="0.25">
      <c r="A400" s="271"/>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c r="AL400" s="271"/>
      <c r="AM400" s="271"/>
      <c r="AN400" s="271"/>
      <c r="AO400" s="271"/>
      <c r="AP400" s="271"/>
      <c r="AQ400" s="271"/>
      <c r="AR400" s="271"/>
      <c r="AS400" s="271"/>
      <c r="AT400" s="271"/>
      <c r="AU400" s="271"/>
      <c r="AV400" s="271"/>
      <c r="AW400" s="271"/>
      <c r="AX400" s="271"/>
      <c r="AY400" s="271"/>
    </row>
    <row r="401" spans="1:51" ht="15.75" customHeight="1" x14ac:dyDescent="0.25">
      <c r="A401" s="271"/>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c r="AL401" s="271"/>
      <c r="AM401" s="271"/>
      <c r="AN401" s="271"/>
      <c r="AO401" s="271"/>
      <c r="AP401" s="271"/>
      <c r="AQ401" s="271"/>
      <c r="AR401" s="271"/>
      <c r="AS401" s="271"/>
      <c r="AT401" s="271"/>
      <c r="AU401" s="271"/>
      <c r="AV401" s="271"/>
      <c r="AW401" s="271"/>
      <c r="AX401" s="271"/>
      <c r="AY401" s="271"/>
    </row>
    <row r="402" spans="1:51" ht="15.75" customHeight="1" x14ac:dyDescent="0.25">
      <c r="A402" s="271"/>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c r="AL402" s="271"/>
      <c r="AM402" s="271"/>
      <c r="AN402" s="271"/>
      <c r="AO402" s="271"/>
      <c r="AP402" s="271"/>
      <c r="AQ402" s="271"/>
      <c r="AR402" s="271"/>
      <c r="AS402" s="271"/>
      <c r="AT402" s="271"/>
      <c r="AU402" s="271"/>
      <c r="AV402" s="271"/>
      <c r="AW402" s="271"/>
      <c r="AX402" s="271"/>
      <c r="AY402" s="271"/>
    </row>
    <row r="403" spans="1:51" ht="15.75" customHeight="1" x14ac:dyDescent="0.25">
      <c r="A403" s="271"/>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c r="AL403" s="271"/>
      <c r="AM403" s="271"/>
      <c r="AN403" s="271"/>
      <c r="AO403" s="271"/>
      <c r="AP403" s="271"/>
      <c r="AQ403" s="271"/>
      <c r="AR403" s="271"/>
      <c r="AS403" s="271"/>
      <c r="AT403" s="271"/>
      <c r="AU403" s="271"/>
      <c r="AV403" s="271"/>
      <c r="AW403" s="271"/>
      <c r="AX403" s="271"/>
      <c r="AY403" s="271"/>
    </row>
    <row r="404" spans="1:51" ht="15.75" customHeight="1" x14ac:dyDescent="0.25">
      <c r="A404" s="271"/>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c r="AL404" s="271"/>
      <c r="AM404" s="271"/>
      <c r="AN404" s="271"/>
      <c r="AO404" s="271"/>
      <c r="AP404" s="271"/>
      <c r="AQ404" s="271"/>
      <c r="AR404" s="271"/>
      <c r="AS404" s="271"/>
      <c r="AT404" s="271"/>
      <c r="AU404" s="271"/>
      <c r="AV404" s="271"/>
      <c r="AW404" s="271"/>
      <c r="AX404" s="271"/>
      <c r="AY404" s="271"/>
    </row>
    <row r="405" spans="1:51" ht="15.75" customHeight="1" x14ac:dyDescent="0.25">
      <c r="A405" s="271"/>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c r="AL405" s="271"/>
      <c r="AM405" s="271"/>
      <c r="AN405" s="271"/>
      <c r="AO405" s="271"/>
      <c r="AP405" s="271"/>
      <c r="AQ405" s="271"/>
      <c r="AR405" s="271"/>
      <c r="AS405" s="271"/>
      <c r="AT405" s="271"/>
      <c r="AU405" s="271"/>
      <c r="AV405" s="271"/>
      <c r="AW405" s="271"/>
      <c r="AX405" s="271"/>
      <c r="AY405" s="271"/>
    </row>
    <row r="406" spans="1:51" ht="15.75" customHeight="1" x14ac:dyDescent="0.25">
      <c r="A406" s="271"/>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c r="AL406" s="271"/>
      <c r="AM406" s="271"/>
      <c r="AN406" s="271"/>
      <c r="AO406" s="271"/>
      <c r="AP406" s="271"/>
      <c r="AQ406" s="271"/>
      <c r="AR406" s="271"/>
      <c r="AS406" s="271"/>
      <c r="AT406" s="271"/>
      <c r="AU406" s="271"/>
      <c r="AV406" s="271"/>
      <c r="AW406" s="271"/>
      <c r="AX406" s="271"/>
      <c r="AY406" s="271"/>
    </row>
    <row r="407" spans="1:51" ht="15.75" customHeight="1" x14ac:dyDescent="0.25">
      <c r="A407" s="271"/>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c r="AL407" s="271"/>
      <c r="AM407" s="271"/>
      <c r="AN407" s="271"/>
      <c r="AO407" s="271"/>
      <c r="AP407" s="271"/>
      <c r="AQ407" s="271"/>
      <c r="AR407" s="271"/>
      <c r="AS407" s="271"/>
      <c r="AT407" s="271"/>
      <c r="AU407" s="271"/>
      <c r="AV407" s="271"/>
      <c r="AW407" s="271"/>
      <c r="AX407" s="271"/>
      <c r="AY407" s="271"/>
    </row>
    <row r="408" spans="1:51" ht="15.75" customHeight="1" x14ac:dyDescent="0.25">
      <c r="A408" s="271"/>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c r="AL408" s="271"/>
      <c r="AM408" s="271"/>
      <c r="AN408" s="271"/>
      <c r="AO408" s="271"/>
      <c r="AP408" s="271"/>
      <c r="AQ408" s="271"/>
      <c r="AR408" s="271"/>
      <c r="AS408" s="271"/>
      <c r="AT408" s="271"/>
      <c r="AU408" s="271"/>
      <c r="AV408" s="271"/>
      <c r="AW408" s="271"/>
      <c r="AX408" s="271"/>
      <c r="AY408" s="271"/>
    </row>
    <row r="409" spans="1:51" ht="15.75" customHeight="1" x14ac:dyDescent="0.25">
      <c r="A409" s="271"/>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c r="AL409" s="271"/>
      <c r="AM409" s="271"/>
      <c r="AN409" s="271"/>
      <c r="AO409" s="271"/>
      <c r="AP409" s="271"/>
      <c r="AQ409" s="271"/>
      <c r="AR409" s="271"/>
      <c r="AS409" s="271"/>
      <c r="AT409" s="271"/>
      <c r="AU409" s="271"/>
      <c r="AV409" s="271"/>
      <c r="AW409" s="271"/>
      <c r="AX409" s="271"/>
      <c r="AY409" s="271"/>
    </row>
    <row r="410" spans="1:51" ht="15.75" customHeight="1" x14ac:dyDescent="0.25">
      <c r="A410" s="271"/>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c r="AL410" s="271"/>
      <c r="AM410" s="271"/>
      <c r="AN410" s="271"/>
      <c r="AO410" s="271"/>
      <c r="AP410" s="271"/>
      <c r="AQ410" s="271"/>
      <c r="AR410" s="271"/>
      <c r="AS410" s="271"/>
      <c r="AT410" s="271"/>
      <c r="AU410" s="271"/>
      <c r="AV410" s="271"/>
      <c r="AW410" s="271"/>
      <c r="AX410" s="271"/>
      <c r="AY410" s="271"/>
    </row>
    <row r="411" spans="1:51" ht="15.75" customHeight="1" x14ac:dyDescent="0.25">
      <c r="A411" s="271"/>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c r="AL411" s="271"/>
      <c r="AM411" s="271"/>
      <c r="AN411" s="271"/>
      <c r="AO411" s="271"/>
      <c r="AP411" s="271"/>
      <c r="AQ411" s="271"/>
      <c r="AR411" s="271"/>
      <c r="AS411" s="271"/>
      <c r="AT411" s="271"/>
      <c r="AU411" s="271"/>
      <c r="AV411" s="271"/>
      <c r="AW411" s="271"/>
      <c r="AX411" s="271"/>
      <c r="AY411" s="271"/>
    </row>
    <row r="412" spans="1:51" ht="15.75" customHeight="1" x14ac:dyDescent="0.25">
      <c r="A412" s="271"/>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c r="AL412" s="271"/>
      <c r="AM412" s="271"/>
      <c r="AN412" s="271"/>
      <c r="AO412" s="271"/>
      <c r="AP412" s="271"/>
      <c r="AQ412" s="271"/>
      <c r="AR412" s="271"/>
      <c r="AS412" s="271"/>
      <c r="AT412" s="271"/>
      <c r="AU412" s="271"/>
      <c r="AV412" s="271"/>
      <c r="AW412" s="271"/>
      <c r="AX412" s="271"/>
      <c r="AY412" s="271"/>
    </row>
    <row r="413" spans="1:51" ht="15.75" customHeight="1" x14ac:dyDescent="0.25">
      <c r="A413" s="271"/>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c r="AL413" s="271"/>
      <c r="AM413" s="271"/>
      <c r="AN413" s="271"/>
      <c r="AO413" s="271"/>
      <c r="AP413" s="271"/>
      <c r="AQ413" s="271"/>
      <c r="AR413" s="271"/>
      <c r="AS413" s="271"/>
      <c r="AT413" s="271"/>
      <c r="AU413" s="271"/>
      <c r="AV413" s="271"/>
      <c r="AW413" s="271"/>
      <c r="AX413" s="271"/>
      <c r="AY413" s="271"/>
    </row>
    <row r="414" spans="1:51" ht="15.75" customHeight="1" x14ac:dyDescent="0.25">
      <c r="A414" s="271"/>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c r="AL414" s="271"/>
      <c r="AM414" s="271"/>
      <c r="AN414" s="271"/>
      <c r="AO414" s="271"/>
      <c r="AP414" s="271"/>
      <c r="AQ414" s="271"/>
      <c r="AR414" s="271"/>
      <c r="AS414" s="271"/>
      <c r="AT414" s="271"/>
      <c r="AU414" s="271"/>
      <c r="AV414" s="271"/>
      <c r="AW414" s="271"/>
      <c r="AX414" s="271"/>
      <c r="AY414" s="271"/>
    </row>
    <row r="415" spans="1:51" ht="15.75" customHeight="1" x14ac:dyDescent="0.25">
      <c r="A415" s="271"/>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c r="AL415" s="271"/>
      <c r="AM415" s="271"/>
      <c r="AN415" s="271"/>
      <c r="AO415" s="271"/>
      <c r="AP415" s="271"/>
      <c r="AQ415" s="271"/>
      <c r="AR415" s="271"/>
      <c r="AS415" s="271"/>
      <c r="AT415" s="271"/>
      <c r="AU415" s="271"/>
      <c r="AV415" s="271"/>
      <c r="AW415" s="271"/>
      <c r="AX415" s="271"/>
      <c r="AY415" s="271"/>
    </row>
    <row r="416" spans="1:51" ht="15.75" customHeight="1" x14ac:dyDescent="0.25">
      <c r="A416" s="271"/>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c r="AL416" s="271"/>
      <c r="AM416" s="271"/>
      <c r="AN416" s="271"/>
      <c r="AO416" s="271"/>
      <c r="AP416" s="271"/>
      <c r="AQ416" s="271"/>
      <c r="AR416" s="271"/>
      <c r="AS416" s="271"/>
      <c r="AT416" s="271"/>
      <c r="AU416" s="271"/>
      <c r="AV416" s="271"/>
      <c r="AW416" s="271"/>
      <c r="AX416" s="271"/>
      <c r="AY416" s="271"/>
    </row>
    <row r="417" spans="1:51" ht="15.75" customHeight="1" x14ac:dyDescent="0.25">
      <c r="A417" s="271"/>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c r="AL417" s="271"/>
      <c r="AM417" s="271"/>
      <c r="AN417" s="271"/>
      <c r="AO417" s="271"/>
      <c r="AP417" s="271"/>
      <c r="AQ417" s="271"/>
      <c r="AR417" s="271"/>
      <c r="AS417" s="271"/>
      <c r="AT417" s="271"/>
      <c r="AU417" s="271"/>
      <c r="AV417" s="271"/>
      <c r="AW417" s="271"/>
      <c r="AX417" s="271"/>
      <c r="AY417" s="271"/>
    </row>
    <row r="418" spans="1:51" ht="15.75" customHeight="1" x14ac:dyDescent="0.25">
      <c r="A418" s="271"/>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c r="AL418" s="271"/>
      <c r="AM418" s="271"/>
      <c r="AN418" s="271"/>
      <c r="AO418" s="271"/>
      <c r="AP418" s="271"/>
      <c r="AQ418" s="271"/>
      <c r="AR418" s="271"/>
      <c r="AS418" s="271"/>
      <c r="AT418" s="271"/>
      <c r="AU418" s="271"/>
      <c r="AV418" s="271"/>
      <c r="AW418" s="271"/>
      <c r="AX418" s="271"/>
      <c r="AY418" s="271"/>
    </row>
    <row r="419" spans="1:51" ht="15.75" customHeight="1" x14ac:dyDescent="0.25">
      <c r="A419" s="271"/>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c r="AL419" s="271"/>
      <c r="AM419" s="271"/>
      <c r="AN419" s="271"/>
      <c r="AO419" s="271"/>
      <c r="AP419" s="271"/>
      <c r="AQ419" s="271"/>
      <c r="AR419" s="271"/>
      <c r="AS419" s="271"/>
      <c r="AT419" s="271"/>
      <c r="AU419" s="271"/>
      <c r="AV419" s="271"/>
      <c r="AW419" s="271"/>
      <c r="AX419" s="271"/>
      <c r="AY419" s="271"/>
    </row>
    <row r="420" spans="1:51" ht="15.75" customHeight="1" x14ac:dyDescent="0.25">
      <c r="A420" s="271"/>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c r="AL420" s="271"/>
      <c r="AM420" s="271"/>
      <c r="AN420" s="271"/>
      <c r="AO420" s="271"/>
      <c r="AP420" s="271"/>
      <c r="AQ420" s="271"/>
      <c r="AR420" s="271"/>
      <c r="AS420" s="271"/>
      <c r="AT420" s="271"/>
      <c r="AU420" s="271"/>
      <c r="AV420" s="271"/>
      <c r="AW420" s="271"/>
      <c r="AX420" s="271"/>
      <c r="AY420" s="271"/>
    </row>
    <row r="421" spans="1:51" ht="15.75" customHeight="1" x14ac:dyDescent="0.25">
      <c r="A421" s="271"/>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c r="AL421" s="271"/>
      <c r="AM421" s="271"/>
      <c r="AN421" s="271"/>
      <c r="AO421" s="271"/>
      <c r="AP421" s="271"/>
      <c r="AQ421" s="271"/>
      <c r="AR421" s="271"/>
      <c r="AS421" s="271"/>
      <c r="AT421" s="271"/>
      <c r="AU421" s="271"/>
      <c r="AV421" s="271"/>
      <c r="AW421" s="271"/>
      <c r="AX421" s="271"/>
      <c r="AY421" s="271"/>
    </row>
    <row r="422" spans="1:51" ht="15.75" customHeight="1" x14ac:dyDescent="0.25">
      <c r="A422" s="271"/>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c r="AL422" s="271"/>
      <c r="AM422" s="271"/>
      <c r="AN422" s="271"/>
      <c r="AO422" s="271"/>
      <c r="AP422" s="271"/>
      <c r="AQ422" s="271"/>
      <c r="AR422" s="271"/>
      <c r="AS422" s="271"/>
      <c r="AT422" s="271"/>
      <c r="AU422" s="271"/>
      <c r="AV422" s="271"/>
      <c r="AW422" s="271"/>
      <c r="AX422" s="271"/>
      <c r="AY422" s="271"/>
    </row>
    <row r="423" spans="1:51" ht="15.75" customHeight="1" x14ac:dyDescent="0.25">
      <c r="A423" s="271"/>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c r="AL423" s="271"/>
      <c r="AM423" s="271"/>
      <c r="AN423" s="271"/>
      <c r="AO423" s="271"/>
      <c r="AP423" s="271"/>
      <c r="AQ423" s="271"/>
      <c r="AR423" s="271"/>
      <c r="AS423" s="271"/>
      <c r="AT423" s="271"/>
      <c r="AU423" s="271"/>
      <c r="AV423" s="271"/>
      <c r="AW423" s="271"/>
      <c r="AX423" s="271"/>
      <c r="AY423" s="271"/>
    </row>
    <row r="424" spans="1:51" ht="15.75" customHeight="1" x14ac:dyDescent="0.25">
      <c r="A424" s="271"/>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c r="AL424" s="271"/>
      <c r="AM424" s="271"/>
      <c r="AN424" s="271"/>
      <c r="AO424" s="271"/>
      <c r="AP424" s="271"/>
      <c r="AQ424" s="271"/>
      <c r="AR424" s="271"/>
      <c r="AS424" s="271"/>
      <c r="AT424" s="271"/>
      <c r="AU424" s="271"/>
      <c r="AV424" s="271"/>
      <c r="AW424" s="271"/>
      <c r="AX424" s="271"/>
      <c r="AY424" s="271"/>
    </row>
    <row r="425" spans="1:51" ht="15.75" customHeight="1" x14ac:dyDescent="0.25">
      <c r="A425" s="271"/>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c r="AL425" s="271"/>
      <c r="AM425" s="271"/>
      <c r="AN425" s="271"/>
      <c r="AO425" s="271"/>
      <c r="AP425" s="271"/>
      <c r="AQ425" s="271"/>
      <c r="AR425" s="271"/>
      <c r="AS425" s="271"/>
      <c r="AT425" s="271"/>
      <c r="AU425" s="271"/>
      <c r="AV425" s="271"/>
      <c r="AW425" s="271"/>
      <c r="AX425" s="271"/>
      <c r="AY425" s="271"/>
    </row>
    <row r="426" spans="1:51" ht="15.75" customHeight="1" x14ac:dyDescent="0.25">
      <c r="A426" s="271"/>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c r="AL426" s="271"/>
      <c r="AM426" s="271"/>
      <c r="AN426" s="271"/>
      <c r="AO426" s="271"/>
      <c r="AP426" s="271"/>
      <c r="AQ426" s="271"/>
      <c r="AR426" s="271"/>
      <c r="AS426" s="271"/>
      <c r="AT426" s="271"/>
      <c r="AU426" s="271"/>
      <c r="AV426" s="271"/>
      <c r="AW426" s="271"/>
      <c r="AX426" s="271"/>
      <c r="AY426" s="271"/>
    </row>
    <row r="427" spans="1:51" ht="15.75" customHeight="1" x14ac:dyDescent="0.25">
      <c r="A427" s="271"/>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c r="AL427" s="271"/>
      <c r="AM427" s="271"/>
      <c r="AN427" s="271"/>
      <c r="AO427" s="271"/>
      <c r="AP427" s="271"/>
      <c r="AQ427" s="271"/>
      <c r="AR427" s="271"/>
      <c r="AS427" s="271"/>
      <c r="AT427" s="271"/>
      <c r="AU427" s="271"/>
      <c r="AV427" s="271"/>
      <c r="AW427" s="271"/>
      <c r="AX427" s="271"/>
      <c r="AY427" s="271"/>
    </row>
    <row r="428" spans="1:51" ht="15.75" customHeight="1" x14ac:dyDescent="0.25">
      <c r="A428" s="271"/>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c r="AL428" s="271"/>
      <c r="AM428" s="271"/>
      <c r="AN428" s="271"/>
      <c r="AO428" s="271"/>
      <c r="AP428" s="271"/>
      <c r="AQ428" s="271"/>
      <c r="AR428" s="271"/>
      <c r="AS428" s="271"/>
      <c r="AT428" s="271"/>
      <c r="AU428" s="271"/>
      <c r="AV428" s="271"/>
      <c r="AW428" s="271"/>
      <c r="AX428" s="271"/>
      <c r="AY428" s="271"/>
    </row>
    <row r="429" spans="1:51" ht="15.75" customHeight="1" x14ac:dyDescent="0.25">
      <c r="A429" s="271"/>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c r="AL429" s="271"/>
      <c r="AM429" s="271"/>
      <c r="AN429" s="271"/>
      <c r="AO429" s="271"/>
      <c r="AP429" s="271"/>
      <c r="AQ429" s="271"/>
      <c r="AR429" s="271"/>
      <c r="AS429" s="271"/>
      <c r="AT429" s="271"/>
      <c r="AU429" s="271"/>
      <c r="AV429" s="271"/>
      <c r="AW429" s="271"/>
      <c r="AX429" s="271"/>
      <c r="AY429" s="271"/>
    </row>
    <row r="430" spans="1:51" ht="15.75" customHeight="1" x14ac:dyDescent="0.25">
      <c r="A430" s="271"/>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c r="AL430" s="271"/>
      <c r="AM430" s="271"/>
      <c r="AN430" s="271"/>
      <c r="AO430" s="271"/>
      <c r="AP430" s="271"/>
      <c r="AQ430" s="271"/>
      <c r="AR430" s="271"/>
      <c r="AS430" s="271"/>
      <c r="AT430" s="271"/>
      <c r="AU430" s="271"/>
      <c r="AV430" s="271"/>
      <c r="AW430" s="271"/>
      <c r="AX430" s="271"/>
      <c r="AY430" s="271"/>
    </row>
    <row r="431" spans="1:51" ht="15.75" customHeight="1" x14ac:dyDescent="0.25">
      <c r="A431" s="271"/>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c r="AL431" s="271"/>
      <c r="AM431" s="271"/>
      <c r="AN431" s="271"/>
      <c r="AO431" s="271"/>
      <c r="AP431" s="271"/>
      <c r="AQ431" s="271"/>
      <c r="AR431" s="271"/>
      <c r="AS431" s="271"/>
      <c r="AT431" s="271"/>
      <c r="AU431" s="271"/>
      <c r="AV431" s="271"/>
      <c r="AW431" s="271"/>
      <c r="AX431" s="271"/>
      <c r="AY431" s="271"/>
    </row>
    <row r="432" spans="1:51" ht="15.75" customHeight="1" x14ac:dyDescent="0.25">
      <c r="A432" s="271"/>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c r="AL432" s="271"/>
      <c r="AM432" s="271"/>
      <c r="AN432" s="271"/>
      <c r="AO432" s="271"/>
      <c r="AP432" s="271"/>
      <c r="AQ432" s="271"/>
      <c r="AR432" s="271"/>
      <c r="AS432" s="271"/>
      <c r="AT432" s="271"/>
      <c r="AU432" s="271"/>
      <c r="AV432" s="271"/>
      <c r="AW432" s="271"/>
      <c r="AX432" s="271"/>
      <c r="AY432" s="271"/>
    </row>
    <row r="433" spans="1:51" ht="15.75" customHeight="1" x14ac:dyDescent="0.25">
      <c r="A433" s="271"/>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c r="AL433" s="271"/>
      <c r="AM433" s="271"/>
      <c r="AN433" s="271"/>
      <c r="AO433" s="271"/>
      <c r="AP433" s="271"/>
      <c r="AQ433" s="271"/>
      <c r="AR433" s="271"/>
      <c r="AS433" s="271"/>
      <c r="AT433" s="271"/>
      <c r="AU433" s="271"/>
      <c r="AV433" s="271"/>
      <c r="AW433" s="271"/>
      <c r="AX433" s="271"/>
      <c r="AY433" s="271"/>
    </row>
    <row r="434" spans="1:51" ht="15.75" customHeight="1" x14ac:dyDescent="0.25">
      <c r="A434" s="271"/>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c r="AM434" s="271"/>
      <c r="AN434" s="271"/>
      <c r="AO434" s="271"/>
      <c r="AP434" s="271"/>
      <c r="AQ434" s="271"/>
      <c r="AR434" s="271"/>
      <c r="AS434" s="271"/>
      <c r="AT434" s="271"/>
      <c r="AU434" s="271"/>
      <c r="AV434" s="271"/>
      <c r="AW434" s="271"/>
      <c r="AX434" s="271"/>
      <c r="AY434" s="271"/>
    </row>
    <row r="435" spans="1:51" ht="15.75" customHeight="1" x14ac:dyDescent="0.25">
      <c r="A435" s="271"/>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c r="AL435" s="271"/>
      <c r="AM435" s="271"/>
      <c r="AN435" s="271"/>
      <c r="AO435" s="271"/>
      <c r="AP435" s="271"/>
      <c r="AQ435" s="271"/>
      <c r="AR435" s="271"/>
      <c r="AS435" s="271"/>
      <c r="AT435" s="271"/>
      <c r="AU435" s="271"/>
      <c r="AV435" s="271"/>
      <c r="AW435" s="271"/>
      <c r="AX435" s="271"/>
      <c r="AY435" s="271"/>
    </row>
    <row r="436" spans="1:51" ht="15.75" customHeight="1" x14ac:dyDescent="0.25">
      <c r="A436" s="271"/>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c r="AL436" s="271"/>
      <c r="AM436" s="271"/>
      <c r="AN436" s="271"/>
      <c r="AO436" s="271"/>
      <c r="AP436" s="271"/>
      <c r="AQ436" s="271"/>
      <c r="AR436" s="271"/>
      <c r="AS436" s="271"/>
      <c r="AT436" s="271"/>
      <c r="AU436" s="271"/>
      <c r="AV436" s="271"/>
      <c r="AW436" s="271"/>
      <c r="AX436" s="271"/>
      <c r="AY436" s="271"/>
    </row>
    <row r="437" spans="1:51" ht="15.75" customHeight="1" x14ac:dyDescent="0.25">
      <c r="A437" s="271"/>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c r="AL437" s="271"/>
      <c r="AM437" s="271"/>
      <c r="AN437" s="271"/>
      <c r="AO437" s="271"/>
      <c r="AP437" s="271"/>
      <c r="AQ437" s="271"/>
      <c r="AR437" s="271"/>
      <c r="AS437" s="271"/>
      <c r="AT437" s="271"/>
      <c r="AU437" s="271"/>
      <c r="AV437" s="271"/>
      <c r="AW437" s="271"/>
      <c r="AX437" s="271"/>
      <c r="AY437" s="271"/>
    </row>
    <row r="438" spans="1:51" ht="15.75" customHeight="1" x14ac:dyDescent="0.25">
      <c r="A438" s="271"/>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c r="AL438" s="271"/>
      <c r="AM438" s="271"/>
      <c r="AN438" s="271"/>
      <c r="AO438" s="271"/>
      <c r="AP438" s="271"/>
      <c r="AQ438" s="271"/>
      <c r="AR438" s="271"/>
      <c r="AS438" s="271"/>
      <c r="AT438" s="271"/>
      <c r="AU438" s="271"/>
      <c r="AV438" s="271"/>
      <c r="AW438" s="271"/>
      <c r="AX438" s="271"/>
      <c r="AY438" s="271"/>
    </row>
    <row r="439" spans="1:51" ht="15.75" customHeight="1" x14ac:dyDescent="0.25">
      <c r="A439" s="271"/>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c r="AL439" s="271"/>
      <c r="AM439" s="271"/>
      <c r="AN439" s="271"/>
      <c r="AO439" s="271"/>
      <c r="AP439" s="271"/>
      <c r="AQ439" s="271"/>
      <c r="AR439" s="271"/>
      <c r="AS439" s="271"/>
      <c r="AT439" s="271"/>
      <c r="AU439" s="271"/>
      <c r="AV439" s="271"/>
      <c r="AW439" s="271"/>
      <c r="AX439" s="271"/>
      <c r="AY439" s="271"/>
    </row>
    <row r="440" spans="1:51" ht="15.75" customHeight="1" x14ac:dyDescent="0.25">
      <c r="A440" s="271"/>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c r="AL440" s="271"/>
      <c r="AM440" s="271"/>
      <c r="AN440" s="271"/>
      <c r="AO440" s="271"/>
      <c r="AP440" s="271"/>
      <c r="AQ440" s="271"/>
      <c r="AR440" s="271"/>
      <c r="AS440" s="271"/>
      <c r="AT440" s="271"/>
      <c r="AU440" s="271"/>
      <c r="AV440" s="271"/>
      <c r="AW440" s="271"/>
      <c r="AX440" s="271"/>
      <c r="AY440" s="271"/>
    </row>
    <row r="441" spans="1:51" ht="15.75" customHeight="1" x14ac:dyDescent="0.25">
      <c r="A441" s="271"/>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c r="AL441" s="271"/>
      <c r="AM441" s="271"/>
      <c r="AN441" s="271"/>
      <c r="AO441" s="271"/>
      <c r="AP441" s="271"/>
      <c r="AQ441" s="271"/>
      <c r="AR441" s="271"/>
      <c r="AS441" s="271"/>
      <c r="AT441" s="271"/>
      <c r="AU441" s="271"/>
      <c r="AV441" s="271"/>
      <c r="AW441" s="271"/>
      <c r="AX441" s="271"/>
      <c r="AY441" s="271"/>
    </row>
    <row r="442" spans="1:51" ht="15.75" customHeight="1" x14ac:dyDescent="0.25">
      <c r="A442" s="271"/>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c r="AL442" s="271"/>
      <c r="AM442" s="271"/>
      <c r="AN442" s="271"/>
      <c r="AO442" s="271"/>
      <c r="AP442" s="271"/>
      <c r="AQ442" s="271"/>
      <c r="AR442" s="271"/>
      <c r="AS442" s="271"/>
      <c r="AT442" s="271"/>
      <c r="AU442" s="271"/>
      <c r="AV442" s="271"/>
      <c r="AW442" s="271"/>
      <c r="AX442" s="271"/>
      <c r="AY442" s="271"/>
    </row>
    <row r="443" spans="1:51" ht="15.75" customHeight="1" x14ac:dyDescent="0.25">
      <c r="A443" s="271"/>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c r="AL443" s="271"/>
      <c r="AM443" s="271"/>
      <c r="AN443" s="271"/>
      <c r="AO443" s="271"/>
      <c r="AP443" s="271"/>
      <c r="AQ443" s="271"/>
      <c r="AR443" s="271"/>
      <c r="AS443" s="271"/>
      <c r="AT443" s="271"/>
      <c r="AU443" s="271"/>
      <c r="AV443" s="271"/>
      <c r="AW443" s="271"/>
      <c r="AX443" s="271"/>
      <c r="AY443" s="271"/>
    </row>
    <row r="444" spans="1:51" ht="15.75" customHeight="1" x14ac:dyDescent="0.25">
      <c r="A444" s="271"/>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c r="AL444" s="271"/>
      <c r="AM444" s="271"/>
      <c r="AN444" s="271"/>
      <c r="AO444" s="271"/>
      <c r="AP444" s="271"/>
      <c r="AQ444" s="271"/>
      <c r="AR444" s="271"/>
      <c r="AS444" s="271"/>
      <c r="AT444" s="271"/>
      <c r="AU444" s="271"/>
      <c r="AV444" s="271"/>
      <c r="AW444" s="271"/>
      <c r="AX444" s="271"/>
      <c r="AY444" s="271"/>
    </row>
    <row r="445" spans="1:51" ht="15.75" customHeight="1" x14ac:dyDescent="0.25">
      <c r="A445" s="271"/>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c r="AL445" s="271"/>
      <c r="AM445" s="271"/>
      <c r="AN445" s="271"/>
      <c r="AO445" s="271"/>
      <c r="AP445" s="271"/>
      <c r="AQ445" s="271"/>
      <c r="AR445" s="271"/>
      <c r="AS445" s="271"/>
      <c r="AT445" s="271"/>
      <c r="AU445" s="271"/>
      <c r="AV445" s="271"/>
      <c r="AW445" s="271"/>
      <c r="AX445" s="271"/>
      <c r="AY445" s="271"/>
    </row>
    <row r="446" spans="1:51" ht="15.75" customHeight="1" x14ac:dyDescent="0.25">
      <c r="A446" s="271"/>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c r="AL446" s="271"/>
      <c r="AM446" s="271"/>
      <c r="AN446" s="271"/>
      <c r="AO446" s="271"/>
      <c r="AP446" s="271"/>
      <c r="AQ446" s="271"/>
      <c r="AR446" s="271"/>
      <c r="AS446" s="271"/>
      <c r="AT446" s="271"/>
      <c r="AU446" s="271"/>
      <c r="AV446" s="271"/>
      <c r="AW446" s="271"/>
      <c r="AX446" s="271"/>
      <c r="AY446" s="271"/>
    </row>
    <row r="447" spans="1:51" ht="15.75" customHeight="1" x14ac:dyDescent="0.25">
      <c r="A447" s="271"/>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c r="AL447" s="271"/>
      <c r="AM447" s="271"/>
      <c r="AN447" s="271"/>
      <c r="AO447" s="271"/>
      <c r="AP447" s="271"/>
      <c r="AQ447" s="271"/>
      <c r="AR447" s="271"/>
      <c r="AS447" s="271"/>
      <c r="AT447" s="271"/>
      <c r="AU447" s="271"/>
      <c r="AV447" s="271"/>
      <c r="AW447" s="271"/>
      <c r="AX447" s="271"/>
      <c r="AY447" s="271"/>
    </row>
    <row r="448" spans="1:51" ht="15.75" customHeight="1" x14ac:dyDescent="0.25">
      <c r="A448" s="271"/>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c r="AL448" s="271"/>
      <c r="AM448" s="271"/>
      <c r="AN448" s="271"/>
      <c r="AO448" s="271"/>
      <c r="AP448" s="271"/>
      <c r="AQ448" s="271"/>
      <c r="AR448" s="271"/>
      <c r="AS448" s="271"/>
      <c r="AT448" s="271"/>
      <c r="AU448" s="271"/>
      <c r="AV448" s="271"/>
      <c r="AW448" s="271"/>
      <c r="AX448" s="271"/>
      <c r="AY448" s="271"/>
    </row>
    <row r="449" spans="1:51" ht="15.75" customHeight="1" x14ac:dyDescent="0.25">
      <c r="A449" s="271"/>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c r="AL449" s="271"/>
      <c r="AM449" s="271"/>
      <c r="AN449" s="271"/>
      <c r="AO449" s="271"/>
      <c r="AP449" s="271"/>
      <c r="AQ449" s="271"/>
      <c r="AR449" s="271"/>
      <c r="AS449" s="271"/>
      <c r="AT449" s="271"/>
      <c r="AU449" s="271"/>
      <c r="AV449" s="271"/>
      <c r="AW449" s="271"/>
      <c r="AX449" s="271"/>
      <c r="AY449" s="271"/>
    </row>
    <row r="450" spans="1:51" ht="15.75" customHeight="1" x14ac:dyDescent="0.25">
      <c r="A450" s="271"/>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c r="AM450" s="271"/>
      <c r="AN450" s="271"/>
      <c r="AO450" s="271"/>
      <c r="AP450" s="271"/>
      <c r="AQ450" s="271"/>
      <c r="AR450" s="271"/>
      <c r="AS450" s="271"/>
      <c r="AT450" s="271"/>
      <c r="AU450" s="271"/>
      <c r="AV450" s="271"/>
      <c r="AW450" s="271"/>
      <c r="AX450" s="271"/>
      <c r="AY450" s="271"/>
    </row>
    <row r="451" spans="1:51" ht="15.75" customHeight="1" x14ac:dyDescent="0.25">
      <c r="A451" s="271"/>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c r="AL451" s="271"/>
      <c r="AM451" s="271"/>
      <c r="AN451" s="271"/>
      <c r="AO451" s="271"/>
      <c r="AP451" s="271"/>
      <c r="AQ451" s="271"/>
      <c r="AR451" s="271"/>
      <c r="AS451" s="271"/>
      <c r="AT451" s="271"/>
      <c r="AU451" s="271"/>
      <c r="AV451" s="271"/>
      <c r="AW451" s="271"/>
      <c r="AX451" s="271"/>
      <c r="AY451" s="271"/>
    </row>
    <row r="452" spans="1:51" ht="15.75" customHeight="1" x14ac:dyDescent="0.25">
      <c r="A452" s="271"/>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c r="AL452" s="271"/>
      <c r="AM452" s="271"/>
      <c r="AN452" s="271"/>
      <c r="AO452" s="271"/>
      <c r="AP452" s="271"/>
      <c r="AQ452" s="271"/>
      <c r="AR452" s="271"/>
      <c r="AS452" s="271"/>
      <c r="AT452" s="271"/>
      <c r="AU452" s="271"/>
      <c r="AV452" s="271"/>
      <c r="AW452" s="271"/>
      <c r="AX452" s="271"/>
      <c r="AY452" s="271"/>
    </row>
    <row r="453" spans="1:51" ht="15.75" customHeight="1" x14ac:dyDescent="0.25">
      <c r="A453" s="271"/>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c r="AL453" s="271"/>
      <c r="AM453" s="271"/>
      <c r="AN453" s="271"/>
      <c r="AO453" s="271"/>
      <c r="AP453" s="271"/>
      <c r="AQ453" s="271"/>
      <c r="AR453" s="271"/>
      <c r="AS453" s="271"/>
      <c r="AT453" s="271"/>
      <c r="AU453" s="271"/>
      <c r="AV453" s="271"/>
      <c r="AW453" s="271"/>
      <c r="AX453" s="271"/>
      <c r="AY453" s="271"/>
    </row>
    <row r="454" spans="1:51" ht="15.75" customHeight="1" x14ac:dyDescent="0.25">
      <c r="A454" s="271"/>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c r="AL454" s="271"/>
      <c r="AM454" s="271"/>
      <c r="AN454" s="271"/>
      <c r="AO454" s="271"/>
      <c r="AP454" s="271"/>
      <c r="AQ454" s="271"/>
      <c r="AR454" s="271"/>
      <c r="AS454" s="271"/>
      <c r="AT454" s="271"/>
      <c r="AU454" s="271"/>
      <c r="AV454" s="271"/>
      <c r="AW454" s="271"/>
      <c r="AX454" s="271"/>
      <c r="AY454" s="271"/>
    </row>
    <row r="455" spans="1:51" ht="15.75" customHeight="1" x14ac:dyDescent="0.25">
      <c r="A455" s="271"/>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c r="AL455" s="271"/>
      <c r="AM455" s="271"/>
      <c r="AN455" s="271"/>
      <c r="AO455" s="271"/>
      <c r="AP455" s="271"/>
      <c r="AQ455" s="271"/>
      <c r="AR455" s="271"/>
      <c r="AS455" s="271"/>
      <c r="AT455" s="271"/>
      <c r="AU455" s="271"/>
      <c r="AV455" s="271"/>
      <c r="AW455" s="271"/>
      <c r="AX455" s="271"/>
      <c r="AY455" s="271"/>
    </row>
    <row r="456" spans="1:51" ht="15.75" customHeight="1" x14ac:dyDescent="0.25">
      <c r="A456" s="271"/>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c r="AL456" s="271"/>
      <c r="AM456" s="271"/>
      <c r="AN456" s="271"/>
      <c r="AO456" s="271"/>
      <c r="AP456" s="271"/>
      <c r="AQ456" s="271"/>
      <c r="AR456" s="271"/>
      <c r="AS456" s="271"/>
      <c r="AT456" s="271"/>
      <c r="AU456" s="271"/>
      <c r="AV456" s="271"/>
      <c r="AW456" s="271"/>
      <c r="AX456" s="271"/>
      <c r="AY456" s="271"/>
    </row>
    <row r="457" spans="1:51" ht="15.75" customHeight="1" x14ac:dyDescent="0.25">
      <c r="A457" s="271"/>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c r="AL457" s="271"/>
      <c r="AM457" s="271"/>
      <c r="AN457" s="271"/>
      <c r="AO457" s="271"/>
      <c r="AP457" s="271"/>
      <c r="AQ457" s="271"/>
      <c r="AR457" s="271"/>
      <c r="AS457" s="271"/>
      <c r="AT457" s="271"/>
      <c r="AU457" s="271"/>
      <c r="AV457" s="271"/>
      <c r="AW457" s="271"/>
      <c r="AX457" s="271"/>
      <c r="AY457" s="271"/>
    </row>
    <row r="458" spans="1:51" ht="15.75" customHeight="1" x14ac:dyDescent="0.25">
      <c r="A458" s="271"/>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c r="AL458" s="271"/>
      <c r="AM458" s="271"/>
      <c r="AN458" s="271"/>
      <c r="AO458" s="271"/>
      <c r="AP458" s="271"/>
      <c r="AQ458" s="271"/>
      <c r="AR458" s="271"/>
      <c r="AS458" s="271"/>
      <c r="AT458" s="271"/>
      <c r="AU458" s="271"/>
      <c r="AV458" s="271"/>
      <c r="AW458" s="271"/>
      <c r="AX458" s="271"/>
      <c r="AY458" s="271"/>
    </row>
    <row r="459" spans="1:51" ht="15.75" customHeight="1" x14ac:dyDescent="0.25">
      <c r="A459" s="271"/>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c r="AL459" s="271"/>
      <c r="AM459" s="271"/>
      <c r="AN459" s="271"/>
      <c r="AO459" s="271"/>
      <c r="AP459" s="271"/>
      <c r="AQ459" s="271"/>
      <c r="AR459" s="271"/>
      <c r="AS459" s="271"/>
      <c r="AT459" s="271"/>
      <c r="AU459" s="271"/>
      <c r="AV459" s="271"/>
      <c r="AW459" s="271"/>
      <c r="AX459" s="271"/>
      <c r="AY459" s="271"/>
    </row>
    <row r="460" spans="1:51" ht="15.75" customHeight="1" x14ac:dyDescent="0.25">
      <c r="A460" s="271"/>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c r="AL460" s="271"/>
      <c r="AM460" s="271"/>
      <c r="AN460" s="271"/>
      <c r="AO460" s="271"/>
      <c r="AP460" s="271"/>
      <c r="AQ460" s="271"/>
      <c r="AR460" s="271"/>
      <c r="AS460" s="271"/>
      <c r="AT460" s="271"/>
      <c r="AU460" s="271"/>
      <c r="AV460" s="271"/>
      <c r="AW460" s="271"/>
      <c r="AX460" s="271"/>
      <c r="AY460" s="271"/>
    </row>
    <row r="461" spans="1:51" ht="15.75" customHeight="1" x14ac:dyDescent="0.25">
      <c r="A461" s="271"/>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c r="AL461" s="271"/>
      <c r="AM461" s="271"/>
      <c r="AN461" s="271"/>
      <c r="AO461" s="271"/>
      <c r="AP461" s="271"/>
      <c r="AQ461" s="271"/>
      <c r="AR461" s="271"/>
      <c r="AS461" s="271"/>
      <c r="AT461" s="271"/>
      <c r="AU461" s="271"/>
      <c r="AV461" s="271"/>
      <c r="AW461" s="271"/>
      <c r="AX461" s="271"/>
      <c r="AY461" s="271"/>
    </row>
    <row r="462" spans="1:51" ht="15.75" customHeight="1" x14ac:dyDescent="0.25">
      <c r="A462" s="271"/>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c r="AL462" s="271"/>
      <c r="AM462" s="271"/>
      <c r="AN462" s="271"/>
      <c r="AO462" s="271"/>
      <c r="AP462" s="271"/>
      <c r="AQ462" s="271"/>
      <c r="AR462" s="271"/>
      <c r="AS462" s="271"/>
      <c r="AT462" s="271"/>
      <c r="AU462" s="271"/>
      <c r="AV462" s="271"/>
      <c r="AW462" s="271"/>
      <c r="AX462" s="271"/>
      <c r="AY462" s="271"/>
    </row>
    <row r="463" spans="1:51" ht="15.75" customHeight="1" x14ac:dyDescent="0.25">
      <c r="A463" s="271"/>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c r="AL463" s="271"/>
      <c r="AM463" s="271"/>
      <c r="AN463" s="271"/>
      <c r="AO463" s="271"/>
      <c r="AP463" s="271"/>
      <c r="AQ463" s="271"/>
      <c r="AR463" s="271"/>
      <c r="AS463" s="271"/>
      <c r="AT463" s="271"/>
      <c r="AU463" s="271"/>
      <c r="AV463" s="271"/>
      <c r="AW463" s="271"/>
      <c r="AX463" s="271"/>
      <c r="AY463" s="271"/>
    </row>
    <row r="464" spans="1:51" ht="15.75" customHeight="1" x14ac:dyDescent="0.25">
      <c r="A464" s="271"/>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c r="AL464" s="271"/>
      <c r="AM464" s="271"/>
      <c r="AN464" s="271"/>
      <c r="AO464" s="271"/>
      <c r="AP464" s="271"/>
      <c r="AQ464" s="271"/>
      <c r="AR464" s="271"/>
      <c r="AS464" s="271"/>
      <c r="AT464" s="271"/>
      <c r="AU464" s="271"/>
      <c r="AV464" s="271"/>
      <c r="AW464" s="271"/>
      <c r="AX464" s="271"/>
      <c r="AY464" s="271"/>
    </row>
    <row r="465" spans="1:51" ht="15.75" customHeight="1" x14ac:dyDescent="0.25">
      <c r="A465" s="271"/>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c r="AL465" s="271"/>
      <c r="AM465" s="271"/>
      <c r="AN465" s="271"/>
      <c r="AO465" s="271"/>
      <c r="AP465" s="271"/>
      <c r="AQ465" s="271"/>
      <c r="AR465" s="271"/>
      <c r="AS465" s="271"/>
      <c r="AT465" s="271"/>
      <c r="AU465" s="271"/>
      <c r="AV465" s="271"/>
      <c r="AW465" s="271"/>
      <c r="AX465" s="271"/>
      <c r="AY465" s="271"/>
    </row>
    <row r="466" spans="1:51" ht="15.75" customHeight="1" x14ac:dyDescent="0.25">
      <c r="A466" s="271"/>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c r="AL466" s="271"/>
      <c r="AM466" s="271"/>
      <c r="AN466" s="271"/>
      <c r="AO466" s="271"/>
      <c r="AP466" s="271"/>
      <c r="AQ466" s="271"/>
      <c r="AR466" s="271"/>
      <c r="AS466" s="271"/>
      <c r="AT466" s="271"/>
      <c r="AU466" s="271"/>
      <c r="AV466" s="271"/>
      <c r="AW466" s="271"/>
      <c r="AX466" s="271"/>
      <c r="AY466" s="271"/>
    </row>
    <row r="467" spans="1:51" ht="15.75" customHeight="1" x14ac:dyDescent="0.25">
      <c r="A467" s="271"/>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c r="AL467" s="271"/>
      <c r="AM467" s="271"/>
      <c r="AN467" s="271"/>
      <c r="AO467" s="271"/>
      <c r="AP467" s="271"/>
      <c r="AQ467" s="271"/>
      <c r="AR467" s="271"/>
      <c r="AS467" s="271"/>
      <c r="AT467" s="271"/>
      <c r="AU467" s="271"/>
      <c r="AV467" s="271"/>
      <c r="AW467" s="271"/>
      <c r="AX467" s="271"/>
      <c r="AY467" s="271"/>
    </row>
    <row r="468" spans="1:51" ht="15.75" customHeight="1" x14ac:dyDescent="0.25">
      <c r="A468" s="271"/>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c r="AL468" s="271"/>
      <c r="AM468" s="271"/>
      <c r="AN468" s="271"/>
      <c r="AO468" s="271"/>
      <c r="AP468" s="271"/>
      <c r="AQ468" s="271"/>
      <c r="AR468" s="271"/>
      <c r="AS468" s="271"/>
      <c r="AT468" s="271"/>
      <c r="AU468" s="271"/>
      <c r="AV468" s="271"/>
      <c r="AW468" s="271"/>
      <c r="AX468" s="271"/>
      <c r="AY468" s="271"/>
    </row>
    <row r="469" spans="1:51" ht="15.75" customHeight="1" x14ac:dyDescent="0.25">
      <c r="A469" s="271"/>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c r="AL469" s="271"/>
      <c r="AM469" s="271"/>
      <c r="AN469" s="271"/>
      <c r="AO469" s="271"/>
      <c r="AP469" s="271"/>
      <c r="AQ469" s="271"/>
      <c r="AR469" s="271"/>
      <c r="AS469" s="271"/>
      <c r="AT469" s="271"/>
      <c r="AU469" s="271"/>
      <c r="AV469" s="271"/>
      <c r="AW469" s="271"/>
      <c r="AX469" s="271"/>
      <c r="AY469" s="271"/>
    </row>
    <row r="470" spans="1:51" ht="15.75" customHeight="1" x14ac:dyDescent="0.25">
      <c r="A470" s="271"/>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c r="AL470" s="271"/>
      <c r="AM470" s="271"/>
      <c r="AN470" s="271"/>
      <c r="AO470" s="271"/>
      <c r="AP470" s="271"/>
      <c r="AQ470" s="271"/>
      <c r="AR470" s="271"/>
      <c r="AS470" s="271"/>
      <c r="AT470" s="271"/>
      <c r="AU470" s="271"/>
      <c r="AV470" s="271"/>
      <c r="AW470" s="271"/>
      <c r="AX470" s="271"/>
      <c r="AY470" s="271"/>
    </row>
    <row r="471" spans="1:51" ht="15.75" customHeight="1" x14ac:dyDescent="0.25">
      <c r="A471" s="271"/>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c r="AL471" s="271"/>
      <c r="AM471" s="271"/>
      <c r="AN471" s="271"/>
      <c r="AO471" s="271"/>
      <c r="AP471" s="271"/>
      <c r="AQ471" s="271"/>
      <c r="AR471" s="271"/>
      <c r="AS471" s="271"/>
      <c r="AT471" s="271"/>
      <c r="AU471" s="271"/>
      <c r="AV471" s="271"/>
      <c r="AW471" s="271"/>
      <c r="AX471" s="271"/>
      <c r="AY471" s="271"/>
    </row>
    <row r="472" spans="1:51" ht="15.75" customHeight="1" x14ac:dyDescent="0.25">
      <c r="A472" s="271"/>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c r="AL472" s="271"/>
      <c r="AM472" s="271"/>
      <c r="AN472" s="271"/>
      <c r="AO472" s="271"/>
      <c r="AP472" s="271"/>
      <c r="AQ472" s="271"/>
      <c r="AR472" s="271"/>
      <c r="AS472" s="271"/>
      <c r="AT472" s="271"/>
      <c r="AU472" s="271"/>
      <c r="AV472" s="271"/>
      <c r="AW472" s="271"/>
      <c r="AX472" s="271"/>
      <c r="AY472" s="271"/>
    </row>
    <row r="473" spans="1:51" ht="15.75" customHeight="1" x14ac:dyDescent="0.25">
      <c r="A473" s="271"/>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c r="AL473" s="271"/>
      <c r="AM473" s="271"/>
      <c r="AN473" s="271"/>
      <c r="AO473" s="271"/>
      <c r="AP473" s="271"/>
      <c r="AQ473" s="271"/>
      <c r="AR473" s="271"/>
      <c r="AS473" s="271"/>
      <c r="AT473" s="271"/>
      <c r="AU473" s="271"/>
      <c r="AV473" s="271"/>
      <c r="AW473" s="271"/>
      <c r="AX473" s="271"/>
      <c r="AY473" s="271"/>
    </row>
    <row r="474" spans="1:51" ht="15.75" customHeight="1" x14ac:dyDescent="0.25">
      <c r="A474" s="271"/>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c r="AL474" s="271"/>
      <c r="AM474" s="271"/>
      <c r="AN474" s="271"/>
      <c r="AO474" s="271"/>
      <c r="AP474" s="271"/>
      <c r="AQ474" s="271"/>
      <c r="AR474" s="271"/>
      <c r="AS474" s="271"/>
      <c r="AT474" s="271"/>
      <c r="AU474" s="271"/>
      <c r="AV474" s="271"/>
      <c r="AW474" s="271"/>
      <c r="AX474" s="271"/>
      <c r="AY474" s="271"/>
    </row>
    <row r="475" spans="1:51" ht="15.75" customHeight="1" x14ac:dyDescent="0.25">
      <c r="A475" s="271"/>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c r="AL475" s="271"/>
      <c r="AM475" s="271"/>
      <c r="AN475" s="271"/>
      <c r="AO475" s="271"/>
      <c r="AP475" s="271"/>
      <c r="AQ475" s="271"/>
      <c r="AR475" s="271"/>
      <c r="AS475" s="271"/>
      <c r="AT475" s="271"/>
      <c r="AU475" s="271"/>
      <c r="AV475" s="271"/>
      <c r="AW475" s="271"/>
      <c r="AX475" s="271"/>
      <c r="AY475" s="271"/>
    </row>
    <row r="476" spans="1:51" ht="15.75" customHeight="1" x14ac:dyDescent="0.25">
      <c r="A476" s="271"/>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c r="AL476" s="271"/>
      <c r="AM476" s="271"/>
      <c r="AN476" s="271"/>
      <c r="AO476" s="271"/>
      <c r="AP476" s="271"/>
      <c r="AQ476" s="271"/>
      <c r="AR476" s="271"/>
      <c r="AS476" s="271"/>
      <c r="AT476" s="271"/>
      <c r="AU476" s="271"/>
      <c r="AV476" s="271"/>
      <c r="AW476" s="271"/>
      <c r="AX476" s="271"/>
      <c r="AY476" s="271"/>
    </row>
    <row r="477" spans="1:51" ht="15.75" customHeight="1" x14ac:dyDescent="0.25">
      <c r="A477" s="271"/>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c r="AL477" s="271"/>
      <c r="AM477" s="271"/>
      <c r="AN477" s="271"/>
      <c r="AO477" s="271"/>
      <c r="AP477" s="271"/>
      <c r="AQ477" s="271"/>
      <c r="AR477" s="271"/>
      <c r="AS477" s="271"/>
      <c r="AT477" s="271"/>
      <c r="AU477" s="271"/>
      <c r="AV477" s="271"/>
      <c r="AW477" s="271"/>
      <c r="AX477" s="271"/>
      <c r="AY477" s="271"/>
    </row>
    <row r="478" spans="1:51" ht="15.75" customHeight="1" x14ac:dyDescent="0.25">
      <c r="A478" s="271"/>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c r="AL478" s="271"/>
      <c r="AM478" s="271"/>
      <c r="AN478" s="271"/>
      <c r="AO478" s="271"/>
      <c r="AP478" s="271"/>
      <c r="AQ478" s="271"/>
      <c r="AR478" s="271"/>
      <c r="AS478" s="271"/>
      <c r="AT478" s="271"/>
      <c r="AU478" s="271"/>
      <c r="AV478" s="271"/>
      <c r="AW478" s="271"/>
      <c r="AX478" s="271"/>
      <c r="AY478" s="271"/>
    </row>
    <row r="479" spans="1:51" ht="15.75" customHeight="1" x14ac:dyDescent="0.25">
      <c r="A479" s="271"/>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c r="AL479" s="271"/>
      <c r="AM479" s="271"/>
      <c r="AN479" s="271"/>
      <c r="AO479" s="271"/>
      <c r="AP479" s="271"/>
      <c r="AQ479" s="271"/>
      <c r="AR479" s="271"/>
      <c r="AS479" s="271"/>
      <c r="AT479" s="271"/>
      <c r="AU479" s="271"/>
      <c r="AV479" s="271"/>
      <c r="AW479" s="271"/>
      <c r="AX479" s="271"/>
      <c r="AY479" s="271"/>
    </row>
    <row r="480" spans="1:51" ht="15.75" customHeight="1" x14ac:dyDescent="0.25">
      <c r="A480" s="271"/>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c r="AL480" s="271"/>
      <c r="AM480" s="271"/>
      <c r="AN480" s="271"/>
      <c r="AO480" s="271"/>
      <c r="AP480" s="271"/>
      <c r="AQ480" s="271"/>
      <c r="AR480" s="271"/>
      <c r="AS480" s="271"/>
      <c r="AT480" s="271"/>
      <c r="AU480" s="271"/>
      <c r="AV480" s="271"/>
      <c r="AW480" s="271"/>
      <c r="AX480" s="271"/>
      <c r="AY480" s="271"/>
    </row>
    <row r="481" spans="1:51" ht="15.75" customHeight="1" x14ac:dyDescent="0.25">
      <c r="A481" s="271"/>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c r="AL481" s="271"/>
      <c r="AM481" s="271"/>
      <c r="AN481" s="271"/>
      <c r="AO481" s="271"/>
      <c r="AP481" s="271"/>
      <c r="AQ481" s="271"/>
      <c r="AR481" s="271"/>
      <c r="AS481" s="271"/>
      <c r="AT481" s="271"/>
      <c r="AU481" s="271"/>
      <c r="AV481" s="271"/>
      <c r="AW481" s="271"/>
      <c r="AX481" s="271"/>
      <c r="AY481" s="271"/>
    </row>
    <row r="482" spans="1:51" ht="15.75" customHeight="1" x14ac:dyDescent="0.25">
      <c r="A482" s="271"/>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c r="AL482" s="271"/>
      <c r="AM482" s="271"/>
      <c r="AN482" s="271"/>
      <c r="AO482" s="271"/>
      <c r="AP482" s="271"/>
      <c r="AQ482" s="271"/>
      <c r="AR482" s="271"/>
      <c r="AS482" s="271"/>
      <c r="AT482" s="271"/>
      <c r="AU482" s="271"/>
      <c r="AV482" s="271"/>
      <c r="AW482" s="271"/>
      <c r="AX482" s="271"/>
      <c r="AY482" s="271"/>
    </row>
    <row r="483" spans="1:51" ht="15.75" customHeight="1" x14ac:dyDescent="0.25">
      <c r="A483" s="271"/>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c r="AL483" s="271"/>
      <c r="AM483" s="271"/>
      <c r="AN483" s="271"/>
      <c r="AO483" s="271"/>
      <c r="AP483" s="271"/>
      <c r="AQ483" s="271"/>
      <c r="AR483" s="271"/>
      <c r="AS483" s="271"/>
      <c r="AT483" s="271"/>
      <c r="AU483" s="271"/>
      <c r="AV483" s="271"/>
      <c r="AW483" s="271"/>
      <c r="AX483" s="271"/>
      <c r="AY483" s="271"/>
    </row>
    <row r="484" spans="1:51" ht="15.75" customHeight="1" x14ac:dyDescent="0.25">
      <c r="A484" s="271"/>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c r="AL484" s="271"/>
      <c r="AM484" s="271"/>
      <c r="AN484" s="271"/>
      <c r="AO484" s="271"/>
      <c r="AP484" s="271"/>
      <c r="AQ484" s="271"/>
      <c r="AR484" s="271"/>
      <c r="AS484" s="271"/>
      <c r="AT484" s="271"/>
      <c r="AU484" s="271"/>
      <c r="AV484" s="271"/>
      <c r="AW484" s="271"/>
      <c r="AX484" s="271"/>
      <c r="AY484" s="271"/>
    </row>
    <row r="485" spans="1:51" ht="15.75" customHeight="1" x14ac:dyDescent="0.25">
      <c r="A485" s="271"/>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c r="AL485" s="271"/>
      <c r="AM485" s="271"/>
      <c r="AN485" s="271"/>
      <c r="AO485" s="271"/>
      <c r="AP485" s="271"/>
      <c r="AQ485" s="271"/>
      <c r="AR485" s="271"/>
      <c r="AS485" s="271"/>
      <c r="AT485" s="271"/>
      <c r="AU485" s="271"/>
      <c r="AV485" s="271"/>
      <c r="AW485" s="271"/>
      <c r="AX485" s="271"/>
      <c r="AY485" s="271"/>
    </row>
    <row r="486" spans="1:51" ht="15.75" customHeight="1" x14ac:dyDescent="0.25">
      <c r="A486" s="271"/>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c r="AL486" s="271"/>
      <c r="AM486" s="271"/>
      <c r="AN486" s="271"/>
      <c r="AO486" s="271"/>
      <c r="AP486" s="271"/>
      <c r="AQ486" s="271"/>
      <c r="AR486" s="271"/>
      <c r="AS486" s="271"/>
      <c r="AT486" s="271"/>
      <c r="AU486" s="271"/>
      <c r="AV486" s="271"/>
      <c r="AW486" s="271"/>
      <c r="AX486" s="271"/>
      <c r="AY486" s="271"/>
    </row>
    <row r="487" spans="1:51" ht="15.75" customHeight="1" x14ac:dyDescent="0.25">
      <c r="A487" s="271"/>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c r="AL487" s="271"/>
      <c r="AM487" s="271"/>
      <c r="AN487" s="271"/>
      <c r="AO487" s="271"/>
      <c r="AP487" s="271"/>
      <c r="AQ487" s="271"/>
      <c r="AR487" s="271"/>
      <c r="AS487" s="271"/>
      <c r="AT487" s="271"/>
      <c r="AU487" s="271"/>
      <c r="AV487" s="271"/>
      <c r="AW487" s="271"/>
      <c r="AX487" s="271"/>
      <c r="AY487" s="271"/>
    </row>
    <row r="488" spans="1:51" ht="15.75" customHeight="1" x14ac:dyDescent="0.25">
      <c r="A488" s="271"/>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c r="AL488" s="271"/>
      <c r="AM488" s="271"/>
      <c r="AN488" s="271"/>
      <c r="AO488" s="271"/>
      <c r="AP488" s="271"/>
      <c r="AQ488" s="271"/>
      <c r="AR488" s="271"/>
      <c r="AS488" s="271"/>
      <c r="AT488" s="271"/>
      <c r="AU488" s="271"/>
      <c r="AV488" s="271"/>
      <c r="AW488" s="271"/>
      <c r="AX488" s="271"/>
      <c r="AY488" s="271"/>
    </row>
    <row r="489" spans="1:51" ht="15.75" customHeight="1" x14ac:dyDescent="0.25">
      <c r="A489" s="271"/>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c r="AL489" s="271"/>
      <c r="AM489" s="271"/>
      <c r="AN489" s="271"/>
      <c r="AO489" s="271"/>
      <c r="AP489" s="271"/>
      <c r="AQ489" s="271"/>
      <c r="AR489" s="271"/>
      <c r="AS489" s="271"/>
      <c r="AT489" s="271"/>
      <c r="AU489" s="271"/>
      <c r="AV489" s="271"/>
      <c r="AW489" s="271"/>
      <c r="AX489" s="271"/>
      <c r="AY489" s="271"/>
    </row>
    <row r="490" spans="1:51" ht="15.75" customHeight="1" x14ac:dyDescent="0.25">
      <c r="A490" s="271"/>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c r="AL490" s="271"/>
      <c r="AM490" s="271"/>
      <c r="AN490" s="271"/>
      <c r="AO490" s="271"/>
      <c r="AP490" s="271"/>
      <c r="AQ490" s="271"/>
      <c r="AR490" s="271"/>
      <c r="AS490" s="271"/>
      <c r="AT490" s="271"/>
      <c r="AU490" s="271"/>
      <c r="AV490" s="271"/>
      <c r="AW490" s="271"/>
      <c r="AX490" s="271"/>
      <c r="AY490" s="271"/>
    </row>
    <row r="491" spans="1:51" ht="15.75" customHeight="1" x14ac:dyDescent="0.25">
      <c r="A491" s="271"/>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c r="AL491" s="271"/>
      <c r="AM491" s="271"/>
      <c r="AN491" s="271"/>
      <c r="AO491" s="271"/>
      <c r="AP491" s="271"/>
      <c r="AQ491" s="271"/>
      <c r="AR491" s="271"/>
      <c r="AS491" s="271"/>
      <c r="AT491" s="271"/>
      <c r="AU491" s="271"/>
      <c r="AV491" s="271"/>
      <c r="AW491" s="271"/>
      <c r="AX491" s="271"/>
      <c r="AY491" s="271"/>
    </row>
    <row r="492" spans="1:51" ht="15.75" customHeight="1" x14ac:dyDescent="0.25">
      <c r="A492" s="271"/>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c r="AL492" s="271"/>
      <c r="AM492" s="271"/>
      <c r="AN492" s="271"/>
      <c r="AO492" s="271"/>
      <c r="AP492" s="271"/>
      <c r="AQ492" s="271"/>
      <c r="AR492" s="271"/>
      <c r="AS492" s="271"/>
      <c r="AT492" s="271"/>
      <c r="AU492" s="271"/>
      <c r="AV492" s="271"/>
      <c r="AW492" s="271"/>
      <c r="AX492" s="271"/>
      <c r="AY492" s="271"/>
    </row>
    <row r="493" spans="1:51" ht="15.75" customHeight="1" x14ac:dyDescent="0.25">
      <c r="A493" s="271"/>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c r="AM493" s="271"/>
      <c r="AN493" s="271"/>
      <c r="AO493" s="271"/>
      <c r="AP493" s="271"/>
      <c r="AQ493" s="271"/>
      <c r="AR493" s="271"/>
      <c r="AS493" s="271"/>
      <c r="AT493" s="271"/>
      <c r="AU493" s="271"/>
      <c r="AV493" s="271"/>
      <c r="AW493" s="271"/>
      <c r="AX493" s="271"/>
      <c r="AY493" s="271"/>
    </row>
    <row r="494" spans="1:51" ht="15.75" customHeight="1" x14ac:dyDescent="0.25">
      <c r="A494" s="271"/>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c r="AL494" s="271"/>
      <c r="AM494" s="271"/>
      <c r="AN494" s="271"/>
      <c r="AO494" s="271"/>
      <c r="AP494" s="271"/>
      <c r="AQ494" s="271"/>
      <c r="AR494" s="271"/>
      <c r="AS494" s="271"/>
      <c r="AT494" s="271"/>
      <c r="AU494" s="271"/>
      <c r="AV494" s="271"/>
      <c r="AW494" s="271"/>
      <c r="AX494" s="271"/>
      <c r="AY494" s="271"/>
    </row>
    <row r="495" spans="1:51" ht="15.75" customHeight="1" x14ac:dyDescent="0.25">
      <c r="A495" s="271"/>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c r="AL495" s="271"/>
      <c r="AM495" s="271"/>
      <c r="AN495" s="271"/>
      <c r="AO495" s="271"/>
      <c r="AP495" s="271"/>
      <c r="AQ495" s="271"/>
      <c r="AR495" s="271"/>
      <c r="AS495" s="271"/>
      <c r="AT495" s="271"/>
      <c r="AU495" s="271"/>
      <c r="AV495" s="271"/>
      <c r="AW495" s="271"/>
      <c r="AX495" s="271"/>
      <c r="AY495" s="271"/>
    </row>
    <row r="496" spans="1:51" ht="15.75" customHeight="1" x14ac:dyDescent="0.25">
      <c r="A496" s="271"/>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c r="AL496" s="271"/>
      <c r="AM496" s="271"/>
      <c r="AN496" s="271"/>
      <c r="AO496" s="271"/>
      <c r="AP496" s="271"/>
      <c r="AQ496" s="271"/>
      <c r="AR496" s="271"/>
      <c r="AS496" s="271"/>
      <c r="AT496" s="271"/>
      <c r="AU496" s="271"/>
      <c r="AV496" s="271"/>
      <c r="AW496" s="271"/>
      <c r="AX496" s="271"/>
      <c r="AY496" s="271"/>
    </row>
    <row r="497" spans="1:51" ht="15.75" customHeight="1" x14ac:dyDescent="0.25">
      <c r="A497" s="271"/>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c r="AL497" s="271"/>
      <c r="AM497" s="271"/>
      <c r="AN497" s="271"/>
      <c r="AO497" s="271"/>
      <c r="AP497" s="271"/>
      <c r="AQ497" s="271"/>
      <c r="AR497" s="271"/>
      <c r="AS497" s="271"/>
      <c r="AT497" s="271"/>
      <c r="AU497" s="271"/>
      <c r="AV497" s="271"/>
      <c r="AW497" s="271"/>
      <c r="AX497" s="271"/>
      <c r="AY497" s="271"/>
    </row>
    <row r="498" spans="1:51" ht="15.75" customHeight="1" x14ac:dyDescent="0.25">
      <c r="A498" s="271"/>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c r="AL498" s="271"/>
      <c r="AM498" s="271"/>
      <c r="AN498" s="271"/>
      <c r="AO498" s="271"/>
      <c r="AP498" s="271"/>
      <c r="AQ498" s="271"/>
      <c r="AR498" s="271"/>
      <c r="AS498" s="271"/>
      <c r="AT498" s="271"/>
      <c r="AU498" s="271"/>
      <c r="AV498" s="271"/>
      <c r="AW498" s="271"/>
      <c r="AX498" s="271"/>
      <c r="AY498" s="271"/>
    </row>
    <row r="499" spans="1:51" ht="15.75" customHeight="1" x14ac:dyDescent="0.25">
      <c r="A499" s="271"/>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c r="AL499" s="271"/>
      <c r="AM499" s="271"/>
      <c r="AN499" s="271"/>
      <c r="AO499" s="271"/>
      <c r="AP499" s="271"/>
      <c r="AQ499" s="271"/>
      <c r="AR499" s="271"/>
      <c r="AS499" s="271"/>
      <c r="AT499" s="271"/>
      <c r="AU499" s="271"/>
      <c r="AV499" s="271"/>
      <c r="AW499" s="271"/>
      <c r="AX499" s="271"/>
      <c r="AY499" s="271"/>
    </row>
    <row r="500" spans="1:51" ht="15.75" customHeight="1" x14ac:dyDescent="0.25">
      <c r="A500" s="271"/>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c r="AL500" s="271"/>
      <c r="AM500" s="271"/>
      <c r="AN500" s="271"/>
      <c r="AO500" s="271"/>
      <c r="AP500" s="271"/>
      <c r="AQ500" s="271"/>
      <c r="AR500" s="271"/>
      <c r="AS500" s="271"/>
      <c r="AT500" s="271"/>
      <c r="AU500" s="271"/>
      <c r="AV500" s="271"/>
      <c r="AW500" s="271"/>
      <c r="AX500" s="271"/>
      <c r="AY500" s="271"/>
    </row>
    <row r="501" spans="1:51" ht="15.75" customHeight="1" x14ac:dyDescent="0.25">
      <c r="A501" s="271"/>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c r="AL501" s="271"/>
      <c r="AM501" s="271"/>
      <c r="AN501" s="271"/>
      <c r="AO501" s="271"/>
      <c r="AP501" s="271"/>
      <c r="AQ501" s="271"/>
      <c r="AR501" s="271"/>
      <c r="AS501" s="271"/>
      <c r="AT501" s="271"/>
      <c r="AU501" s="271"/>
      <c r="AV501" s="271"/>
      <c r="AW501" s="271"/>
      <c r="AX501" s="271"/>
      <c r="AY501" s="271"/>
    </row>
    <row r="502" spans="1:51" ht="15.75" customHeight="1" x14ac:dyDescent="0.25">
      <c r="A502" s="271"/>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c r="AL502" s="271"/>
      <c r="AM502" s="271"/>
      <c r="AN502" s="271"/>
      <c r="AO502" s="271"/>
      <c r="AP502" s="271"/>
      <c r="AQ502" s="271"/>
      <c r="AR502" s="271"/>
      <c r="AS502" s="271"/>
      <c r="AT502" s="271"/>
      <c r="AU502" s="271"/>
      <c r="AV502" s="271"/>
      <c r="AW502" s="271"/>
      <c r="AX502" s="271"/>
      <c r="AY502" s="271"/>
    </row>
    <row r="503" spans="1:51" ht="15.75" customHeight="1" x14ac:dyDescent="0.25">
      <c r="A503" s="271"/>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c r="AL503" s="271"/>
      <c r="AM503" s="271"/>
      <c r="AN503" s="271"/>
      <c r="AO503" s="271"/>
      <c r="AP503" s="271"/>
      <c r="AQ503" s="271"/>
      <c r="AR503" s="271"/>
      <c r="AS503" s="271"/>
      <c r="AT503" s="271"/>
      <c r="AU503" s="271"/>
      <c r="AV503" s="271"/>
      <c r="AW503" s="271"/>
      <c r="AX503" s="271"/>
      <c r="AY503" s="271"/>
    </row>
    <row r="504" spans="1:51" ht="15.75" customHeight="1" x14ac:dyDescent="0.25">
      <c r="A504" s="271"/>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c r="AL504" s="271"/>
      <c r="AM504" s="271"/>
      <c r="AN504" s="271"/>
      <c r="AO504" s="271"/>
      <c r="AP504" s="271"/>
      <c r="AQ504" s="271"/>
      <c r="AR504" s="271"/>
      <c r="AS504" s="271"/>
      <c r="AT504" s="271"/>
      <c r="AU504" s="271"/>
      <c r="AV504" s="271"/>
      <c r="AW504" s="271"/>
      <c r="AX504" s="271"/>
      <c r="AY504" s="271"/>
    </row>
    <row r="505" spans="1:51" ht="15.75" customHeight="1" x14ac:dyDescent="0.25">
      <c r="A505" s="271"/>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c r="AL505" s="271"/>
      <c r="AM505" s="271"/>
      <c r="AN505" s="271"/>
      <c r="AO505" s="271"/>
      <c r="AP505" s="271"/>
      <c r="AQ505" s="271"/>
      <c r="AR505" s="271"/>
      <c r="AS505" s="271"/>
      <c r="AT505" s="271"/>
      <c r="AU505" s="271"/>
      <c r="AV505" s="271"/>
      <c r="AW505" s="271"/>
      <c r="AX505" s="271"/>
      <c r="AY505" s="271"/>
    </row>
    <row r="506" spans="1:51" ht="15.75" customHeight="1" x14ac:dyDescent="0.25">
      <c r="A506" s="271"/>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c r="AL506" s="271"/>
      <c r="AM506" s="271"/>
      <c r="AN506" s="271"/>
      <c r="AO506" s="271"/>
      <c r="AP506" s="271"/>
      <c r="AQ506" s="271"/>
      <c r="AR506" s="271"/>
      <c r="AS506" s="271"/>
      <c r="AT506" s="271"/>
      <c r="AU506" s="271"/>
      <c r="AV506" s="271"/>
      <c r="AW506" s="271"/>
      <c r="AX506" s="271"/>
      <c r="AY506" s="271"/>
    </row>
    <row r="507" spans="1:51" ht="15.75" customHeight="1" x14ac:dyDescent="0.25">
      <c r="A507" s="271"/>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c r="AL507" s="271"/>
      <c r="AM507" s="271"/>
      <c r="AN507" s="271"/>
      <c r="AO507" s="271"/>
      <c r="AP507" s="271"/>
      <c r="AQ507" s="271"/>
      <c r="AR507" s="271"/>
      <c r="AS507" s="271"/>
      <c r="AT507" s="271"/>
      <c r="AU507" s="271"/>
      <c r="AV507" s="271"/>
      <c r="AW507" s="271"/>
      <c r="AX507" s="271"/>
      <c r="AY507" s="271"/>
    </row>
    <row r="508" spans="1:51" ht="15.75" customHeight="1" x14ac:dyDescent="0.25">
      <c r="A508" s="271"/>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c r="AL508" s="271"/>
      <c r="AM508" s="271"/>
      <c r="AN508" s="271"/>
      <c r="AO508" s="271"/>
      <c r="AP508" s="271"/>
      <c r="AQ508" s="271"/>
      <c r="AR508" s="271"/>
      <c r="AS508" s="271"/>
      <c r="AT508" s="271"/>
      <c r="AU508" s="271"/>
      <c r="AV508" s="271"/>
      <c r="AW508" s="271"/>
      <c r="AX508" s="271"/>
      <c r="AY508" s="271"/>
    </row>
    <row r="509" spans="1:51" ht="15.75" customHeight="1" x14ac:dyDescent="0.25">
      <c r="A509" s="271"/>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c r="AL509" s="271"/>
      <c r="AM509" s="271"/>
      <c r="AN509" s="271"/>
      <c r="AO509" s="271"/>
      <c r="AP509" s="271"/>
      <c r="AQ509" s="271"/>
      <c r="AR509" s="271"/>
      <c r="AS509" s="271"/>
      <c r="AT509" s="271"/>
      <c r="AU509" s="271"/>
      <c r="AV509" s="271"/>
      <c r="AW509" s="271"/>
      <c r="AX509" s="271"/>
      <c r="AY509" s="271"/>
    </row>
    <row r="510" spans="1:51" ht="15.75" customHeight="1" x14ac:dyDescent="0.25">
      <c r="A510" s="271"/>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c r="AL510" s="271"/>
      <c r="AM510" s="271"/>
      <c r="AN510" s="271"/>
      <c r="AO510" s="271"/>
      <c r="AP510" s="271"/>
      <c r="AQ510" s="271"/>
      <c r="AR510" s="271"/>
      <c r="AS510" s="271"/>
      <c r="AT510" s="271"/>
      <c r="AU510" s="271"/>
      <c r="AV510" s="271"/>
      <c r="AW510" s="271"/>
      <c r="AX510" s="271"/>
      <c r="AY510" s="271"/>
    </row>
    <row r="511" spans="1:51" ht="15.75" customHeight="1" x14ac:dyDescent="0.25">
      <c r="A511" s="271"/>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c r="AL511" s="271"/>
      <c r="AM511" s="271"/>
      <c r="AN511" s="271"/>
      <c r="AO511" s="271"/>
      <c r="AP511" s="271"/>
      <c r="AQ511" s="271"/>
      <c r="AR511" s="271"/>
      <c r="AS511" s="271"/>
      <c r="AT511" s="271"/>
      <c r="AU511" s="271"/>
      <c r="AV511" s="271"/>
      <c r="AW511" s="271"/>
      <c r="AX511" s="271"/>
      <c r="AY511" s="271"/>
    </row>
    <row r="512" spans="1:51" ht="15.75" customHeight="1" x14ac:dyDescent="0.25">
      <c r="A512" s="271"/>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c r="AL512" s="271"/>
      <c r="AM512" s="271"/>
      <c r="AN512" s="271"/>
      <c r="AO512" s="271"/>
      <c r="AP512" s="271"/>
      <c r="AQ512" s="271"/>
      <c r="AR512" s="271"/>
      <c r="AS512" s="271"/>
      <c r="AT512" s="271"/>
      <c r="AU512" s="271"/>
      <c r="AV512" s="271"/>
      <c r="AW512" s="271"/>
      <c r="AX512" s="271"/>
      <c r="AY512" s="271"/>
    </row>
    <row r="513" spans="1:51" ht="15.75" customHeight="1" x14ac:dyDescent="0.25">
      <c r="A513" s="271"/>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c r="AL513" s="271"/>
      <c r="AM513" s="271"/>
      <c r="AN513" s="271"/>
      <c r="AO513" s="271"/>
      <c r="AP513" s="271"/>
      <c r="AQ513" s="271"/>
      <c r="AR513" s="271"/>
      <c r="AS513" s="271"/>
      <c r="AT513" s="271"/>
      <c r="AU513" s="271"/>
      <c r="AV513" s="271"/>
      <c r="AW513" s="271"/>
      <c r="AX513" s="271"/>
      <c r="AY513" s="271"/>
    </row>
    <row r="514" spans="1:51" ht="15.75" customHeight="1" x14ac:dyDescent="0.25">
      <c r="A514" s="271"/>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c r="AL514" s="271"/>
      <c r="AM514" s="271"/>
      <c r="AN514" s="271"/>
      <c r="AO514" s="271"/>
      <c r="AP514" s="271"/>
      <c r="AQ514" s="271"/>
      <c r="AR514" s="271"/>
      <c r="AS514" s="271"/>
      <c r="AT514" s="271"/>
      <c r="AU514" s="271"/>
      <c r="AV514" s="271"/>
      <c r="AW514" s="271"/>
      <c r="AX514" s="271"/>
      <c r="AY514" s="271"/>
    </row>
    <row r="515" spans="1:51" ht="15.75" customHeight="1" x14ac:dyDescent="0.25">
      <c r="A515" s="271"/>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c r="AL515" s="271"/>
      <c r="AM515" s="271"/>
      <c r="AN515" s="271"/>
      <c r="AO515" s="271"/>
      <c r="AP515" s="271"/>
      <c r="AQ515" s="271"/>
      <c r="AR515" s="271"/>
      <c r="AS515" s="271"/>
      <c r="AT515" s="271"/>
      <c r="AU515" s="271"/>
      <c r="AV515" s="271"/>
      <c r="AW515" s="271"/>
      <c r="AX515" s="271"/>
      <c r="AY515" s="271"/>
    </row>
    <row r="516" spans="1:51" ht="15.75" customHeight="1" x14ac:dyDescent="0.25">
      <c r="A516" s="271"/>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c r="AL516" s="271"/>
      <c r="AM516" s="271"/>
      <c r="AN516" s="271"/>
      <c r="AO516" s="271"/>
      <c r="AP516" s="271"/>
      <c r="AQ516" s="271"/>
      <c r="AR516" s="271"/>
      <c r="AS516" s="271"/>
      <c r="AT516" s="271"/>
      <c r="AU516" s="271"/>
      <c r="AV516" s="271"/>
      <c r="AW516" s="271"/>
      <c r="AX516" s="271"/>
      <c r="AY516" s="271"/>
    </row>
    <row r="517" spans="1:51" ht="15.75" customHeight="1" x14ac:dyDescent="0.25">
      <c r="A517" s="271"/>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c r="AL517" s="271"/>
      <c r="AM517" s="271"/>
      <c r="AN517" s="271"/>
      <c r="AO517" s="271"/>
      <c r="AP517" s="271"/>
      <c r="AQ517" s="271"/>
      <c r="AR517" s="271"/>
      <c r="AS517" s="271"/>
      <c r="AT517" s="271"/>
      <c r="AU517" s="271"/>
      <c r="AV517" s="271"/>
      <c r="AW517" s="271"/>
      <c r="AX517" s="271"/>
      <c r="AY517" s="271"/>
    </row>
    <row r="518" spans="1:51" ht="15.75" customHeight="1" x14ac:dyDescent="0.25">
      <c r="A518" s="271"/>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c r="AL518" s="271"/>
      <c r="AM518" s="271"/>
      <c r="AN518" s="271"/>
      <c r="AO518" s="271"/>
      <c r="AP518" s="271"/>
      <c r="AQ518" s="271"/>
      <c r="AR518" s="271"/>
      <c r="AS518" s="271"/>
      <c r="AT518" s="271"/>
      <c r="AU518" s="271"/>
      <c r="AV518" s="271"/>
      <c r="AW518" s="271"/>
      <c r="AX518" s="271"/>
      <c r="AY518" s="271"/>
    </row>
    <row r="519" spans="1:51" ht="15.75" customHeight="1" x14ac:dyDescent="0.25">
      <c r="A519" s="271"/>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c r="AL519" s="271"/>
      <c r="AM519" s="271"/>
      <c r="AN519" s="271"/>
      <c r="AO519" s="271"/>
      <c r="AP519" s="271"/>
      <c r="AQ519" s="271"/>
      <c r="AR519" s="271"/>
      <c r="AS519" s="271"/>
      <c r="AT519" s="271"/>
      <c r="AU519" s="271"/>
      <c r="AV519" s="271"/>
      <c r="AW519" s="271"/>
      <c r="AX519" s="271"/>
      <c r="AY519" s="271"/>
    </row>
    <row r="520" spans="1:51" ht="15.75" customHeight="1" x14ac:dyDescent="0.25">
      <c r="A520" s="271"/>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c r="AL520" s="271"/>
      <c r="AM520" s="271"/>
      <c r="AN520" s="271"/>
      <c r="AO520" s="271"/>
      <c r="AP520" s="271"/>
      <c r="AQ520" s="271"/>
      <c r="AR520" s="271"/>
      <c r="AS520" s="271"/>
      <c r="AT520" s="271"/>
      <c r="AU520" s="271"/>
      <c r="AV520" s="271"/>
      <c r="AW520" s="271"/>
      <c r="AX520" s="271"/>
      <c r="AY520" s="271"/>
    </row>
    <row r="521" spans="1:51" ht="15.75" customHeight="1" x14ac:dyDescent="0.25">
      <c r="A521" s="271"/>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c r="AL521" s="271"/>
      <c r="AM521" s="271"/>
      <c r="AN521" s="271"/>
      <c r="AO521" s="271"/>
      <c r="AP521" s="271"/>
      <c r="AQ521" s="271"/>
      <c r="AR521" s="271"/>
      <c r="AS521" s="271"/>
      <c r="AT521" s="271"/>
      <c r="AU521" s="271"/>
      <c r="AV521" s="271"/>
      <c r="AW521" s="271"/>
      <c r="AX521" s="271"/>
      <c r="AY521" s="271"/>
    </row>
    <row r="522" spans="1:51" ht="15.75" customHeight="1" x14ac:dyDescent="0.25">
      <c r="A522" s="271"/>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c r="AL522" s="271"/>
      <c r="AM522" s="271"/>
      <c r="AN522" s="271"/>
      <c r="AO522" s="271"/>
      <c r="AP522" s="271"/>
      <c r="AQ522" s="271"/>
      <c r="AR522" s="271"/>
      <c r="AS522" s="271"/>
      <c r="AT522" s="271"/>
      <c r="AU522" s="271"/>
      <c r="AV522" s="271"/>
      <c r="AW522" s="271"/>
      <c r="AX522" s="271"/>
      <c r="AY522" s="271"/>
    </row>
    <row r="523" spans="1:51" ht="15.75" customHeight="1" x14ac:dyDescent="0.25">
      <c r="A523" s="271"/>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c r="AL523" s="271"/>
      <c r="AM523" s="271"/>
      <c r="AN523" s="271"/>
      <c r="AO523" s="271"/>
      <c r="AP523" s="271"/>
      <c r="AQ523" s="271"/>
      <c r="AR523" s="271"/>
      <c r="AS523" s="271"/>
      <c r="AT523" s="271"/>
      <c r="AU523" s="271"/>
      <c r="AV523" s="271"/>
      <c r="AW523" s="271"/>
      <c r="AX523" s="271"/>
      <c r="AY523" s="271"/>
    </row>
    <row r="524" spans="1:51" ht="15.75" customHeight="1" x14ac:dyDescent="0.25">
      <c r="A524" s="271"/>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c r="AL524" s="271"/>
      <c r="AM524" s="271"/>
      <c r="AN524" s="271"/>
      <c r="AO524" s="271"/>
      <c r="AP524" s="271"/>
      <c r="AQ524" s="271"/>
      <c r="AR524" s="271"/>
      <c r="AS524" s="271"/>
      <c r="AT524" s="271"/>
      <c r="AU524" s="271"/>
      <c r="AV524" s="271"/>
      <c r="AW524" s="271"/>
      <c r="AX524" s="271"/>
      <c r="AY524" s="271"/>
    </row>
    <row r="525" spans="1:51" ht="15.75" customHeight="1" x14ac:dyDescent="0.25">
      <c r="A525" s="271"/>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c r="AL525" s="271"/>
      <c r="AM525" s="271"/>
      <c r="AN525" s="271"/>
      <c r="AO525" s="271"/>
      <c r="AP525" s="271"/>
      <c r="AQ525" s="271"/>
      <c r="AR525" s="271"/>
      <c r="AS525" s="271"/>
      <c r="AT525" s="271"/>
      <c r="AU525" s="271"/>
      <c r="AV525" s="271"/>
      <c r="AW525" s="271"/>
      <c r="AX525" s="271"/>
      <c r="AY525" s="271"/>
    </row>
    <row r="526" spans="1:51" ht="15.75" customHeight="1" x14ac:dyDescent="0.25">
      <c r="A526" s="271"/>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c r="AL526" s="271"/>
      <c r="AM526" s="271"/>
      <c r="AN526" s="271"/>
      <c r="AO526" s="271"/>
      <c r="AP526" s="271"/>
      <c r="AQ526" s="271"/>
      <c r="AR526" s="271"/>
      <c r="AS526" s="271"/>
      <c r="AT526" s="271"/>
      <c r="AU526" s="271"/>
      <c r="AV526" s="271"/>
      <c r="AW526" s="271"/>
      <c r="AX526" s="271"/>
      <c r="AY526" s="271"/>
    </row>
    <row r="527" spans="1:51" ht="15.75" customHeight="1" x14ac:dyDescent="0.25">
      <c r="A527" s="271"/>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c r="AL527" s="271"/>
      <c r="AM527" s="271"/>
      <c r="AN527" s="271"/>
      <c r="AO527" s="271"/>
      <c r="AP527" s="271"/>
      <c r="AQ527" s="271"/>
      <c r="AR527" s="271"/>
      <c r="AS527" s="271"/>
      <c r="AT527" s="271"/>
      <c r="AU527" s="271"/>
      <c r="AV527" s="271"/>
      <c r="AW527" s="271"/>
      <c r="AX527" s="271"/>
      <c r="AY527" s="271"/>
    </row>
    <row r="528" spans="1:51" ht="15.75" customHeight="1" x14ac:dyDescent="0.25">
      <c r="A528" s="271"/>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c r="AL528" s="271"/>
      <c r="AM528" s="271"/>
      <c r="AN528" s="271"/>
      <c r="AO528" s="271"/>
      <c r="AP528" s="271"/>
      <c r="AQ528" s="271"/>
      <c r="AR528" s="271"/>
      <c r="AS528" s="271"/>
      <c r="AT528" s="271"/>
      <c r="AU528" s="271"/>
      <c r="AV528" s="271"/>
      <c r="AW528" s="271"/>
      <c r="AX528" s="271"/>
      <c r="AY528" s="271"/>
    </row>
    <row r="529" spans="1:51" ht="15.75" customHeight="1" x14ac:dyDescent="0.25">
      <c r="A529" s="271"/>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c r="AL529" s="271"/>
      <c r="AM529" s="271"/>
      <c r="AN529" s="271"/>
      <c r="AO529" s="271"/>
      <c r="AP529" s="271"/>
      <c r="AQ529" s="271"/>
      <c r="AR529" s="271"/>
      <c r="AS529" s="271"/>
      <c r="AT529" s="271"/>
      <c r="AU529" s="271"/>
      <c r="AV529" s="271"/>
      <c r="AW529" s="271"/>
      <c r="AX529" s="271"/>
      <c r="AY529" s="271"/>
    </row>
    <row r="530" spans="1:51" ht="15.75" customHeight="1" x14ac:dyDescent="0.25">
      <c r="A530" s="271"/>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c r="AL530" s="271"/>
      <c r="AM530" s="271"/>
      <c r="AN530" s="271"/>
      <c r="AO530" s="271"/>
      <c r="AP530" s="271"/>
      <c r="AQ530" s="271"/>
      <c r="AR530" s="271"/>
      <c r="AS530" s="271"/>
      <c r="AT530" s="271"/>
      <c r="AU530" s="271"/>
      <c r="AV530" s="271"/>
      <c r="AW530" s="271"/>
      <c r="AX530" s="271"/>
      <c r="AY530" s="271"/>
    </row>
    <row r="531" spans="1:51" ht="15.75" customHeight="1" x14ac:dyDescent="0.25">
      <c r="A531" s="271"/>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c r="AL531" s="271"/>
      <c r="AM531" s="271"/>
      <c r="AN531" s="271"/>
      <c r="AO531" s="271"/>
      <c r="AP531" s="271"/>
      <c r="AQ531" s="271"/>
      <c r="AR531" s="271"/>
      <c r="AS531" s="271"/>
      <c r="AT531" s="271"/>
      <c r="AU531" s="271"/>
      <c r="AV531" s="271"/>
      <c r="AW531" s="271"/>
      <c r="AX531" s="271"/>
      <c r="AY531" s="271"/>
    </row>
    <row r="532" spans="1:51" ht="15.75" customHeight="1" x14ac:dyDescent="0.25">
      <c r="A532" s="271"/>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c r="AL532" s="271"/>
      <c r="AM532" s="271"/>
      <c r="AN532" s="271"/>
      <c r="AO532" s="271"/>
      <c r="AP532" s="271"/>
      <c r="AQ532" s="271"/>
      <c r="AR532" s="271"/>
      <c r="AS532" s="271"/>
      <c r="AT532" s="271"/>
      <c r="AU532" s="271"/>
      <c r="AV532" s="271"/>
      <c r="AW532" s="271"/>
      <c r="AX532" s="271"/>
      <c r="AY532" s="271"/>
    </row>
    <row r="533" spans="1:51" ht="15.75" customHeight="1" x14ac:dyDescent="0.25">
      <c r="A533" s="271"/>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c r="AL533" s="271"/>
      <c r="AM533" s="271"/>
      <c r="AN533" s="271"/>
      <c r="AO533" s="271"/>
      <c r="AP533" s="271"/>
      <c r="AQ533" s="271"/>
      <c r="AR533" s="271"/>
      <c r="AS533" s="271"/>
      <c r="AT533" s="271"/>
      <c r="AU533" s="271"/>
      <c r="AV533" s="271"/>
      <c r="AW533" s="271"/>
      <c r="AX533" s="271"/>
      <c r="AY533" s="271"/>
    </row>
    <row r="534" spans="1:51" ht="15.75" customHeight="1" x14ac:dyDescent="0.25">
      <c r="A534" s="271"/>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c r="AL534" s="271"/>
      <c r="AM534" s="271"/>
      <c r="AN534" s="271"/>
      <c r="AO534" s="271"/>
      <c r="AP534" s="271"/>
      <c r="AQ534" s="271"/>
      <c r="AR534" s="271"/>
      <c r="AS534" s="271"/>
      <c r="AT534" s="271"/>
      <c r="AU534" s="271"/>
      <c r="AV534" s="271"/>
      <c r="AW534" s="271"/>
      <c r="AX534" s="271"/>
      <c r="AY534" s="271"/>
    </row>
    <row r="535" spans="1:51" ht="15.75" customHeight="1" x14ac:dyDescent="0.25">
      <c r="A535" s="271"/>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c r="AL535" s="271"/>
      <c r="AM535" s="271"/>
      <c r="AN535" s="271"/>
      <c r="AO535" s="271"/>
      <c r="AP535" s="271"/>
      <c r="AQ535" s="271"/>
      <c r="AR535" s="271"/>
      <c r="AS535" s="271"/>
      <c r="AT535" s="271"/>
      <c r="AU535" s="271"/>
      <c r="AV535" s="271"/>
      <c r="AW535" s="271"/>
      <c r="AX535" s="271"/>
      <c r="AY535" s="271"/>
    </row>
    <row r="536" spans="1:51" ht="15.75" customHeight="1" x14ac:dyDescent="0.25">
      <c r="A536" s="271"/>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c r="AL536" s="271"/>
      <c r="AM536" s="271"/>
      <c r="AN536" s="271"/>
      <c r="AO536" s="271"/>
      <c r="AP536" s="271"/>
      <c r="AQ536" s="271"/>
      <c r="AR536" s="271"/>
      <c r="AS536" s="271"/>
      <c r="AT536" s="271"/>
      <c r="AU536" s="271"/>
      <c r="AV536" s="271"/>
      <c r="AW536" s="271"/>
      <c r="AX536" s="271"/>
      <c r="AY536" s="271"/>
    </row>
    <row r="537" spans="1:51" ht="15.75" customHeight="1" x14ac:dyDescent="0.25">
      <c r="A537" s="271"/>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c r="AL537" s="271"/>
      <c r="AM537" s="271"/>
      <c r="AN537" s="271"/>
      <c r="AO537" s="271"/>
      <c r="AP537" s="271"/>
      <c r="AQ537" s="271"/>
      <c r="AR537" s="271"/>
      <c r="AS537" s="271"/>
      <c r="AT537" s="271"/>
      <c r="AU537" s="271"/>
      <c r="AV537" s="271"/>
      <c r="AW537" s="271"/>
      <c r="AX537" s="271"/>
      <c r="AY537" s="271"/>
    </row>
    <row r="538" spans="1:51" ht="15.75" customHeight="1" x14ac:dyDescent="0.25">
      <c r="A538" s="271"/>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c r="AL538" s="271"/>
      <c r="AM538" s="271"/>
      <c r="AN538" s="271"/>
      <c r="AO538" s="271"/>
      <c r="AP538" s="271"/>
      <c r="AQ538" s="271"/>
      <c r="AR538" s="271"/>
      <c r="AS538" s="271"/>
      <c r="AT538" s="271"/>
      <c r="AU538" s="271"/>
      <c r="AV538" s="271"/>
      <c r="AW538" s="271"/>
      <c r="AX538" s="271"/>
      <c r="AY538" s="271"/>
    </row>
    <row r="539" spans="1:51" ht="15.75" customHeight="1" x14ac:dyDescent="0.25">
      <c r="A539" s="271"/>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c r="AL539" s="271"/>
      <c r="AM539" s="271"/>
      <c r="AN539" s="271"/>
      <c r="AO539" s="271"/>
      <c r="AP539" s="271"/>
      <c r="AQ539" s="271"/>
      <c r="AR539" s="271"/>
      <c r="AS539" s="271"/>
      <c r="AT539" s="271"/>
      <c r="AU539" s="271"/>
      <c r="AV539" s="271"/>
      <c r="AW539" s="271"/>
      <c r="AX539" s="271"/>
      <c r="AY539" s="271"/>
    </row>
    <row r="540" spans="1:51" ht="15.75" customHeight="1" x14ac:dyDescent="0.25">
      <c r="A540" s="271"/>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c r="AL540" s="271"/>
      <c r="AM540" s="271"/>
      <c r="AN540" s="271"/>
      <c r="AO540" s="271"/>
      <c r="AP540" s="271"/>
      <c r="AQ540" s="271"/>
      <c r="AR540" s="271"/>
      <c r="AS540" s="271"/>
      <c r="AT540" s="271"/>
      <c r="AU540" s="271"/>
      <c r="AV540" s="271"/>
      <c r="AW540" s="271"/>
      <c r="AX540" s="271"/>
      <c r="AY540" s="271"/>
    </row>
    <row r="541" spans="1:51" ht="15.75" customHeight="1" x14ac:dyDescent="0.25">
      <c r="A541" s="271"/>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c r="AL541" s="271"/>
      <c r="AM541" s="271"/>
      <c r="AN541" s="271"/>
      <c r="AO541" s="271"/>
      <c r="AP541" s="271"/>
      <c r="AQ541" s="271"/>
      <c r="AR541" s="271"/>
      <c r="AS541" s="271"/>
      <c r="AT541" s="271"/>
      <c r="AU541" s="271"/>
      <c r="AV541" s="271"/>
      <c r="AW541" s="271"/>
      <c r="AX541" s="271"/>
      <c r="AY541" s="271"/>
    </row>
    <row r="542" spans="1:51" ht="15.75" customHeight="1" x14ac:dyDescent="0.25">
      <c r="A542" s="271"/>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c r="AL542" s="271"/>
      <c r="AM542" s="271"/>
      <c r="AN542" s="271"/>
      <c r="AO542" s="271"/>
      <c r="AP542" s="271"/>
      <c r="AQ542" s="271"/>
      <c r="AR542" s="271"/>
      <c r="AS542" s="271"/>
      <c r="AT542" s="271"/>
      <c r="AU542" s="271"/>
      <c r="AV542" s="271"/>
      <c r="AW542" s="271"/>
      <c r="AX542" s="271"/>
      <c r="AY542" s="271"/>
    </row>
    <row r="543" spans="1:51" ht="15.75" customHeight="1" x14ac:dyDescent="0.25">
      <c r="A543" s="271"/>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c r="AL543" s="271"/>
      <c r="AM543" s="271"/>
      <c r="AN543" s="271"/>
      <c r="AO543" s="271"/>
      <c r="AP543" s="271"/>
      <c r="AQ543" s="271"/>
      <c r="AR543" s="271"/>
      <c r="AS543" s="271"/>
      <c r="AT543" s="271"/>
      <c r="AU543" s="271"/>
      <c r="AV543" s="271"/>
      <c r="AW543" s="271"/>
      <c r="AX543" s="271"/>
      <c r="AY543" s="271"/>
    </row>
    <row r="544" spans="1:51" ht="15.75" customHeight="1" x14ac:dyDescent="0.25">
      <c r="A544" s="271"/>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c r="AL544" s="271"/>
      <c r="AM544" s="271"/>
      <c r="AN544" s="271"/>
      <c r="AO544" s="271"/>
      <c r="AP544" s="271"/>
      <c r="AQ544" s="271"/>
      <c r="AR544" s="271"/>
      <c r="AS544" s="271"/>
      <c r="AT544" s="271"/>
      <c r="AU544" s="271"/>
      <c r="AV544" s="271"/>
      <c r="AW544" s="271"/>
      <c r="AX544" s="271"/>
      <c r="AY544" s="271"/>
    </row>
    <row r="545" spans="1:51" ht="15.75" customHeight="1" x14ac:dyDescent="0.25">
      <c r="A545" s="271"/>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c r="AL545" s="271"/>
      <c r="AM545" s="271"/>
      <c r="AN545" s="271"/>
      <c r="AO545" s="271"/>
      <c r="AP545" s="271"/>
      <c r="AQ545" s="271"/>
      <c r="AR545" s="271"/>
      <c r="AS545" s="271"/>
      <c r="AT545" s="271"/>
      <c r="AU545" s="271"/>
      <c r="AV545" s="271"/>
      <c r="AW545" s="271"/>
      <c r="AX545" s="271"/>
      <c r="AY545" s="271"/>
    </row>
    <row r="546" spans="1:51" ht="15.75" customHeight="1" x14ac:dyDescent="0.25">
      <c r="A546" s="271"/>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c r="AL546" s="271"/>
      <c r="AM546" s="271"/>
      <c r="AN546" s="271"/>
      <c r="AO546" s="271"/>
      <c r="AP546" s="271"/>
      <c r="AQ546" s="271"/>
      <c r="AR546" s="271"/>
      <c r="AS546" s="271"/>
      <c r="AT546" s="271"/>
      <c r="AU546" s="271"/>
      <c r="AV546" s="271"/>
      <c r="AW546" s="271"/>
      <c r="AX546" s="271"/>
      <c r="AY546" s="271"/>
    </row>
    <row r="547" spans="1:51" ht="15.75" customHeight="1" x14ac:dyDescent="0.25">
      <c r="A547" s="271"/>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c r="AL547" s="271"/>
      <c r="AM547" s="271"/>
      <c r="AN547" s="271"/>
      <c r="AO547" s="271"/>
      <c r="AP547" s="271"/>
      <c r="AQ547" s="271"/>
      <c r="AR547" s="271"/>
      <c r="AS547" s="271"/>
      <c r="AT547" s="271"/>
      <c r="AU547" s="271"/>
      <c r="AV547" s="271"/>
      <c r="AW547" s="271"/>
      <c r="AX547" s="271"/>
      <c r="AY547" s="271"/>
    </row>
    <row r="548" spans="1:51" ht="15.75" customHeight="1" x14ac:dyDescent="0.25">
      <c r="A548" s="271"/>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c r="AL548" s="271"/>
      <c r="AM548" s="271"/>
      <c r="AN548" s="271"/>
      <c r="AO548" s="271"/>
      <c r="AP548" s="271"/>
      <c r="AQ548" s="271"/>
      <c r="AR548" s="271"/>
      <c r="AS548" s="271"/>
      <c r="AT548" s="271"/>
      <c r="AU548" s="271"/>
      <c r="AV548" s="271"/>
      <c r="AW548" s="271"/>
      <c r="AX548" s="271"/>
      <c r="AY548" s="271"/>
    </row>
    <row r="549" spans="1:51" ht="15.75" customHeight="1" x14ac:dyDescent="0.25">
      <c r="A549" s="271"/>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c r="AL549" s="271"/>
      <c r="AM549" s="271"/>
      <c r="AN549" s="271"/>
      <c r="AO549" s="271"/>
      <c r="AP549" s="271"/>
      <c r="AQ549" s="271"/>
      <c r="AR549" s="271"/>
      <c r="AS549" s="271"/>
      <c r="AT549" s="271"/>
      <c r="AU549" s="271"/>
      <c r="AV549" s="271"/>
      <c r="AW549" s="271"/>
      <c r="AX549" s="271"/>
      <c r="AY549" s="271"/>
    </row>
    <row r="550" spans="1:51" ht="15.75" customHeight="1" x14ac:dyDescent="0.25">
      <c r="A550" s="271"/>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c r="AL550" s="271"/>
      <c r="AM550" s="271"/>
      <c r="AN550" s="271"/>
      <c r="AO550" s="271"/>
      <c r="AP550" s="271"/>
      <c r="AQ550" s="271"/>
      <c r="AR550" s="271"/>
      <c r="AS550" s="271"/>
      <c r="AT550" s="271"/>
      <c r="AU550" s="271"/>
      <c r="AV550" s="271"/>
      <c r="AW550" s="271"/>
      <c r="AX550" s="271"/>
      <c r="AY550" s="271"/>
    </row>
    <row r="551" spans="1:51" ht="15.75" customHeight="1" x14ac:dyDescent="0.25">
      <c r="A551" s="271"/>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c r="AL551" s="271"/>
      <c r="AM551" s="271"/>
      <c r="AN551" s="271"/>
      <c r="AO551" s="271"/>
      <c r="AP551" s="271"/>
      <c r="AQ551" s="271"/>
      <c r="AR551" s="271"/>
      <c r="AS551" s="271"/>
      <c r="AT551" s="271"/>
      <c r="AU551" s="271"/>
      <c r="AV551" s="271"/>
      <c r="AW551" s="271"/>
      <c r="AX551" s="271"/>
      <c r="AY551" s="271"/>
    </row>
    <row r="552" spans="1:51" ht="15.75" customHeight="1" x14ac:dyDescent="0.25">
      <c r="A552" s="271"/>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c r="AL552" s="271"/>
      <c r="AM552" s="271"/>
      <c r="AN552" s="271"/>
      <c r="AO552" s="271"/>
      <c r="AP552" s="271"/>
      <c r="AQ552" s="271"/>
      <c r="AR552" s="271"/>
      <c r="AS552" s="271"/>
      <c r="AT552" s="271"/>
      <c r="AU552" s="271"/>
      <c r="AV552" s="271"/>
      <c r="AW552" s="271"/>
      <c r="AX552" s="271"/>
      <c r="AY552" s="271"/>
    </row>
    <row r="553" spans="1:51" ht="15.75" customHeight="1" x14ac:dyDescent="0.25">
      <c r="A553" s="271"/>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c r="AL553" s="271"/>
      <c r="AM553" s="271"/>
      <c r="AN553" s="271"/>
      <c r="AO553" s="271"/>
      <c r="AP553" s="271"/>
      <c r="AQ553" s="271"/>
      <c r="AR553" s="271"/>
      <c r="AS553" s="271"/>
      <c r="AT553" s="271"/>
      <c r="AU553" s="271"/>
      <c r="AV553" s="271"/>
      <c r="AW553" s="271"/>
      <c r="AX553" s="271"/>
      <c r="AY553" s="271"/>
    </row>
    <row r="554" spans="1:51" ht="15.75" customHeight="1" x14ac:dyDescent="0.25">
      <c r="A554" s="271"/>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c r="AL554" s="271"/>
      <c r="AM554" s="271"/>
      <c r="AN554" s="271"/>
      <c r="AO554" s="271"/>
      <c r="AP554" s="271"/>
      <c r="AQ554" s="271"/>
      <c r="AR554" s="271"/>
      <c r="AS554" s="271"/>
      <c r="AT554" s="271"/>
      <c r="AU554" s="271"/>
      <c r="AV554" s="271"/>
      <c r="AW554" s="271"/>
      <c r="AX554" s="271"/>
      <c r="AY554" s="271"/>
    </row>
    <row r="555" spans="1:51" ht="15.75" customHeight="1" x14ac:dyDescent="0.25">
      <c r="A555" s="271"/>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c r="AL555" s="271"/>
      <c r="AM555" s="271"/>
      <c r="AN555" s="271"/>
      <c r="AO555" s="271"/>
      <c r="AP555" s="271"/>
      <c r="AQ555" s="271"/>
      <c r="AR555" s="271"/>
      <c r="AS555" s="271"/>
      <c r="AT555" s="271"/>
      <c r="AU555" s="271"/>
      <c r="AV555" s="271"/>
      <c r="AW555" s="271"/>
      <c r="AX555" s="271"/>
      <c r="AY555" s="271"/>
    </row>
    <row r="556" spans="1:51" ht="15.75" customHeight="1" x14ac:dyDescent="0.25">
      <c r="A556" s="271"/>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c r="AL556" s="271"/>
      <c r="AM556" s="271"/>
      <c r="AN556" s="271"/>
      <c r="AO556" s="271"/>
      <c r="AP556" s="271"/>
      <c r="AQ556" s="271"/>
      <c r="AR556" s="271"/>
      <c r="AS556" s="271"/>
      <c r="AT556" s="271"/>
      <c r="AU556" s="271"/>
      <c r="AV556" s="271"/>
      <c r="AW556" s="271"/>
      <c r="AX556" s="271"/>
      <c r="AY556" s="271"/>
    </row>
    <row r="557" spans="1:51" ht="15.75" customHeight="1" x14ac:dyDescent="0.25">
      <c r="A557" s="271"/>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c r="AL557" s="271"/>
      <c r="AM557" s="271"/>
      <c r="AN557" s="271"/>
      <c r="AO557" s="271"/>
      <c r="AP557" s="271"/>
      <c r="AQ557" s="271"/>
      <c r="AR557" s="271"/>
      <c r="AS557" s="271"/>
      <c r="AT557" s="271"/>
      <c r="AU557" s="271"/>
      <c r="AV557" s="271"/>
      <c r="AW557" s="271"/>
      <c r="AX557" s="271"/>
      <c r="AY557" s="271"/>
    </row>
    <row r="558" spans="1:51" ht="15.75" customHeight="1" x14ac:dyDescent="0.25">
      <c r="A558" s="271"/>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c r="AL558" s="271"/>
      <c r="AM558" s="271"/>
      <c r="AN558" s="271"/>
      <c r="AO558" s="271"/>
      <c r="AP558" s="271"/>
      <c r="AQ558" s="271"/>
      <c r="AR558" s="271"/>
      <c r="AS558" s="271"/>
      <c r="AT558" s="271"/>
      <c r="AU558" s="271"/>
      <c r="AV558" s="271"/>
      <c r="AW558" s="271"/>
      <c r="AX558" s="271"/>
      <c r="AY558" s="271"/>
    </row>
    <row r="559" spans="1:51" ht="15.75" customHeight="1" x14ac:dyDescent="0.25">
      <c r="A559" s="271"/>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c r="AL559" s="271"/>
      <c r="AM559" s="271"/>
      <c r="AN559" s="271"/>
      <c r="AO559" s="271"/>
      <c r="AP559" s="271"/>
      <c r="AQ559" s="271"/>
      <c r="AR559" s="271"/>
      <c r="AS559" s="271"/>
      <c r="AT559" s="271"/>
      <c r="AU559" s="271"/>
      <c r="AV559" s="271"/>
      <c r="AW559" s="271"/>
      <c r="AX559" s="271"/>
      <c r="AY559" s="271"/>
    </row>
    <row r="560" spans="1:51" ht="15.75" customHeight="1" x14ac:dyDescent="0.25">
      <c r="A560" s="271"/>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c r="AL560" s="271"/>
      <c r="AM560" s="271"/>
      <c r="AN560" s="271"/>
      <c r="AO560" s="271"/>
      <c r="AP560" s="271"/>
      <c r="AQ560" s="271"/>
      <c r="AR560" s="271"/>
      <c r="AS560" s="271"/>
      <c r="AT560" s="271"/>
      <c r="AU560" s="271"/>
      <c r="AV560" s="271"/>
      <c r="AW560" s="271"/>
      <c r="AX560" s="271"/>
      <c r="AY560" s="271"/>
    </row>
    <row r="561" spans="1:51" ht="15.75" customHeight="1" x14ac:dyDescent="0.25">
      <c r="A561" s="271"/>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c r="AL561" s="271"/>
      <c r="AM561" s="271"/>
      <c r="AN561" s="271"/>
      <c r="AO561" s="271"/>
      <c r="AP561" s="271"/>
      <c r="AQ561" s="271"/>
      <c r="AR561" s="271"/>
      <c r="AS561" s="271"/>
      <c r="AT561" s="271"/>
      <c r="AU561" s="271"/>
      <c r="AV561" s="271"/>
      <c r="AW561" s="271"/>
      <c r="AX561" s="271"/>
      <c r="AY561" s="271"/>
    </row>
    <row r="562" spans="1:51" ht="15.75" customHeight="1" x14ac:dyDescent="0.25">
      <c r="A562" s="271"/>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c r="AL562" s="271"/>
      <c r="AM562" s="271"/>
      <c r="AN562" s="271"/>
      <c r="AO562" s="271"/>
      <c r="AP562" s="271"/>
      <c r="AQ562" s="271"/>
      <c r="AR562" s="271"/>
      <c r="AS562" s="271"/>
      <c r="AT562" s="271"/>
      <c r="AU562" s="271"/>
      <c r="AV562" s="271"/>
      <c r="AW562" s="271"/>
      <c r="AX562" s="271"/>
      <c r="AY562" s="271"/>
    </row>
    <row r="563" spans="1:51" ht="15.75" customHeight="1" x14ac:dyDescent="0.25">
      <c r="A563" s="271"/>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c r="AL563" s="271"/>
      <c r="AM563" s="271"/>
      <c r="AN563" s="271"/>
      <c r="AO563" s="271"/>
      <c r="AP563" s="271"/>
      <c r="AQ563" s="271"/>
      <c r="AR563" s="271"/>
      <c r="AS563" s="271"/>
      <c r="AT563" s="271"/>
      <c r="AU563" s="271"/>
      <c r="AV563" s="271"/>
      <c r="AW563" s="271"/>
      <c r="AX563" s="271"/>
      <c r="AY563" s="271"/>
    </row>
    <row r="564" spans="1:51" ht="15.75" customHeight="1" x14ac:dyDescent="0.25">
      <c r="A564" s="271"/>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c r="AL564" s="271"/>
      <c r="AM564" s="271"/>
      <c r="AN564" s="271"/>
      <c r="AO564" s="271"/>
      <c r="AP564" s="271"/>
      <c r="AQ564" s="271"/>
      <c r="AR564" s="271"/>
      <c r="AS564" s="271"/>
      <c r="AT564" s="271"/>
      <c r="AU564" s="271"/>
      <c r="AV564" s="271"/>
      <c r="AW564" s="271"/>
      <c r="AX564" s="271"/>
      <c r="AY564" s="271"/>
    </row>
    <row r="565" spans="1:51" ht="15.75" customHeight="1" x14ac:dyDescent="0.25">
      <c r="A565" s="271"/>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c r="AL565" s="271"/>
      <c r="AM565" s="271"/>
      <c r="AN565" s="271"/>
      <c r="AO565" s="271"/>
      <c r="AP565" s="271"/>
      <c r="AQ565" s="271"/>
      <c r="AR565" s="271"/>
      <c r="AS565" s="271"/>
      <c r="AT565" s="271"/>
      <c r="AU565" s="271"/>
      <c r="AV565" s="271"/>
      <c r="AW565" s="271"/>
      <c r="AX565" s="271"/>
      <c r="AY565" s="271"/>
    </row>
    <row r="566" spans="1:51" ht="15.75" customHeight="1" x14ac:dyDescent="0.25">
      <c r="A566" s="271"/>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c r="AL566" s="271"/>
      <c r="AM566" s="271"/>
      <c r="AN566" s="271"/>
      <c r="AO566" s="271"/>
      <c r="AP566" s="271"/>
      <c r="AQ566" s="271"/>
      <c r="AR566" s="271"/>
      <c r="AS566" s="271"/>
      <c r="AT566" s="271"/>
      <c r="AU566" s="271"/>
      <c r="AV566" s="271"/>
      <c r="AW566" s="271"/>
      <c r="AX566" s="271"/>
      <c r="AY566" s="271"/>
    </row>
    <row r="567" spans="1:51" ht="15.75" customHeight="1" x14ac:dyDescent="0.25">
      <c r="A567" s="271"/>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c r="AL567" s="271"/>
      <c r="AM567" s="271"/>
      <c r="AN567" s="271"/>
      <c r="AO567" s="271"/>
      <c r="AP567" s="271"/>
      <c r="AQ567" s="271"/>
      <c r="AR567" s="271"/>
      <c r="AS567" s="271"/>
      <c r="AT567" s="271"/>
      <c r="AU567" s="271"/>
      <c r="AV567" s="271"/>
      <c r="AW567" s="271"/>
      <c r="AX567" s="271"/>
      <c r="AY567" s="271"/>
    </row>
    <row r="568" spans="1:51" ht="15.75" customHeight="1" x14ac:dyDescent="0.25">
      <c r="A568" s="271"/>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c r="AL568" s="271"/>
      <c r="AM568" s="271"/>
      <c r="AN568" s="271"/>
      <c r="AO568" s="271"/>
      <c r="AP568" s="271"/>
      <c r="AQ568" s="271"/>
      <c r="AR568" s="271"/>
      <c r="AS568" s="271"/>
      <c r="AT568" s="271"/>
      <c r="AU568" s="271"/>
      <c r="AV568" s="271"/>
      <c r="AW568" s="271"/>
      <c r="AX568" s="271"/>
      <c r="AY568" s="271"/>
    </row>
    <row r="569" spans="1:51" ht="15.75" customHeight="1" x14ac:dyDescent="0.25">
      <c r="A569" s="271"/>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c r="AL569" s="271"/>
      <c r="AM569" s="271"/>
      <c r="AN569" s="271"/>
      <c r="AO569" s="271"/>
      <c r="AP569" s="271"/>
      <c r="AQ569" s="271"/>
      <c r="AR569" s="271"/>
      <c r="AS569" s="271"/>
      <c r="AT569" s="271"/>
      <c r="AU569" s="271"/>
      <c r="AV569" s="271"/>
      <c r="AW569" s="271"/>
      <c r="AX569" s="271"/>
      <c r="AY569" s="271"/>
    </row>
    <row r="570" spans="1:51" ht="15.75" customHeight="1" x14ac:dyDescent="0.25">
      <c r="A570" s="271"/>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c r="AL570" s="271"/>
      <c r="AM570" s="271"/>
      <c r="AN570" s="271"/>
      <c r="AO570" s="271"/>
      <c r="AP570" s="271"/>
      <c r="AQ570" s="271"/>
      <c r="AR570" s="271"/>
      <c r="AS570" s="271"/>
      <c r="AT570" s="271"/>
      <c r="AU570" s="271"/>
      <c r="AV570" s="271"/>
      <c r="AW570" s="271"/>
      <c r="AX570" s="271"/>
      <c r="AY570" s="271"/>
    </row>
    <row r="571" spans="1:51" ht="15.75" customHeight="1" x14ac:dyDescent="0.25">
      <c r="A571" s="271"/>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c r="AL571" s="271"/>
      <c r="AM571" s="271"/>
      <c r="AN571" s="271"/>
      <c r="AO571" s="271"/>
      <c r="AP571" s="271"/>
      <c r="AQ571" s="271"/>
      <c r="AR571" s="271"/>
      <c r="AS571" s="271"/>
      <c r="AT571" s="271"/>
      <c r="AU571" s="271"/>
      <c r="AV571" s="271"/>
      <c r="AW571" s="271"/>
      <c r="AX571" s="271"/>
      <c r="AY571" s="271"/>
    </row>
    <row r="572" spans="1:51" ht="15.75" customHeight="1" x14ac:dyDescent="0.25">
      <c r="A572" s="271"/>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c r="AL572" s="271"/>
      <c r="AM572" s="271"/>
      <c r="AN572" s="271"/>
      <c r="AO572" s="271"/>
      <c r="AP572" s="271"/>
      <c r="AQ572" s="271"/>
      <c r="AR572" s="271"/>
      <c r="AS572" s="271"/>
      <c r="AT572" s="271"/>
      <c r="AU572" s="271"/>
      <c r="AV572" s="271"/>
      <c r="AW572" s="271"/>
      <c r="AX572" s="271"/>
      <c r="AY572" s="271"/>
    </row>
    <row r="573" spans="1:51" ht="15.75" customHeight="1" x14ac:dyDescent="0.25">
      <c r="A573" s="271"/>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c r="AL573" s="271"/>
      <c r="AM573" s="271"/>
      <c r="AN573" s="271"/>
      <c r="AO573" s="271"/>
      <c r="AP573" s="271"/>
      <c r="AQ573" s="271"/>
      <c r="AR573" s="271"/>
      <c r="AS573" s="271"/>
      <c r="AT573" s="271"/>
      <c r="AU573" s="271"/>
      <c r="AV573" s="271"/>
      <c r="AW573" s="271"/>
      <c r="AX573" s="271"/>
      <c r="AY573" s="271"/>
    </row>
    <row r="574" spans="1:51" ht="15.75" customHeight="1" x14ac:dyDescent="0.25">
      <c r="A574" s="271"/>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c r="AL574" s="271"/>
      <c r="AM574" s="271"/>
      <c r="AN574" s="271"/>
      <c r="AO574" s="271"/>
      <c r="AP574" s="271"/>
      <c r="AQ574" s="271"/>
      <c r="AR574" s="271"/>
      <c r="AS574" s="271"/>
      <c r="AT574" s="271"/>
      <c r="AU574" s="271"/>
      <c r="AV574" s="271"/>
      <c r="AW574" s="271"/>
      <c r="AX574" s="271"/>
      <c r="AY574" s="271"/>
    </row>
    <row r="575" spans="1:51" ht="15.75" customHeight="1" x14ac:dyDescent="0.25">
      <c r="A575" s="271"/>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c r="AL575" s="271"/>
      <c r="AM575" s="271"/>
      <c r="AN575" s="271"/>
      <c r="AO575" s="271"/>
      <c r="AP575" s="271"/>
      <c r="AQ575" s="271"/>
      <c r="AR575" s="271"/>
      <c r="AS575" s="271"/>
      <c r="AT575" s="271"/>
      <c r="AU575" s="271"/>
      <c r="AV575" s="271"/>
      <c r="AW575" s="271"/>
      <c r="AX575" s="271"/>
      <c r="AY575" s="271"/>
    </row>
    <row r="576" spans="1:51" ht="15.75" customHeight="1" x14ac:dyDescent="0.25">
      <c r="A576" s="271"/>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c r="AL576" s="271"/>
      <c r="AM576" s="271"/>
      <c r="AN576" s="271"/>
      <c r="AO576" s="271"/>
      <c r="AP576" s="271"/>
      <c r="AQ576" s="271"/>
      <c r="AR576" s="271"/>
      <c r="AS576" s="271"/>
      <c r="AT576" s="271"/>
      <c r="AU576" s="271"/>
      <c r="AV576" s="271"/>
      <c r="AW576" s="271"/>
      <c r="AX576" s="271"/>
      <c r="AY576" s="271"/>
    </row>
    <row r="577" spans="1:51" ht="15.75" customHeight="1" x14ac:dyDescent="0.25">
      <c r="A577" s="271"/>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c r="AL577" s="271"/>
      <c r="AM577" s="271"/>
      <c r="AN577" s="271"/>
      <c r="AO577" s="271"/>
      <c r="AP577" s="271"/>
      <c r="AQ577" s="271"/>
      <c r="AR577" s="271"/>
      <c r="AS577" s="271"/>
      <c r="AT577" s="271"/>
      <c r="AU577" s="271"/>
      <c r="AV577" s="271"/>
      <c r="AW577" s="271"/>
      <c r="AX577" s="271"/>
      <c r="AY577" s="271"/>
    </row>
    <row r="578" spans="1:51" ht="15.75" customHeight="1" x14ac:dyDescent="0.25">
      <c r="A578" s="271"/>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c r="AL578" s="271"/>
      <c r="AM578" s="271"/>
      <c r="AN578" s="271"/>
      <c r="AO578" s="271"/>
      <c r="AP578" s="271"/>
      <c r="AQ578" s="271"/>
      <c r="AR578" s="271"/>
      <c r="AS578" s="271"/>
      <c r="AT578" s="271"/>
      <c r="AU578" s="271"/>
      <c r="AV578" s="271"/>
      <c r="AW578" s="271"/>
      <c r="AX578" s="271"/>
      <c r="AY578" s="271"/>
    </row>
    <row r="579" spans="1:51" ht="15.75" customHeight="1" x14ac:dyDescent="0.25">
      <c r="A579" s="271"/>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c r="AL579" s="271"/>
      <c r="AM579" s="271"/>
      <c r="AN579" s="271"/>
      <c r="AO579" s="271"/>
      <c r="AP579" s="271"/>
      <c r="AQ579" s="271"/>
      <c r="AR579" s="271"/>
      <c r="AS579" s="271"/>
      <c r="AT579" s="271"/>
      <c r="AU579" s="271"/>
      <c r="AV579" s="271"/>
      <c r="AW579" s="271"/>
      <c r="AX579" s="271"/>
      <c r="AY579" s="271"/>
    </row>
    <row r="580" spans="1:51" ht="15.75" customHeight="1" x14ac:dyDescent="0.25">
      <c r="A580" s="271"/>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c r="AL580" s="271"/>
      <c r="AM580" s="271"/>
      <c r="AN580" s="271"/>
      <c r="AO580" s="271"/>
      <c r="AP580" s="271"/>
      <c r="AQ580" s="271"/>
      <c r="AR580" s="271"/>
      <c r="AS580" s="271"/>
      <c r="AT580" s="271"/>
      <c r="AU580" s="271"/>
      <c r="AV580" s="271"/>
      <c r="AW580" s="271"/>
      <c r="AX580" s="271"/>
      <c r="AY580" s="271"/>
    </row>
    <row r="581" spans="1:51" ht="15.75" customHeight="1" x14ac:dyDescent="0.25">
      <c r="A581" s="271"/>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c r="AL581" s="271"/>
      <c r="AM581" s="271"/>
      <c r="AN581" s="271"/>
      <c r="AO581" s="271"/>
      <c r="AP581" s="271"/>
      <c r="AQ581" s="271"/>
      <c r="AR581" s="271"/>
      <c r="AS581" s="271"/>
      <c r="AT581" s="271"/>
      <c r="AU581" s="271"/>
      <c r="AV581" s="271"/>
      <c r="AW581" s="271"/>
      <c r="AX581" s="271"/>
      <c r="AY581" s="271"/>
    </row>
    <row r="582" spans="1:51" ht="15.75" customHeight="1" x14ac:dyDescent="0.25">
      <c r="A582" s="271"/>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c r="AL582" s="271"/>
      <c r="AM582" s="271"/>
      <c r="AN582" s="271"/>
      <c r="AO582" s="271"/>
      <c r="AP582" s="271"/>
      <c r="AQ582" s="271"/>
      <c r="AR582" s="271"/>
      <c r="AS582" s="271"/>
      <c r="AT582" s="271"/>
      <c r="AU582" s="271"/>
      <c r="AV582" s="271"/>
      <c r="AW582" s="271"/>
      <c r="AX582" s="271"/>
      <c r="AY582" s="271"/>
    </row>
    <row r="583" spans="1:51" ht="15.75" customHeight="1" x14ac:dyDescent="0.25">
      <c r="A583" s="271"/>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c r="AL583" s="271"/>
      <c r="AM583" s="271"/>
      <c r="AN583" s="271"/>
      <c r="AO583" s="271"/>
      <c r="AP583" s="271"/>
      <c r="AQ583" s="271"/>
      <c r="AR583" s="271"/>
      <c r="AS583" s="271"/>
      <c r="AT583" s="271"/>
      <c r="AU583" s="271"/>
      <c r="AV583" s="271"/>
      <c r="AW583" s="271"/>
      <c r="AX583" s="271"/>
      <c r="AY583" s="271"/>
    </row>
    <row r="584" spans="1:51" ht="15.75" customHeight="1" x14ac:dyDescent="0.25">
      <c r="A584" s="271"/>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c r="AL584" s="271"/>
      <c r="AM584" s="271"/>
      <c r="AN584" s="271"/>
      <c r="AO584" s="271"/>
      <c r="AP584" s="271"/>
      <c r="AQ584" s="271"/>
      <c r="AR584" s="271"/>
      <c r="AS584" s="271"/>
      <c r="AT584" s="271"/>
      <c r="AU584" s="271"/>
      <c r="AV584" s="271"/>
      <c r="AW584" s="271"/>
      <c r="AX584" s="271"/>
      <c r="AY584" s="271"/>
    </row>
    <row r="585" spans="1:51" ht="15.75" customHeight="1" x14ac:dyDescent="0.25">
      <c r="A585" s="271"/>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c r="AL585" s="271"/>
      <c r="AM585" s="271"/>
      <c r="AN585" s="271"/>
      <c r="AO585" s="271"/>
      <c r="AP585" s="271"/>
      <c r="AQ585" s="271"/>
      <c r="AR585" s="271"/>
      <c r="AS585" s="271"/>
      <c r="AT585" s="271"/>
      <c r="AU585" s="271"/>
      <c r="AV585" s="271"/>
      <c r="AW585" s="271"/>
      <c r="AX585" s="271"/>
      <c r="AY585" s="271"/>
    </row>
    <row r="586" spans="1:51" ht="15.75" customHeight="1" x14ac:dyDescent="0.25">
      <c r="A586" s="271"/>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c r="AL586" s="271"/>
      <c r="AM586" s="271"/>
      <c r="AN586" s="271"/>
      <c r="AO586" s="271"/>
      <c r="AP586" s="271"/>
      <c r="AQ586" s="271"/>
      <c r="AR586" s="271"/>
      <c r="AS586" s="271"/>
      <c r="AT586" s="271"/>
      <c r="AU586" s="271"/>
      <c r="AV586" s="271"/>
      <c r="AW586" s="271"/>
      <c r="AX586" s="271"/>
      <c r="AY586" s="271"/>
    </row>
    <row r="587" spans="1:51" ht="15.75" customHeight="1" x14ac:dyDescent="0.25">
      <c r="A587" s="271"/>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c r="AL587" s="271"/>
      <c r="AM587" s="271"/>
      <c r="AN587" s="271"/>
      <c r="AO587" s="271"/>
      <c r="AP587" s="271"/>
      <c r="AQ587" s="271"/>
      <c r="AR587" s="271"/>
      <c r="AS587" s="271"/>
      <c r="AT587" s="271"/>
      <c r="AU587" s="271"/>
      <c r="AV587" s="271"/>
      <c r="AW587" s="271"/>
      <c r="AX587" s="271"/>
      <c r="AY587" s="271"/>
    </row>
    <row r="588" spans="1:51" ht="15.75" customHeight="1" x14ac:dyDescent="0.25">
      <c r="A588" s="271"/>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c r="AL588" s="271"/>
      <c r="AM588" s="271"/>
      <c r="AN588" s="271"/>
      <c r="AO588" s="271"/>
      <c r="AP588" s="271"/>
      <c r="AQ588" s="271"/>
      <c r="AR588" s="271"/>
      <c r="AS588" s="271"/>
      <c r="AT588" s="271"/>
      <c r="AU588" s="271"/>
      <c r="AV588" s="271"/>
      <c r="AW588" s="271"/>
      <c r="AX588" s="271"/>
      <c r="AY588" s="271"/>
    </row>
    <row r="589" spans="1:51" ht="15.75" customHeight="1" x14ac:dyDescent="0.25">
      <c r="A589" s="271"/>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c r="AL589" s="271"/>
      <c r="AM589" s="271"/>
      <c r="AN589" s="271"/>
      <c r="AO589" s="271"/>
      <c r="AP589" s="271"/>
      <c r="AQ589" s="271"/>
      <c r="AR589" s="271"/>
      <c r="AS589" s="271"/>
      <c r="AT589" s="271"/>
      <c r="AU589" s="271"/>
      <c r="AV589" s="271"/>
      <c r="AW589" s="271"/>
      <c r="AX589" s="271"/>
      <c r="AY589" s="271"/>
    </row>
    <row r="590" spans="1:51" ht="15.75" customHeight="1" x14ac:dyDescent="0.25">
      <c r="A590" s="271"/>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c r="AL590" s="271"/>
      <c r="AM590" s="271"/>
      <c r="AN590" s="271"/>
      <c r="AO590" s="271"/>
      <c r="AP590" s="271"/>
      <c r="AQ590" s="271"/>
      <c r="AR590" s="271"/>
      <c r="AS590" s="271"/>
      <c r="AT590" s="271"/>
      <c r="AU590" s="271"/>
      <c r="AV590" s="271"/>
      <c r="AW590" s="271"/>
      <c r="AX590" s="271"/>
      <c r="AY590" s="271"/>
    </row>
    <row r="591" spans="1:51" ht="15.75" customHeight="1" x14ac:dyDescent="0.25">
      <c r="A591" s="271"/>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c r="AL591" s="271"/>
      <c r="AM591" s="271"/>
      <c r="AN591" s="271"/>
      <c r="AO591" s="271"/>
      <c r="AP591" s="271"/>
      <c r="AQ591" s="271"/>
      <c r="AR591" s="271"/>
      <c r="AS591" s="271"/>
      <c r="AT591" s="271"/>
      <c r="AU591" s="271"/>
      <c r="AV591" s="271"/>
      <c r="AW591" s="271"/>
      <c r="AX591" s="271"/>
      <c r="AY591" s="271"/>
    </row>
    <row r="592" spans="1:51" ht="15.75" customHeight="1" x14ac:dyDescent="0.25">
      <c r="A592" s="271"/>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c r="AL592" s="271"/>
      <c r="AM592" s="271"/>
      <c r="AN592" s="271"/>
      <c r="AO592" s="271"/>
      <c r="AP592" s="271"/>
      <c r="AQ592" s="271"/>
      <c r="AR592" s="271"/>
      <c r="AS592" s="271"/>
      <c r="AT592" s="271"/>
      <c r="AU592" s="271"/>
      <c r="AV592" s="271"/>
      <c r="AW592" s="271"/>
      <c r="AX592" s="271"/>
      <c r="AY592" s="271"/>
    </row>
    <row r="593" spans="1:51" ht="15.75" customHeight="1" x14ac:dyDescent="0.25">
      <c r="A593" s="271"/>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c r="AL593" s="271"/>
      <c r="AM593" s="271"/>
      <c r="AN593" s="271"/>
      <c r="AO593" s="271"/>
      <c r="AP593" s="271"/>
      <c r="AQ593" s="271"/>
      <c r="AR593" s="271"/>
      <c r="AS593" s="271"/>
      <c r="AT593" s="271"/>
      <c r="AU593" s="271"/>
      <c r="AV593" s="271"/>
      <c r="AW593" s="271"/>
      <c r="AX593" s="271"/>
      <c r="AY593" s="271"/>
    </row>
    <row r="594" spans="1:51" ht="15.75" customHeight="1" x14ac:dyDescent="0.25">
      <c r="A594" s="271"/>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c r="AL594" s="271"/>
      <c r="AM594" s="271"/>
      <c r="AN594" s="271"/>
      <c r="AO594" s="271"/>
      <c r="AP594" s="271"/>
      <c r="AQ594" s="271"/>
      <c r="AR594" s="271"/>
      <c r="AS594" s="271"/>
      <c r="AT594" s="271"/>
      <c r="AU594" s="271"/>
      <c r="AV594" s="271"/>
      <c r="AW594" s="271"/>
      <c r="AX594" s="271"/>
      <c r="AY594" s="271"/>
    </row>
    <row r="595" spans="1:51" ht="15.75" customHeight="1" x14ac:dyDescent="0.25">
      <c r="A595" s="271"/>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c r="AL595" s="271"/>
      <c r="AM595" s="271"/>
      <c r="AN595" s="271"/>
      <c r="AO595" s="271"/>
      <c r="AP595" s="271"/>
      <c r="AQ595" s="271"/>
      <c r="AR595" s="271"/>
      <c r="AS595" s="271"/>
      <c r="AT595" s="271"/>
      <c r="AU595" s="271"/>
      <c r="AV595" s="271"/>
      <c r="AW595" s="271"/>
      <c r="AX595" s="271"/>
      <c r="AY595" s="271"/>
    </row>
    <row r="596" spans="1:51" ht="15.75" customHeight="1" x14ac:dyDescent="0.25">
      <c r="A596" s="271"/>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c r="AL596" s="271"/>
      <c r="AM596" s="271"/>
      <c r="AN596" s="271"/>
      <c r="AO596" s="271"/>
      <c r="AP596" s="271"/>
      <c r="AQ596" s="271"/>
      <c r="AR596" s="271"/>
      <c r="AS596" s="271"/>
      <c r="AT596" s="271"/>
      <c r="AU596" s="271"/>
      <c r="AV596" s="271"/>
      <c r="AW596" s="271"/>
      <c r="AX596" s="271"/>
      <c r="AY596" s="271"/>
    </row>
    <row r="597" spans="1:51" ht="15.75" customHeight="1" x14ac:dyDescent="0.25">
      <c r="A597" s="271"/>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c r="AL597" s="271"/>
      <c r="AM597" s="271"/>
      <c r="AN597" s="271"/>
      <c r="AO597" s="271"/>
      <c r="AP597" s="271"/>
      <c r="AQ597" s="271"/>
      <c r="AR597" s="271"/>
      <c r="AS597" s="271"/>
      <c r="AT597" s="271"/>
      <c r="AU597" s="271"/>
      <c r="AV597" s="271"/>
      <c r="AW597" s="271"/>
      <c r="AX597" s="271"/>
      <c r="AY597" s="271"/>
    </row>
    <row r="598" spans="1:51" ht="15.75" customHeight="1" x14ac:dyDescent="0.25">
      <c r="A598" s="271"/>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c r="AL598" s="271"/>
      <c r="AM598" s="271"/>
      <c r="AN598" s="271"/>
      <c r="AO598" s="271"/>
      <c r="AP598" s="271"/>
      <c r="AQ598" s="271"/>
      <c r="AR598" s="271"/>
      <c r="AS598" s="271"/>
      <c r="AT598" s="271"/>
      <c r="AU598" s="271"/>
      <c r="AV598" s="271"/>
      <c r="AW598" s="271"/>
      <c r="AX598" s="271"/>
      <c r="AY598" s="271"/>
    </row>
    <row r="599" spans="1:51" ht="15.75" customHeight="1" x14ac:dyDescent="0.25">
      <c r="A599" s="271"/>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c r="AL599" s="271"/>
      <c r="AM599" s="271"/>
      <c r="AN599" s="271"/>
      <c r="AO599" s="271"/>
      <c r="AP599" s="271"/>
      <c r="AQ599" s="271"/>
      <c r="AR599" s="271"/>
      <c r="AS599" s="271"/>
      <c r="AT599" s="271"/>
      <c r="AU599" s="271"/>
      <c r="AV599" s="271"/>
      <c r="AW599" s="271"/>
      <c r="AX599" s="271"/>
      <c r="AY599" s="271"/>
    </row>
    <row r="600" spans="1:51" ht="15.75" customHeight="1" x14ac:dyDescent="0.25">
      <c r="A600" s="271"/>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c r="AL600" s="271"/>
      <c r="AM600" s="271"/>
      <c r="AN600" s="271"/>
      <c r="AO600" s="271"/>
      <c r="AP600" s="271"/>
      <c r="AQ600" s="271"/>
      <c r="AR600" s="271"/>
      <c r="AS600" s="271"/>
      <c r="AT600" s="271"/>
      <c r="AU600" s="271"/>
      <c r="AV600" s="271"/>
      <c r="AW600" s="271"/>
      <c r="AX600" s="271"/>
      <c r="AY600" s="271"/>
    </row>
    <row r="601" spans="1:51" ht="15.75" customHeight="1" x14ac:dyDescent="0.25">
      <c r="A601" s="271"/>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c r="AL601" s="271"/>
      <c r="AM601" s="271"/>
      <c r="AN601" s="271"/>
      <c r="AO601" s="271"/>
      <c r="AP601" s="271"/>
      <c r="AQ601" s="271"/>
      <c r="AR601" s="271"/>
      <c r="AS601" s="271"/>
      <c r="AT601" s="271"/>
      <c r="AU601" s="271"/>
      <c r="AV601" s="271"/>
      <c r="AW601" s="271"/>
      <c r="AX601" s="271"/>
      <c r="AY601" s="271"/>
    </row>
    <row r="602" spans="1:51" ht="15.75" customHeight="1" x14ac:dyDescent="0.25">
      <c r="A602" s="271"/>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c r="AL602" s="271"/>
      <c r="AM602" s="271"/>
      <c r="AN602" s="271"/>
      <c r="AO602" s="271"/>
      <c r="AP602" s="271"/>
      <c r="AQ602" s="271"/>
      <c r="AR602" s="271"/>
      <c r="AS602" s="271"/>
      <c r="AT602" s="271"/>
      <c r="AU602" s="271"/>
      <c r="AV602" s="271"/>
      <c r="AW602" s="271"/>
      <c r="AX602" s="271"/>
      <c r="AY602" s="271"/>
    </row>
    <row r="603" spans="1:51" ht="15.75" customHeight="1" x14ac:dyDescent="0.25">
      <c r="A603" s="271"/>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c r="AL603" s="271"/>
      <c r="AM603" s="271"/>
      <c r="AN603" s="271"/>
      <c r="AO603" s="271"/>
      <c r="AP603" s="271"/>
      <c r="AQ603" s="271"/>
      <c r="AR603" s="271"/>
      <c r="AS603" s="271"/>
      <c r="AT603" s="271"/>
      <c r="AU603" s="271"/>
      <c r="AV603" s="271"/>
      <c r="AW603" s="271"/>
      <c r="AX603" s="271"/>
      <c r="AY603" s="271"/>
    </row>
    <row r="604" spans="1:51" ht="15.75" customHeight="1" x14ac:dyDescent="0.25">
      <c r="A604" s="271"/>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c r="AL604" s="271"/>
      <c r="AM604" s="271"/>
      <c r="AN604" s="271"/>
      <c r="AO604" s="271"/>
      <c r="AP604" s="271"/>
      <c r="AQ604" s="271"/>
      <c r="AR604" s="271"/>
      <c r="AS604" s="271"/>
      <c r="AT604" s="271"/>
      <c r="AU604" s="271"/>
      <c r="AV604" s="271"/>
      <c r="AW604" s="271"/>
      <c r="AX604" s="271"/>
      <c r="AY604" s="271"/>
    </row>
    <row r="605" spans="1:51" ht="15.75" customHeight="1" x14ac:dyDescent="0.25">
      <c r="A605" s="271"/>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c r="AL605" s="271"/>
      <c r="AM605" s="271"/>
      <c r="AN605" s="271"/>
      <c r="AO605" s="271"/>
      <c r="AP605" s="271"/>
      <c r="AQ605" s="271"/>
      <c r="AR605" s="271"/>
      <c r="AS605" s="271"/>
      <c r="AT605" s="271"/>
      <c r="AU605" s="271"/>
      <c r="AV605" s="271"/>
      <c r="AW605" s="271"/>
      <c r="AX605" s="271"/>
      <c r="AY605" s="271"/>
    </row>
    <row r="606" spans="1:51" ht="15.75" customHeight="1" x14ac:dyDescent="0.25">
      <c r="A606" s="271"/>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c r="AL606" s="271"/>
      <c r="AM606" s="271"/>
      <c r="AN606" s="271"/>
      <c r="AO606" s="271"/>
      <c r="AP606" s="271"/>
      <c r="AQ606" s="271"/>
      <c r="AR606" s="271"/>
      <c r="AS606" s="271"/>
      <c r="AT606" s="271"/>
      <c r="AU606" s="271"/>
      <c r="AV606" s="271"/>
      <c r="AW606" s="271"/>
      <c r="AX606" s="271"/>
      <c r="AY606" s="271"/>
    </row>
    <row r="607" spans="1:51" ht="15.75" customHeight="1" x14ac:dyDescent="0.25">
      <c r="A607" s="271"/>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c r="AL607" s="271"/>
      <c r="AM607" s="271"/>
      <c r="AN607" s="271"/>
      <c r="AO607" s="271"/>
      <c r="AP607" s="271"/>
      <c r="AQ607" s="271"/>
      <c r="AR607" s="271"/>
      <c r="AS607" s="271"/>
      <c r="AT607" s="271"/>
      <c r="AU607" s="271"/>
      <c r="AV607" s="271"/>
      <c r="AW607" s="271"/>
      <c r="AX607" s="271"/>
      <c r="AY607" s="271"/>
    </row>
    <row r="608" spans="1:51" ht="15.75" customHeight="1" x14ac:dyDescent="0.25">
      <c r="A608" s="271"/>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c r="AL608" s="271"/>
      <c r="AM608" s="271"/>
      <c r="AN608" s="271"/>
      <c r="AO608" s="271"/>
      <c r="AP608" s="271"/>
      <c r="AQ608" s="271"/>
      <c r="AR608" s="271"/>
      <c r="AS608" s="271"/>
      <c r="AT608" s="271"/>
      <c r="AU608" s="271"/>
      <c r="AV608" s="271"/>
      <c r="AW608" s="271"/>
      <c r="AX608" s="271"/>
      <c r="AY608" s="271"/>
    </row>
    <row r="609" spans="1:51" ht="15.75" customHeight="1" x14ac:dyDescent="0.25">
      <c r="A609" s="271"/>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c r="AL609" s="271"/>
      <c r="AM609" s="271"/>
      <c r="AN609" s="271"/>
      <c r="AO609" s="271"/>
      <c r="AP609" s="271"/>
      <c r="AQ609" s="271"/>
      <c r="AR609" s="271"/>
      <c r="AS609" s="271"/>
      <c r="AT609" s="271"/>
      <c r="AU609" s="271"/>
      <c r="AV609" s="271"/>
      <c r="AW609" s="271"/>
      <c r="AX609" s="271"/>
      <c r="AY609" s="271"/>
    </row>
    <row r="610" spans="1:51" ht="15.75" customHeight="1" x14ac:dyDescent="0.25">
      <c r="A610" s="271"/>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c r="AL610" s="271"/>
      <c r="AM610" s="271"/>
      <c r="AN610" s="271"/>
      <c r="AO610" s="271"/>
      <c r="AP610" s="271"/>
      <c r="AQ610" s="271"/>
      <c r="AR610" s="271"/>
      <c r="AS610" s="271"/>
      <c r="AT610" s="271"/>
      <c r="AU610" s="271"/>
      <c r="AV610" s="271"/>
      <c r="AW610" s="271"/>
      <c r="AX610" s="271"/>
      <c r="AY610" s="271"/>
    </row>
    <row r="611" spans="1:51" ht="15.75" customHeight="1" x14ac:dyDescent="0.25">
      <c r="A611" s="271"/>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c r="AL611" s="271"/>
      <c r="AM611" s="271"/>
      <c r="AN611" s="271"/>
      <c r="AO611" s="271"/>
      <c r="AP611" s="271"/>
      <c r="AQ611" s="271"/>
      <c r="AR611" s="271"/>
      <c r="AS611" s="271"/>
      <c r="AT611" s="271"/>
      <c r="AU611" s="271"/>
      <c r="AV611" s="271"/>
      <c r="AW611" s="271"/>
      <c r="AX611" s="271"/>
      <c r="AY611" s="271"/>
    </row>
    <row r="612" spans="1:51" ht="15.75" customHeight="1" x14ac:dyDescent="0.25">
      <c r="A612" s="271"/>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c r="AL612" s="271"/>
      <c r="AM612" s="271"/>
      <c r="AN612" s="271"/>
      <c r="AO612" s="271"/>
      <c r="AP612" s="271"/>
      <c r="AQ612" s="271"/>
      <c r="AR612" s="271"/>
      <c r="AS612" s="271"/>
      <c r="AT612" s="271"/>
      <c r="AU612" s="271"/>
      <c r="AV612" s="271"/>
      <c r="AW612" s="271"/>
      <c r="AX612" s="271"/>
      <c r="AY612" s="271"/>
    </row>
    <row r="613" spans="1:51" ht="15.75" customHeight="1" x14ac:dyDescent="0.25">
      <c r="A613" s="271"/>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c r="AL613" s="271"/>
      <c r="AM613" s="271"/>
      <c r="AN613" s="271"/>
      <c r="AO613" s="271"/>
      <c r="AP613" s="271"/>
      <c r="AQ613" s="271"/>
      <c r="AR613" s="271"/>
      <c r="AS613" s="271"/>
      <c r="AT613" s="271"/>
      <c r="AU613" s="271"/>
      <c r="AV613" s="271"/>
      <c r="AW613" s="271"/>
      <c r="AX613" s="271"/>
      <c r="AY613" s="271"/>
    </row>
    <row r="614" spans="1:51" ht="15.75" customHeight="1" x14ac:dyDescent="0.25">
      <c r="A614" s="271"/>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c r="AL614" s="271"/>
      <c r="AM614" s="271"/>
      <c r="AN614" s="271"/>
      <c r="AO614" s="271"/>
      <c r="AP614" s="271"/>
      <c r="AQ614" s="271"/>
      <c r="AR614" s="271"/>
      <c r="AS614" s="271"/>
      <c r="AT614" s="271"/>
      <c r="AU614" s="271"/>
      <c r="AV614" s="271"/>
      <c r="AW614" s="271"/>
      <c r="AX614" s="271"/>
      <c r="AY614" s="271"/>
    </row>
    <row r="615" spans="1:51" ht="15.75" customHeight="1" x14ac:dyDescent="0.25">
      <c r="A615" s="271"/>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c r="AL615" s="271"/>
      <c r="AM615" s="271"/>
      <c r="AN615" s="271"/>
      <c r="AO615" s="271"/>
      <c r="AP615" s="271"/>
      <c r="AQ615" s="271"/>
      <c r="AR615" s="271"/>
      <c r="AS615" s="271"/>
      <c r="AT615" s="271"/>
      <c r="AU615" s="271"/>
      <c r="AV615" s="271"/>
      <c r="AW615" s="271"/>
      <c r="AX615" s="271"/>
      <c r="AY615" s="271"/>
    </row>
    <row r="616" spans="1:51" ht="15.75" customHeight="1" x14ac:dyDescent="0.25">
      <c r="A616" s="271"/>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c r="AL616" s="271"/>
      <c r="AM616" s="271"/>
      <c r="AN616" s="271"/>
      <c r="AO616" s="271"/>
      <c r="AP616" s="271"/>
      <c r="AQ616" s="271"/>
      <c r="AR616" s="271"/>
      <c r="AS616" s="271"/>
      <c r="AT616" s="271"/>
      <c r="AU616" s="271"/>
      <c r="AV616" s="271"/>
      <c r="AW616" s="271"/>
      <c r="AX616" s="271"/>
      <c r="AY616" s="271"/>
    </row>
    <row r="617" spans="1:51" ht="15.75" customHeight="1" x14ac:dyDescent="0.25">
      <c r="A617" s="271"/>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c r="AL617" s="271"/>
      <c r="AM617" s="271"/>
      <c r="AN617" s="271"/>
      <c r="AO617" s="271"/>
      <c r="AP617" s="271"/>
      <c r="AQ617" s="271"/>
      <c r="AR617" s="271"/>
      <c r="AS617" s="271"/>
      <c r="AT617" s="271"/>
      <c r="AU617" s="271"/>
      <c r="AV617" s="271"/>
      <c r="AW617" s="271"/>
      <c r="AX617" s="271"/>
      <c r="AY617" s="271"/>
    </row>
    <row r="618" spans="1:51" ht="15.75" customHeight="1" x14ac:dyDescent="0.25">
      <c r="A618" s="271"/>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c r="AL618" s="271"/>
      <c r="AM618" s="271"/>
      <c r="AN618" s="271"/>
      <c r="AO618" s="271"/>
      <c r="AP618" s="271"/>
      <c r="AQ618" s="271"/>
      <c r="AR618" s="271"/>
      <c r="AS618" s="271"/>
      <c r="AT618" s="271"/>
      <c r="AU618" s="271"/>
      <c r="AV618" s="271"/>
      <c r="AW618" s="271"/>
      <c r="AX618" s="271"/>
      <c r="AY618" s="271"/>
    </row>
    <row r="619" spans="1:51" ht="15.75" customHeight="1" x14ac:dyDescent="0.25">
      <c r="A619" s="271"/>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c r="AL619" s="271"/>
      <c r="AM619" s="271"/>
      <c r="AN619" s="271"/>
      <c r="AO619" s="271"/>
      <c r="AP619" s="271"/>
      <c r="AQ619" s="271"/>
      <c r="AR619" s="271"/>
      <c r="AS619" s="271"/>
      <c r="AT619" s="271"/>
      <c r="AU619" s="271"/>
      <c r="AV619" s="271"/>
      <c r="AW619" s="271"/>
      <c r="AX619" s="271"/>
      <c r="AY619" s="271"/>
    </row>
    <row r="620" spans="1:51" ht="15.75" customHeight="1" x14ac:dyDescent="0.25">
      <c r="A620" s="271"/>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c r="AL620" s="271"/>
      <c r="AM620" s="271"/>
      <c r="AN620" s="271"/>
      <c r="AO620" s="271"/>
      <c r="AP620" s="271"/>
      <c r="AQ620" s="271"/>
      <c r="AR620" s="271"/>
      <c r="AS620" s="271"/>
      <c r="AT620" s="271"/>
      <c r="AU620" s="271"/>
      <c r="AV620" s="271"/>
      <c r="AW620" s="271"/>
      <c r="AX620" s="271"/>
      <c r="AY620" s="271"/>
    </row>
    <row r="621" spans="1:51" ht="15.75" customHeight="1" x14ac:dyDescent="0.25">
      <c r="A621" s="271"/>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c r="AL621" s="271"/>
      <c r="AM621" s="271"/>
      <c r="AN621" s="271"/>
      <c r="AO621" s="271"/>
      <c r="AP621" s="271"/>
      <c r="AQ621" s="271"/>
      <c r="AR621" s="271"/>
      <c r="AS621" s="271"/>
      <c r="AT621" s="271"/>
      <c r="AU621" s="271"/>
      <c r="AV621" s="271"/>
      <c r="AW621" s="271"/>
      <c r="AX621" s="271"/>
      <c r="AY621" s="271"/>
    </row>
    <row r="622" spans="1:51" ht="15.75" customHeight="1" x14ac:dyDescent="0.25">
      <c r="A622" s="271"/>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c r="AL622" s="271"/>
      <c r="AM622" s="271"/>
      <c r="AN622" s="271"/>
      <c r="AO622" s="271"/>
      <c r="AP622" s="271"/>
      <c r="AQ622" s="271"/>
      <c r="AR622" s="271"/>
      <c r="AS622" s="271"/>
      <c r="AT622" s="271"/>
      <c r="AU622" s="271"/>
      <c r="AV622" s="271"/>
      <c r="AW622" s="271"/>
      <c r="AX622" s="271"/>
      <c r="AY622" s="271"/>
    </row>
    <row r="623" spans="1:51" ht="15.75" customHeight="1" x14ac:dyDescent="0.25">
      <c r="A623" s="271"/>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c r="AL623" s="271"/>
      <c r="AM623" s="271"/>
      <c r="AN623" s="271"/>
      <c r="AO623" s="271"/>
      <c r="AP623" s="271"/>
      <c r="AQ623" s="271"/>
      <c r="AR623" s="271"/>
      <c r="AS623" s="271"/>
      <c r="AT623" s="271"/>
      <c r="AU623" s="271"/>
      <c r="AV623" s="271"/>
      <c r="AW623" s="271"/>
      <c r="AX623" s="271"/>
      <c r="AY623" s="271"/>
    </row>
    <row r="624" spans="1:51" ht="15.75" customHeight="1" x14ac:dyDescent="0.25">
      <c r="A624" s="271"/>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c r="AL624" s="271"/>
      <c r="AM624" s="271"/>
      <c r="AN624" s="271"/>
      <c r="AO624" s="271"/>
      <c r="AP624" s="271"/>
      <c r="AQ624" s="271"/>
      <c r="AR624" s="271"/>
      <c r="AS624" s="271"/>
      <c r="AT624" s="271"/>
      <c r="AU624" s="271"/>
      <c r="AV624" s="271"/>
      <c r="AW624" s="271"/>
      <c r="AX624" s="271"/>
      <c r="AY624" s="271"/>
    </row>
    <row r="625" spans="1:51" ht="15.75" customHeight="1" x14ac:dyDescent="0.25">
      <c r="A625" s="271"/>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c r="AL625" s="271"/>
      <c r="AM625" s="271"/>
      <c r="AN625" s="271"/>
      <c r="AO625" s="271"/>
      <c r="AP625" s="271"/>
      <c r="AQ625" s="271"/>
      <c r="AR625" s="271"/>
      <c r="AS625" s="271"/>
      <c r="AT625" s="271"/>
      <c r="AU625" s="271"/>
      <c r="AV625" s="271"/>
      <c r="AW625" s="271"/>
      <c r="AX625" s="271"/>
      <c r="AY625" s="271"/>
    </row>
    <row r="626" spans="1:51" ht="15.75" customHeight="1" x14ac:dyDescent="0.25">
      <c r="A626" s="271"/>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c r="AL626" s="271"/>
      <c r="AM626" s="271"/>
      <c r="AN626" s="271"/>
      <c r="AO626" s="271"/>
      <c r="AP626" s="271"/>
      <c r="AQ626" s="271"/>
      <c r="AR626" s="271"/>
      <c r="AS626" s="271"/>
      <c r="AT626" s="271"/>
      <c r="AU626" s="271"/>
      <c r="AV626" s="271"/>
      <c r="AW626" s="271"/>
      <c r="AX626" s="271"/>
      <c r="AY626" s="271"/>
    </row>
    <row r="627" spans="1:51" ht="15.75" customHeight="1" x14ac:dyDescent="0.25">
      <c r="A627" s="271"/>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c r="AL627" s="271"/>
      <c r="AM627" s="271"/>
      <c r="AN627" s="271"/>
      <c r="AO627" s="271"/>
      <c r="AP627" s="271"/>
      <c r="AQ627" s="271"/>
      <c r="AR627" s="271"/>
      <c r="AS627" s="271"/>
      <c r="AT627" s="271"/>
      <c r="AU627" s="271"/>
      <c r="AV627" s="271"/>
      <c r="AW627" s="271"/>
      <c r="AX627" s="271"/>
      <c r="AY627" s="271"/>
    </row>
    <row r="628" spans="1:51" ht="15.75" customHeight="1" x14ac:dyDescent="0.25">
      <c r="A628" s="271"/>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c r="AL628" s="271"/>
      <c r="AM628" s="271"/>
      <c r="AN628" s="271"/>
      <c r="AO628" s="271"/>
      <c r="AP628" s="271"/>
      <c r="AQ628" s="271"/>
      <c r="AR628" s="271"/>
      <c r="AS628" s="271"/>
      <c r="AT628" s="271"/>
      <c r="AU628" s="271"/>
      <c r="AV628" s="271"/>
      <c r="AW628" s="271"/>
      <c r="AX628" s="271"/>
      <c r="AY628" s="271"/>
    </row>
    <row r="629" spans="1:51" ht="15.75" customHeight="1" x14ac:dyDescent="0.25">
      <c r="A629" s="271"/>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c r="AL629" s="271"/>
      <c r="AM629" s="271"/>
      <c r="AN629" s="271"/>
      <c r="AO629" s="271"/>
      <c r="AP629" s="271"/>
      <c r="AQ629" s="271"/>
      <c r="AR629" s="271"/>
      <c r="AS629" s="271"/>
      <c r="AT629" s="271"/>
      <c r="AU629" s="271"/>
      <c r="AV629" s="271"/>
      <c r="AW629" s="271"/>
      <c r="AX629" s="271"/>
      <c r="AY629" s="271"/>
    </row>
    <row r="630" spans="1:51" ht="15.75" customHeight="1" x14ac:dyDescent="0.25">
      <c r="A630" s="271"/>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c r="AL630" s="271"/>
      <c r="AM630" s="271"/>
      <c r="AN630" s="271"/>
      <c r="AO630" s="271"/>
      <c r="AP630" s="271"/>
      <c r="AQ630" s="271"/>
      <c r="AR630" s="271"/>
      <c r="AS630" s="271"/>
      <c r="AT630" s="271"/>
      <c r="AU630" s="271"/>
      <c r="AV630" s="271"/>
      <c r="AW630" s="271"/>
      <c r="AX630" s="271"/>
      <c r="AY630" s="271"/>
    </row>
    <row r="631" spans="1:51" ht="15.75" customHeight="1" x14ac:dyDescent="0.25">
      <c r="A631" s="271"/>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c r="AL631" s="271"/>
      <c r="AM631" s="271"/>
      <c r="AN631" s="271"/>
      <c r="AO631" s="271"/>
      <c r="AP631" s="271"/>
      <c r="AQ631" s="271"/>
      <c r="AR631" s="271"/>
      <c r="AS631" s="271"/>
      <c r="AT631" s="271"/>
      <c r="AU631" s="271"/>
      <c r="AV631" s="271"/>
      <c r="AW631" s="271"/>
      <c r="AX631" s="271"/>
      <c r="AY631" s="271"/>
    </row>
    <row r="632" spans="1:51" ht="15.75" customHeight="1" x14ac:dyDescent="0.25">
      <c r="A632" s="271"/>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c r="AL632" s="271"/>
      <c r="AM632" s="271"/>
      <c r="AN632" s="271"/>
      <c r="AO632" s="271"/>
      <c r="AP632" s="271"/>
      <c r="AQ632" s="271"/>
      <c r="AR632" s="271"/>
      <c r="AS632" s="271"/>
      <c r="AT632" s="271"/>
      <c r="AU632" s="271"/>
      <c r="AV632" s="271"/>
      <c r="AW632" s="271"/>
      <c r="AX632" s="271"/>
      <c r="AY632" s="271"/>
    </row>
    <row r="633" spans="1:51" ht="15.75" customHeight="1" x14ac:dyDescent="0.25">
      <c r="A633" s="271"/>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c r="AL633" s="271"/>
      <c r="AM633" s="271"/>
      <c r="AN633" s="271"/>
      <c r="AO633" s="271"/>
      <c r="AP633" s="271"/>
      <c r="AQ633" s="271"/>
      <c r="AR633" s="271"/>
      <c r="AS633" s="271"/>
      <c r="AT633" s="271"/>
      <c r="AU633" s="271"/>
      <c r="AV633" s="271"/>
      <c r="AW633" s="271"/>
      <c r="AX633" s="271"/>
      <c r="AY633" s="271"/>
    </row>
    <row r="634" spans="1:51" ht="15.75" customHeight="1" x14ac:dyDescent="0.25">
      <c r="A634" s="271"/>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c r="AL634" s="271"/>
      <c r="AM634" s="271"/>
      <c r="AN634" s="271"/>
      <c r="AO634" s="271"/>
      <c r="AP634" s="271"/>
      <c r="AQ634" s="271"/>
      <c r="AR634" s="271"/>
      <c r="AS634" s="271"/>
      <c r="AT634" s="271"/>
      <c r="AU634" s="271"/>
      <c r="AV634" s="271"/>
      <c r="AW634" s="271"/>
      <c r="AX634" s="271"/>
      <c r="AY634" s="271"/>
    </row>
    <row r="635" spans="1:51" ht="15.75" customHeight="1" x14ac:dyDescent="0.25">
      <c r="A635" s="271"/>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c r="AL635" s="271"/>
      <c r="AM635" s="271"/>
      <c r="AN635" s="271"/>
      <c r="AO635" s="271"/>
      <c r="AP635" s="271"/>
      <c r="AQ635" s="271"/>
      <c r="AR635" s="271"/>
      <c r="AS635" s="271"/>
      <c r="AT635" s="271"/>
      <c r="AU635" s="271"/>
      <c r="AV635" s="271"/>
      <c r="AW635" s="271"/>
      <c r="AX635" s="271"/>
      <c r="AY635" s="271"/>
    </row>
    <row r="636" spans="1:51" ht="15.75" customHeight="1" x14ac:dyDescent="0.25">
      <c r="A636" s="271"/>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c r="AL636" s="271"/>
      <c r="AM636" s="271"/>
      <c r="AN636" s="271"/>
      <c r="AO636" s="271"/>
      <c r="AP636" s="271"/>
      <c r="AQ636" s="271"/>
      <c r="AR636" s="271"/>
      <c r="AS636" s="271"/>
      <c r="AT636" s="271"/>
      <c r="AU636" s="271"/>
      <c r="AV636" s="271"/>
      <c r="AW636" s="271"/>
      <c r="AX636" s="271"/>
      <c r="AY636" s="271"/>
    </row>
    <row r="637" spans="1:51" ht="15.75" customHeight="1" x14ac:dyDescent="0.25">
      <c r="A637" s="271"/>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c r="AL637" s="271"/>
      <c r="AM637" s="271"/>
      <c r="AN637" s="271"/>
      <c r="AO637" s="271"/>
      <c r="AP637" s="271"/>
      <c r="AQ637" s="271"/>
      <c r="AR637" s="271"/>
      <c r="AS637" s="271"/>
      <c r="AT637" s="271"/>
      <c r="AU637" s="271"/>
      <c r="AV637" s="271"/>
      <c r="AW637" s="271"/>
      <c r="AX637" s="271"/>
      <c r="AY637" s="271"/>
    </row>
    <row r="638" spans="1:51" ht="15.75" customHeight="1" x14ac:dyDescent="0.25">
      <c r="A638" s="271"/>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c r="AL638" s="271"/>
      <c r="AM638" s="271"/>
      <c r="AN638" s="271"/>
      <c r="AO638" s="271"/>
      <c r="AP638" s="271"/>
      <c r="AQ638" s="271"/>
      <c r="AR638" s="271"/>
      <c r="AS638" s="271"/>
      <c r="AT638" s="271"/>
      <c r="AU638" s="271"/>
      <c r="AV638" s="271"/>
      <c r="AW638" s="271"/>
      <c r="AX638" s="271"/>
      <c r="AY638" s="271"/>
    </row>
    <row r="639" spans="1:51" ht="15.75" customHeight="1" x14ac:dyDescent="0.25">
      <c r="A639" s="271"/>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c r="AL639" s="271"/>
      <c r="AM639" s="271"/>
      <c r="AN639" s="271"/>
      <c r="AO639" s="271"/>
      <c r="AP639" s="271"/>
      <c r="AQ639" s="271"/>
      <c r="AR639" s="271"/>
      <c r="AS639" s="271"/>
      <c r="AT639" s="271"/>
      <c r="AU639" s="271"/>
      <c r="AV639" s="271"/>
      <c r="AW639" s="271"/>
      <c r="AX639" s="271"/>
      <c r="AY639" s="271"/>
    </row>
    <row r="640" spans="1:51" ht="15.75" customHeight="1" x14ac:dyDescent="0.25">
      <c r="A640" s="271"/>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c r="AL640" s="271"/>
      <c r="AM640" s="271"/>
      <c r="AN640" s="271"/>
      <c r="AO640" s="271"/>
      <c r="AP640" s="271"/>
      <c r="AQ640" s="271"/>
      <c r="AR640" s="271"/>
      <c r="AS640" s="271"/>
      <c r="AT640" s="271"/>
      <c r="AU640" s="271"/>
      <c r="AV640" s="271"/>
      <c r="AW640" s="271"/>
      <c r="AX640" s="271"/>
      <c r="AY640" s="271"/>
    </row>
    <row r="641" spans="1:51" ht="15.75" customHeight="1" x14ac:dyDescent="0.25">
      <c r="A641" s="271"/>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c r="AL641" s="271"/>
      <c r="AM641" s="271"/>
      <c r="AN641" s="271"/>
      <c r="AO641" s="271"/>
      <c r="AP641" s="271"/>
      <c r="AQ641" s="271"/>
      <c r="AR641" s="271"/>
      <c r="AS641" s="271"/>
      <c r="AT641" s="271"/>
      <c r="AU641" s="271"/>
      <c r="AV641" s="271"/>
      <c r="AW641" s="271"/>
      <c r="AX641" s="271"/>
      <c r="AY641" s="271"/>
    </row>
    <row r="642" spans="1:51" ht="15.75" customHeight="1" x14ac:dyDescent="0.25">
      <c r="A642" s="271"/>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c r="AL642" s="271"/>
      <c r="AM642" s="271"/>
      <c r="AN642" s="271"/>
      <c r="AO642" s="271"/>
      <c r="AP642" s="271"/>
      <c r="AQ642" s="271"/>
      <c r="AR642" s="271"/>
      <c r="AS642" s="271"/>
      <c r="AT642" s="271"/>
      <c r="AU642" s="271"/>
      <c r="AV642" s="271"/>
      <c r="AW642" s="271"/>
      <c r="AX642" s="271"/>
      <c r="AY642" s="271"/>
    </row>
    <row r="643" spans="1:51" ht="15.75" customHeight="1" x14ac:dyDescent="0.25">
      <c r="A643" s="271"/>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c r="AL643" s="271"/>
      <c r="AM643" s="271"/>
      <c r="AN643" s="271"/>
      <c r="AO643" s="271"/>
      <c r="AP643" s="271"/>
      <c r="AQ643" s="271"/>
      <c r="AR643" s="271"/>
      <c r="AS643" s="271"/>
      <c r="AT643" s="271"/>
      <c r="AU643" s="271"/>
      <c r="AV643" s="271"/>
      <c r="AW643" s="271"/>
      <c r="AX643" s="271"/>
      <c r="AY643" s="271"/>
    </row>
    <row r="644" spans="1:51" ht="15.75" customHeight="1" x14ac:dyDescent="0.25">
      <c r="A644" s="271"/>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c r="AL644" s="271"/>
      <c r="AM644" s="271"/>
      <c r="AN644" s="271"/>
      <c r="AO644" s="271"/>
      <c r="AP644" s="271"/>
      <c r="AQ644" s="271"/>
      <c r="AR644" s="271"/>
      <c r="AS644" s="271"/>
      <c r="AT644" s="271"/>
      <c r="AU644" s="271"/>
      <c r="AV644" s="271"/>
      <c r="AW644" s="271"/>
      <c r="AX644" s="271"/>
      <c r="AY644" s="271"/>
    </row>
    <row r="645" spans="1:51" ht="15.75" customHeight="1" x14ac:dyDescent="0.25">
      <c r="A645" s="271"/>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c r="AL645" s="271"/>
      <c r="AM645" s="271"/>
      <c r="AN645" s="271"/>
      <c r="AO645" s="271"/>
      <c r="AP645" s="271"/>
      <c r="AQ645" s="271"/>
      <c r="AR645" s="271"/>
      <c r="AS645" s="271"/>
      <c r="AT645" s="271"/>
      <c r="AU645" s="271"/>
      <c r="AV645" s="271"/>
      <c r="AW645" s="271"/>
      <c r="AX645" s="271"/>
      <c r="AY645" s="271"/>
    </row>
    <row r="646" spans="1:51" ht="15.75" customHeight="1" x14ac:dyDescent="0.25">
      <c r="A646" s="271"/>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c r="AL646" s="271"/>
      <c r="AM646" s="271"/>
      <c r="AN646" s="271"/>
      <c r="AO646" s="271"/>
      <c r="AP646" s="271"/>
      <c r="AQ646" s="271"/>
      <c r="AR646" s="271"/>
      <c r="AS646" s="271"/>
      <c r="AT646" s="271"/>
      <c r="AU646" s="271"/>
      <c r="AV646" s="271"/>
      <c r="AW646" s="271"/>
      <c r="AX646" s="271"/>
      <c r="AY646" s="271"/>
    </row>
    <row r="647" spans="1:51" ht="15.75" customHeight="1" x14ac:dyDescent="0.25">
      <c r="A647" s="271"/>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c r="AL647" s="271"/>
      <c r="AM647" s="271"/>
      <c r="AN647" s="271"/>
      <c r="AO647" s="271"/>
      <c r="AP647" s="271"/>
      <c r="AQ647" s="271"/>
      <c r="AR647" s="271"/>
      <c r="AS647" s="271"/>
      <c r="AT647" s="271"/>
      <c r="AU647" s="271"/>
      <c r="AV647" s="271"/>
      <c r="AW647" s="271"/>
      <c r="AX647" s="271"/>
      <c r="AY647" s="271"/>
    </row>
    <row r="648" spans="1:51" ht="15.75" customHeight="1" x14ac:dyDescent="0.25">
      <c r="A648" s="271"/>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c r="AL648" s="271"/>
      <c r="AM648" s="271"/>
      <c r="AN648" s="271"/>
      <c r="AO648" s="271"/>
      <c r="AP648" s="271"/>
      <c r="AQ648" s="271"/>
      <c r="AR648" s="271"/>
      <c r="AS648" s="271"/>
      <c r="AT648" s="271"/>
      <c r="AU648" s="271"/>
      <c r="AV648" s="271"/>
      <c r="AW648" s="271"/>
      <c r="AX648" s="271"/>
      <c r="AY648" s="271"/>
    </row>
    <row r="649" spans="1:51" ht="15.75" customHeight="1" x14ac:dyDescent="0.25">
      <c r="A649" s="271"/>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c r="AL649" s="271"/>
      <c r="AM649" s="271"/>
      <c r="AN649" s="271"/>
      <c r="AO649" s="271"/>
      <c r="AP649" s="271"/>
      <c r="AQ649" s="271"/>
      <c r="AR649" s="271"/>
      <c r="AS649" s="271"/>
      <c r="AT649" s="271"/>
      <c r="AU649" s="271"/>
      <c r="AV649" s="271"/>
      <c r="AW649" s="271"/>
      <c r="AX649" s="271"/>
      <c r="AY649" s="271"/>
    </row>
    <row r="650" spans="1:51" ht="15.75" customHeight="1" x14ac:dyDescent="0.25">
      <c r="A650" s="271"/>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c r="AL650" s="271"/>
      <c r="AM650" s="271"/>
      <c r="AN650" s="271"/>
      <c r="AO650" s="271"/>
      <c r="AP650" s="271"/>
      <c r="AQ650" s="271"/>
      <c r="AR650" s="271"/>
      <c r="AS650" s="271"/>
      <c r="AT650" s="271"/>
      <c r="AU650" s="271"/>
      <c r="AV650" s="271"/>
      <c r="AW650" s="271"/>
      <c r="AX650" s="271"/>
      <c r="AY650" s="271"/>
    </row>
    <row r="651" spans="1:51" ht="15.75" customHeight="1" x14ac:dyDescent="0.25">
      <c r="A651" s="271"/>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c r="AL651" s="271"/>
      <c r="AM651" s="271"/>
      <c r="AN651" s="271"/>
      <c r="AO651" s="271"/>
      <c r="AP651" s="271"/>
      <c r="AQ651" s="271"/>
      <c r="AR651" s="271"/>
      <c r="AS651" s="271"/>
      <c r="AT651" s="271"/>
      <c r="AU651" s="271"/>
      <c r="AV651" s="271"/>
      <c r="AW651" s="271"/>
      <c r="AX651" s="271"/>
      <c r="AY651" s="271"/>
    </row>
    <row r="652" spans="1:51" ht="15.75" customHeight="1" x14ac:dyDescent="0.25">
      <c r="A652" s="271"/>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c r="AL652" s="271"/>
      <c r="AM652" s="271"/>
      <c r="AN652" s="271"/>
      <c r="AO652" s="271"/>
      <c r="AP652" s="271"/>
      <c r="AQ652" s="271"/>
      <c r="AR652" s="271"/>
      <c r="AS652" s="271"/>
      <c r="AT652" s="271"/>
      <c r="AU652" s="271"/>
      <c r="AV652" s="271"/>
      <c r="AW652" s="271"/>
      <c r="AX652" s="271"/>
      <c r="AY652" s="271"/>
    </row>
    <row r="653" spans="1:51" ht="15.75" customHeight="1" x14ac:dyDescent="0.25">
      <c r="A653" s="271"/>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c r="AL653" s="271"/>
      <c r="AM653" s="271"/>
      <c r="AN653" s="271"/>
      <c r="AO653" s="271"/>
      <c r="AP653" s="271"/>
      <c r="AQ653" s="271"/>
      <c r="AR653" s="271"/>
      <c r="AS653" s="271"/>
      <c r="AT653" s="271"/>
      <c r="AU653" s="271"/>
      <c r="AV653" s="271"/>
      <c r="AW653" s="271"/>
      <c r="AX653" s="271"/>
      <c r="AY653" s="271"/>
    </row>
    <row r="654" spans="1:51" ht="15.75" customHeight="1" x14ac:dyDescent="0.25">
      <c r="A654" s="271"/>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c r="AL654" s="271"/>
      <c r="AM654" s="271"/>
      <c r="AN654" s="271"/>
      <c r="AO654" s="271"/>
      <c r="AP654" s="271"/>
      <c r="AQ654" s="271"/>
      <c r="AR654" s="271"/>
      <c r="AS654" s="271"/>
      <c r="AT654" s="271"/>
      <c r="AU654" s="271"/>
      <c r="AV654" s="271"/>
      <c r="AW654" s="271"/>
      <c r="AX654" s="271"/>
      <c r="AY654" s="271"/>
    </row>
    <row r="655" spans="1:51" ht="15.75" customHeight="1" x14ac:dyDescent="0.25">
      <c r="A655" s="271"/>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c r="AL655" s="271"/>
      <c r="AM655" s="271"/>
      <c r="AN655" s="271"/>
      <c r="AO655" s="271"/>
      <c r="AP655" s="271"/>
      <c r="AQ655" s="271"/>
      <c r="AR655" s="271"/>
      <c r="AS655" s="271"/>
      <c r="AT655" s="271"/>
      <c r="AU655" s="271"/>
      <c r="AV655" s="271"/>
      <c r="AW655" s="271"/>
      <c r="AX655" s="271"/>
      <c r="AY655" s="271"/>
    </row>
    <row r="656" spans="1:51" ht="15.75" customHeight="1" x14ac:dyDescent="0.25">
      <c r="A656" s="271"/>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c r="AL656" s="271"/>
      <c r="AM656" s="271"/>
      <c r="AN656" s="271"/>
      <c r="AO656" s="271"/>
      <c r="AP656" s="271"/>
      <c r="AQ656" s="271"/>
      <c r="AR656" s="271"/>
      <c r="AS656" s="271"/>
      <c r="AT656" s="271"/>
      <c r="AU656" s="271"/>
      <c r="AV656" s="271"/>
      <c r="AW656" s="271"/>
      <c r="AX656" s="271"/>
      <c r="AY656" s="271"/>
    </row>
    <row r="657" spans="1:51" ht="15.75" customHeight="1" x14ac:dyDescent="0.25">
      <c r="A657" s="271"/>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c r="AL657" s="271"/>
      <c r="AM657" s="271"/>
      <c r="AN657" s="271"/>
      <c r="AO657" s="271"/>
      <c r="AP657" s="271"/>
      <c r="AQ657" s="271"/>
      <c r="AR657" s="271"/>
      <c r="AS657" s="271"/>
      <c r="AT657" s="271"/>
      <c r="AU657" s="271"/>
      <c r="AV657" s="271"/>
      <c r="AW657" s="271"/>
      <c r="AX657" s="271"/>
      <c r="AY657" s="271"/>
    </row>
    <row r="658" spans="1:51" ht="15.75" customHeight="1" x14ac:dyDescent="0.25">
      <c r="A658" s="271"/>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c r="AL658" s="271"/>
      <c r="AM658" s="271"/>
      <c r="AN658" s="271"/>
      <c r="AO658" s="271"/>
      <c r="AP658" s="271"/>
      <c r="AQ658" s="271"/>
      <c r="AR658" s="271"/>
      <c r="AS658" s="271"/>
      <c r="AT658" s="271"/>
      <c r="AU658" s="271"/>
      <c r="AV658" s="271"/>
      <c r="AW658" s="271"/>
      <c r="AX658" s="271"/>
      <c r="AY658" s="271"/>
    </row>
    <row r="659" spans="1:51" ht="15.75" customHeight="1" x14ac:dyDescent="0.25">
      <c r="A659" s="271"/>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c r="AL659" s="271"/>
      <c r="AM659" s="271"/>
      <c r="AN659" s="271"/>
      <c r="AO659" s="271"/>
      <c r="AP659" s="271"/>
      <c r="AQ659" s="271"/>
      <c r="AR659" s="271"/>
      <c r="AS659" s="271"/>
      <c r="AT659" s="271"/>
      <c r="AU659" s="271"/>
      <c r="AV659" s="271"/>
      <c r="AW659" s="271"/>
      <c r="AX659" s="271"/>
      <c r="AY659" s="271"/>
    </row>
    <row r="660" spans="1:51" ht="15.75" customHeight="1" x14ac:dyDescent="0.25">
      <c r="A660" s="271"/>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c r="AL660" s="271"/>
      <c r="AM660" s="271"/>
      <c r="AN660" s="271"/>
      <c r="AO660" s="271"/>
      <c r="AP660" s="271"/>
      <c r="AQ660" s="271"/>
      <c r="AR660" s="271"/>
      <c r="AS660" s="271"/>
      <c r="AT660" s="271"/>
      <c r="AU660" s="271"/>
      <c r="AV660" s="271"/>
      <c r="AW660" s="271"/>
      <c r="AX660" s="271"/>
      <c r="AY660" s="271"/>
    </row>
    <row r="661" spans="1:51" ht="15.75" customHeight="1" x14ac:dyDescent="0.25">
      <c r="A661" s="271"/>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c r="AL661" s="271"/>
      <c r="AM661" s="271"/>
      <c r="AN661" s="271"/>
      <c r="AO661" s="271"/>
      <c r="AP661" s="271"/>
      <c r="AQ661" s="271"/>
      <c r="AR661" s="271"/>
      <c r="AS661" s="271"/>
      <c r="AT661" s="271"/>
      <c r="AU661" s="271"/>
      <c r="AV661" s="271"/>
      <c r="AW661" s="271"/>
      <c r="AX661" s="271"/>
      <c r="AY661" s="271"/>
    </row>
    <row r="662" spans="1:51" ht="15.75" customHeight="1" x14ac:dyDescent="0.25">
      <c r="A662" s="271"/>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c r="AL662" s="271"/>
      <c r="AM662" s="271"/>
      <c r="AN662" s="271"/>
      <c r="AO662" s="271"/>
      <c r="AP662" s="271"/>
      <c r="AQ662" s="271"/>
      <c r="AR662" s="271"/>
      <c r="AS662" s="271"/>
      <c r="AT662" s="271"/>
      <c r="AU662" s="271"/>
      <c r="AV662" s="271"/>
      <c r="AW662" s="271"/>
      <c r="AX662" s="271"/>
      <c r="AY662" s="271"/>
    </row>
    <row r="663" spans="1:51" ht="15.75" customHeight="1" x14ac:dyDescent="0.25">
      <c r="A663" s="271"/>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c r="AL663" s="271"/>
      <c r="AM663" s="271"/>
      <c r="AN663" s="271"/>
      <c r="AO663" s="271"/>
      <c r="AP663" s="271"/>
      <c r="AQ663" s="271"/>
      <c r="AR663" s="271"/>
      <c r="AS663" s="271"/>
      <c r="AT663" s="271"/>
      <c r="AU663" s="271"/>
      <c r="AV663" s="271"/>
      <c r="AW663" s="271"/>
      <c r="AX663" s="271"/>
      <c r="AY663" s="271"/>
    </row>
    <row r="664" spans="1:51" ht="15.75" customHeight="1" x14ac:dyDescent="0.25">
      <c r="A664" s="271"/>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c r="AL664" s="271"/>
      <c r="AM664" s="271"/>
      <c r="AN664" s="271"/>
      <c r="AO664" s="271"/>
      <c r="AP664" s="271"/>
      <c r="AQ664" s="271"/>
      <c r="AR664" s="271"/>
      <c r="AS664" s="271"/>
      <c r="AT664" s="271"/>
      <c r="AU664" s="271"/>
      <c r="AV664" s="271"/>
      <c r="AW664" s="271"/>
      <c r="AX664" s="271"/>
      <c r="AY664" s="271"/>
    </row>
    <row r="665" spans="1:51" ht="15.75" customHeight="1" x14ac:dyDescent="0.25">
      <c r="A665" s="271"/>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c r="AL665" s="271"/>
      <c r="AM665" s="271"/>
      <c r="AN665" s="271"/>
      <c r="AO665" s="271"/>
      <c r="AP665" s="271"/>
      <c r="AQ665" s="271"/>
      <c r="AR665" s="271"/>
      <c r="AS665" s="271"/>
      <c r="AT665" s="271"/>
      <c r="AU665" s="271"/>
      <c r="AV665" s="271"/>
      <c r="AW665" s="271"/>
      <c r="AX665" s="271"/>
      <c r="AY665" s="271"/>
    </row>
    <row r="666" spans="1:51" ht="15.75" customHeight="1" x14ac:dyDescent="0.25">
      <c r="A666" s="271"/>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c r="AL666" s="271"/>
      <c r="AM666" s="271"/>
      <c r="AN666" s="271"/>
      <c r="AO666" s="271"/>
      <c r="AP666" s="271"/>
      <c r="AQ666" s="271"/>
      <c r="AR666" s="271"/>
      <c r="AS666" s="271"/>
      <c r="AT666" s="271"/>
      <c r="AU666" s="271"/>
      <c r="AV666" s="271"/>
      <c r="AW666" s="271"/>
      <c r="AX666" s="271"/>
      <c r="AY666" s="271"/>
    </row>
    <row r="667" spans="1:51" ht="15.75" customHeight="1" x14ac:dyDescent="0.25">
      <c r="A667" s="271"/>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c r="AL667" s="271"/>
      <c r="AM667" s="271"/>
      <c r="AN667" s="271"/>
      <c r="AO667" s="271"/>
      <c r="AP667" s="271"/>
      <c r="AQ667" s="271"/>
      <c r="AR667" s="271"/>
      <c r="AS667" s="271"/>
      <c r="AT667" s="271"/>
      <c r="AU667" s="271"/>
      <c r="AV667" s="271"/>
      <c r="AW667" s="271"/>
      <c r="AX667" s="271"/>
      <c r="AY667" s="271"/>
    </row>
    <row r="668" spans="1:51" ht="15.75" customHeight="1" x14ac:dyDescent="0.25">
      <c r="A668" s="271"/>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c r="AL668" s="271"/>
      <c r="AM668" s="271"/>
      <c r="AN668" s="271"/>
      <c r="AO668" s="271"/>
      <c r="AP668" s="271"/>
      <c r="AQ668" s="271"/>
      <c r="AR668" s="271"/>
      <c r="AS668" s="271"/>
      <c r="AT668" s="271"/>
      <c r="AU668" s="271"/>
      <c r="AV668" s="271"/>
      <c r="AW668" s="271"/>
      <c r="AX668" s="271"/>
      <c r="AY668" s="271"/>
    </row>
    <row r="669" spans="1:51" ht="15.75" customHeight="1" x14ac:dyDescent="0.25">
      <c r="A669" s="271"/>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c r="AL669" s="271"/>
      <c r="AM669" s="271"/>
      <c r="AN669" s="271"/>
      <c r="AO669" s="271"/>
      <c r="AP669" s="271"/>
      <c r="AQ669" s="271"/>
      <c r="AR669" s="271"/>
      <c r="AS669" s="271"/>
      <c r="AT669" s="271"/>
      <c r="AU669" s="271"/>
      <c r="AV669" s="271"/>
      <c r="AW669" s="271"/>
      <c r="AX669" s="271"/>
      <c r="AY669" s="271"/>
    </row>
    <row r="670" spans="1:51" ht="15.75" customHeight="1" x14ac:dyDescent="0.25">
      <c r="A670" s="271"/>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c r="AL670" s="271"/>
      <c r="AM670" s="271"/>
      <c r="AN670" s="271"/>
      <c r="AO670" s="271"/>
      <c r="AP670" s="271"/>
      <c r="AQ670" s="271"/>
      <c r="AR670" s="271"/>
      <c r="AS670" s="271"/>
      <c r="AT670" s="271"/>
      <c r="AU670" s="271"/>
      <c r="AV670" s="271"/>
      <c r="AW670" s="271"/>
      <c r="AX670" s="271"/>
      <c r="AY670" s="271"/>
    </row>
    <row r="671" spans="1:51" ht="15.75" customHeight="1" x14ac:dyDescent="0.25">
      <c r="A671" s="271"/>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c r="AL671" s="271"/>
      <c r="AM671" s="271"/>
      <c r="AN671" s="271"/>
      <c r="AO671" s="271"/>
      <c r="AP671" s="271"/>
      <c r="AQ671" s="271"/>
      <c r="AR671" s="271"/>
      <c r="AS671" s="271"/>
      <c r="AT671" s="271"/>
      <c r="AU671" s="271"/>
      <c r="AV671" s="271"/>
      <c r="AW671" s="271"/>
      <c r="AX671" s="271"/>
      <c r="AY671" s="271"/>
    </row>
    <row r="672" spans="1:51" ht="15.75" customHeight="1" x14ac:dyDescent="0.25">
      <c r="A672" s="271"/>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c r="AL672" s="271"/>
      <c r="AM672" s="271"/>
      <c r="AN672" s="271"/>
      <c r="AO672" s="271"/>
      <c r="AP672" s="271"/>
      <c r="AQ672" s="271"/>
      <c r="AR672" s="271"/>
      <c r="AS672" s="271"/>
      <c r="AT672" s="271"/>
      <c r="AU672" s="271"/>
      <c r="AV672" s="271"/>
      <c r="AW672" s="271"/>
      <c r="AX672" s="271"/>
      <c r="AY672" s="271"/>
    </row>
    <row r="673" spans="1:51" ht="15.75" customHeight="1" x14ac:dyDescent="0.25">
      <c r="A673" s="271"/>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c r="AL673" s="271"/>
      <c r="AM673" s="271"/>
      <c r="AN673" s="271"/>
      <c r="AO673" s="271"/>
      <c r="AP673" s="271"/>
      <c r="AQ673" s="271"/>
      <c r="AR673" s="271"/>
      <c r="AS673" s="271"/>
      <c r="AT673" s="271"/>
      <c r="AU673" s="271"/>
      <c r="AV673" s="271"/>
      <c r="AW673" s="271"/>
      <c r="AX673" s="271"/>
      <c r="AY673" s="271"/>
    </row>
    <row r="674" spans="1:51" ht="15.75" customHeight="1" x14ac:dyDescent="0.25">
      <c r="A674" s="271"/>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c r="AL674" s="271"/>
      <c r="AM674" s="271"/>
      <c r="AN674" s="271"/>
      <c r="AO674" s="271"/>
      <c r="AP674" s="271"/>
      <c r="AQ674" s="271"/>
      <c r="AR674" s="271"/>
      <c r="AS674" s="271"/>
      <c r="AT674" s="271"/>
      <c r="AU674" s="271"/>
      <c r="AV674" s="271"/>
      <c r="AW674" s="271"/>
      <c r="AX674" s="271"/>
      <c r="AY674" s="271"/>
    </row>
    <row r="675" spans="1:51" ht="15.75" customHeight="1" x14ac:dyDescent="0.25">
      <c r="A675" s="271"/>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c r="AL675" s="271"/>
      <c r="AM675" s="271"/>
      <c r="AN675" s="271"/>
      <c r="AO675" s="271"/>
      <c r="AP675" s="271"/>
      <c r="AQ675" s="271"/>
      <c r="AR675" s="271"/>
      <c r="AS675" s="271"/>
      <c r="AT675" s="271"/>
      <c r="AU675" s="271"/>
      <c r="AV675" s="271"/>
      <c r="AW675" s="271"/>
      <c r="AX675" s="271"/>
      <c r="AY675" s="271"/>
    </row>
    <row r="676" spans="1:51" ht="15.75" customHeight="1" x14ac:dyDescent="0.25">
      <c r="A676" s="271"/>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c r="AL676" s="271"/>
      <c r="AM676" s="271"/>
      <c r="AN676" s="271"/>
      <c r="AO676" s="271"/>
      <c r="AP676" s="271"/>
      <c r="AQ676" s="271"/>
      <c r="AR676" s="271"/>
      <c r="AS676" s="271"/>
      <c r="AT676" s="271"/>
      <c r="AU676" s="271"/>
      <c r="AV676" s="271"/>
      <c r="AW676" s="271"/>
      <c r="AX676" s="271"/>
      <c r="AY676" s="271"/>
    </row>
    <row r="677" spans="1:51" ht="15.75" customHeight="1" x14ac:dyDescent="0.25">
      <c r="A677" s="271"/>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c r="AL677" s="271"/>
      <c r="AM677" s="271"/>
      <c r="AN677" s="271"/>
      <c r="AO677" s="271"/>
      <c r="AP677" s="271"/>
      <c r="AQ677" s="271"/>
      <c r="AR677" s="271"/>
      <c r="AS677" s="271"/>
      <c r="AT677" s="271"/>
      <c r="AU677" s="271"/>
      <c r="AV677" s="271"/>
      <c r="AW677" s="271"/>
      <c r="AX677" s="271"/>
      <c r="AY677" s="271"/>
    </row>
    <row r="678" spans="1:51" ht="15.75" customHeight="1" x14ac:dyDescent="0.25">
      <c r="A678" s="271"/>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c r="AL678" s="271"/>
      <c r="AM678" s="271"/>
      <c r="AN678" s="271"/>
      <c r="AO678" s="271"/>
      <c r="AP678" s="271"/>
      <c r="AQ678" s="271"/>
      <c r="AR678" s="271"/>
      <c r="AS678" s="271"/>
      <c r="AT678" s="271"/>
      <c r="AU678" s="271"/>
      <c r="AV678" s="271"/>
      <c r="AW678" s="271"/>
      <c r="AX678" s="271"/>
      <c r="AY678" s="271"/>
    </row>
    <row r="679" spans="1:51" ht="15.75" customHeight="1" x14ac:dyDescent="0.25">
      <c r="A679" s="271"/>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c r="AL679" s="271"/>
      <c r="AM679" s="271"/>
      <c r="AN679" s="271"/>
      <c r="AO679" s="271"/>
      <c r="AP679" s="271"/>
      <c r="AQ679" s="271"/>
      <c r="AR679" s="271"/>
      <c r="AS679" s="271"/>
      <c r="AT679" s="271"/>
      <c r="AU679" s="271"/>
      <c r="AV679" s="271"/>
      <c r="AW679" s="271"/>
      <c r="AX679" s="271"/>
      <c r="AY679" s="271"/>
    </row>
    <row r="680" spans="1:51" ht="15.75" customHeight="1" x14ac:dyDescent="0.25">
      <c r="A680" s="271"/>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c r="AL680" s="271"/>
      <c r="AM680" s="271"/>
      <c r="AN680" s="271"/>
      <c r="AO680" s="271"/>
      <c r="AP680" s="271"/>
      <c r="AQ680" s="271"/>
      <c r="AR680" s="271"/>
      <c r="AS680" s="271"/>
      <c r="AT680" s="271"/>
      <c r="AU680" s="271"/>
      <c r="AV680" s="271"/>
      <c r="AW680" s="271"/>
      <c r="AX680" s="271"/>
      <c r="AY680" s="271"/>
    </row>
    <row r="681" spans="1:51" ht="15.75" customHeight="1" x14ac:dyDescent="0.25">
      <c r="A681" s="271"/>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c r="AL681" s="271"/>
      <c r="AM681" s="271"/>
      <c r="AN681" s="271"/>
      <c r="AO681" s="271"/>
      <c r="AP681" s="271"/>
      <c r="AQ681" s="271"/>
      <c r="AR681" s="271"/>
      <c r="AS681" s="271"/>
      <c r="AT681" s="271"/>
      <c r="AU681" s="271"/>
      <c r="AV681" s="271"/>
      <c r="AW681" s="271"/>
      <c r="AX681" s="271"/>
      <c r="AY681" s="271"/>
    </row>
    <row r="682" spans="1:51" ht="15.75" customHeight="1" x14ac:dyDescent="0.25">
      <c r="A682" s="271"/>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c r="AL682" s="271"/>
      <c r="AM682" s="271"/>
      <c r="AN682" s="271"/>
      <c r="AO682" s="271"/>
      <c r="AP682" s="271"/>
      <c r="AQ682" s="271"/>
      <c r="AR682" s="271"/>
      <c r="AS682" s="271"/>
      <c r="AT682" s="271"/>
      <c r="AU682" s="271"/>
      <c r="AV682" s="271"/>
      <c r="AW682" s="271"/>
      <c r="AX682" s="271"/>
      <c r="AY682" s="271"/>
    </row>
    <row r="683" spans="1:51" ht="15.75" customHeight="1" x14ac:dyDescent="0.25">
      <c r="A683" s="271"/>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c r="AL683" s="271"/>
      <c r="AM683" s="271"/>
      <c r="AN683" s="271"/>
      <c r="AO683" s="271"/>
      <c r="AP683" s="271"/>
      <c r="AQ683" s="271"/>
      <c r="AR683" s="271"/>
      <c r="AS683" s="271"/>
      <c r="AT683" s="271"/>
      <c r="AU683" s="271"/>
      <c r="AV683" s="271"/>
      <c r="AW683" s="271"/>
      <c r="AX683" s="271"/>
      <c r="AY683" s="271"/>
    </row>
    <row r="684" spans="1:51" ht="15.75" customHeight="1" x14ac:dyDescent="0.25">
      <c r="A684" s="271"/>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c r="AL684" s="271"/>
      <c r="AM684" s="271"/>
      <c r="AN684" s="271"/>
      <c r="AO684" s="271"/>
      <c r="AP684" s="271"/>
      <c r="AQ684" s="271"/>
      <c r="AR684" s="271"/>
      <c r="AS684" s="271"/>
      <c r="AT684" s="271"/>
      <c r="AU684" s="271"/>
      <c r="AV684" s="271"/>
      <c r="AW684" s="271"/>
      <c r="AX684" s="271"/>
      <c r="AY684" s="271"/>
    </row>
    <row r="685" spans="1:51" ht="15.75" customHeight="1" x14ac:dyDescent="0.25">
      <c r="A685" s="271"/>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c r="AL685" s="271"/>
      <c r="AM685" s="271"/>
      <c r="AN685" s="271"/>
      <c r="AO685" s="271"/>
      <c r="AP685" s="271"/>
      <c r="AQ685" s="271"/>
      <c r="AR685" s="271"/>
      <c r="AS685" s="271"/>
      <c r="AT685" s="271"/>
      <c r="AU685" s="271"/>
      <c r="AV685" s="271"/>
      <c r="AW685" s="271"/>
      <c r="AX685" s="271"/>
      <c r="AY685" s="271"/>
    </row>
    <row r="686" spans="1:51" ht="15.75" customHeight="1" x14ac:dyDescent="0.25">
      <c r="A686" s="271"/>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c r="AL686" s="271"/>
      <c r="AM686" s="271"/>
      <c r="AN686" s="271"/>
      <c r="AO686" s="271"/>
      <c r="AP686" s="271"/>
      <c r="AQ686" s="271"/>
      <c r="AR686" s="271"/>
      <c r="AS686" s="271"/>
      <c r="AT686" s="271"/>
      <c r="AU686" s="271"/>
      <c r="AV686" s="271"/>
      <c r="AW686" s="271"/>
      <c r="AX686" s="271"/>
      <c r="AY686" s="271"/>
    </row>
    <row r="687" spans="1:51" ht="15.75" customHeight="1" x14ac:dyDescent="0.25">
      <c r="A687" s="271"/>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c r="AL687" s="271"/>
      <c r="AM687" s="271"/>
      <c r="AN687" s="271"/>
      <c r="AO687" s="271"/>
      <c r="AP687" s="271"/>
      <c r="AQ687" s="271"/>
      <c r="AR687" s="271"/>
      <c r="AS687" s="271"/>
      <c r="AT687" s="271"/>
      <c r="AU687" s="271"/>
      <c r="AV687" s="271"/>
      <c r="AW687" s="271"/>
      <c r="AX687" s="271"/>
      <c r="AY687" s="271"/>
    </row>
    <row r="688" spans="1:51" ht="15.75" customHeight="1" x14ac:dyDescent="0.25">
      <c r="A688" s="271"/>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c r="AL688" s="271"/>
      <c r="AM688" s="271"/>
      <c r="AN688" s="271"/>
      <c r="AO688" s="271"/>
      <c r="AP688" s="271"/>
      <c r="AQ688" s="271"/>
      <c r="AR688" s="271"/>
      <c r="AS688" s="271"/>
      <c r="AT688" s="271"/>
      <c r="AU688" s="271"/>
      <c r="AV688" s="271"/>
      <c r="AW688" s="271"/>
      <c r="AX688" s="271"/>
      <c r="AY688" s="271"/>
    </row>
    <row r="689" spans="1:51" ht="15.75" customHeight="1" x14ac:dyDescent="0.25">
      <c r="A689" s="271"/>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c r="AL689" s="271"/>
      <c r="AM689" s="271"/>
      <c r="AN689" s="271"/>
      <c r="AO689" s="271"/>
      <c r="AP689" s="271"/>
      <c r="AQ689" s="271"/>
      <c r="AR689" s="271"/>
      <c r="AS689" s="271"/>
      <c r="AT689" s="271"/>
      <c r="AU689" s="271"/>
      <c r="AV689" s="271"/>
      <c r="AW689" s="271"/>
      <c r="AX689" s="271"/>
      <c r="AY689" s="271"/>
    </row>
    <row r="690" spans="1:51" ht="15.75" customHeight="1" x14ac:dyDescent="0.25">
      <c r="A690" s="271"/>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c r="AL690" s="271"/>
      <c r="AM690" s="271"/>
      <c r="AN690" s="271"/>
      <c r="AO690" s="271"/>
      <c r="AP690" s="271"/>
      <c r="AQ690" s="271"/>
      <c r="AR690" s="271"/>
      <c r="AS690" s="271"/>
      <c r="AT690" s="271"/>
      <c r="AU690" s="271"/>
      <c r="AV690" s="271"/>
      <c r="AW690" s="271"/>
      <c r="AX690" s="271"/>
      <c r="AY690" s="271"/>
    </row>
    <row r="691" spans="1:51" ht="15.75" customHeight="1" x14ac:dyDescent="0.25">
      <c r="A691" s="271"/>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c r="AL691" s="271"/>
      <c r="AM691" s="271"/>
      <c r="AN691" s="271"/>
      <c r="AO691" s="271"/>
      <c r="AP691" s="271"/>
      <c r="AQ691" s="271"/>
      <c r="AR691" s="271"/>
      <c r="AS691" s="271"/>
      <c r="AT691" s="271"/>
      <c r="AU691" s="271"/>
      <c r="AV691" s="271"/>
      <c r="AW691" s="271"/>
      <c r="AX691" s="271"/>
      <c r="AY691" s="271"/>
    </row>
    <row r="692" spans="1:51" ht="15.75" customHeight="1" x14ac:dyDescent="0.25">
      <c r="A692" s="271"/>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c r="AL692" s="271"/>
      <c r="AM692" s="271"/>
      <c r="AN692" s="271"/>
      <c r="AO692" s="271"/>
      <c r="AP692" s="271"/>
      <c r="AQ692" s="271"/>
      <c r="AR692" s="271"/>
      <c r="AS692" s="271"/>
      <c r="AT692" s="271"/>
      <c r="AU692" s="271"/>
      <c r="AV692" s="271"/>
      <c r="AW692" s="271"/>
      <c r="AX692" s="271"/>
      <c r="AY692" s="271"/>
    </row>
    <row r="693" spans="1:51" ht="15.75" customHeight="1" x14ac:dyDescent="0.25">
      <c r="A693" s="271"/>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c r="AL693" s="271"/>
      <c r="AM693" s="271"/>
      <c r="AN693" s="271"/>
      <c r="AO693" s="271"/>
      <c r="AP693" s="271"/>
      <c r="AQ693" s="271"/>
      <c r="AR693" s="271"/>
      <c r="AS693" s="271"/>
      <c r="AT693" s="271"/>
      <c r="AU693" s="271"/>
      <c r="AV693" s="271"/>
      <c r="AW693" s="271"/>
      <c r="AX693" s="271"/>
      <c r="AY693" s="271"/>
    </row>
    <row r="694" spans="1:51" ht="15.75" customHeight="1" x14ac:dyDescent="0.25">
      <c r="A694" s="271"/>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c r="AL694" s="271"/>
      <c r="AM694" s="271"/>
      <c r="AN694" s="271"/>
      <c r="AO694" s="271"/>
      <c r="AP694" s="271"/>
      <c r="AQ694" s="271"/>
      <c r="AR694" s="271"/>
      <c r="AS694" s="271"/>
      <c r="AT694" s="271"/>
      <c r="AU694" s="271"/>
      <c r="AV694" s="271"/>
      <c r="AW694" s="271"/>
      <c r="AX694" s="271"/>
      <c r="AY694" s="271"/>
    </row>
    <row r="695" spans="1:51" ht="15.75" customHeight="1" x14ac:dyDescent="0.25">
      <c r="A695" s="271"/>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c r="AL695" s="271"/>
      <c r="AM695" s="271"/>
      <c r="AN695" s="271"/>
      <c r="AO695" s="271"/>
      <c r="AP695" s="271"/>
      <c r="AQ695" s="271"/>
      <c r="AR695" s="271"/>
      <c r="AS695" s="271"/>
      <c r="AT695" s="271"/>
      <c r="AU695" s="271"/>
      <c r="AV695" s="271"/>
      <c r="AW695" s="271"/>
      <c r="AX695" s="271"/>
      <c r="AY695" s="271"/>
    </row>
    <row r="696" spans="1:51" ht="15.75" customHeight="1" x14ac:dyDescent="0.25">
      <c r="A696" s="271"/>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c r="AL696" s="271"/>
      <c r="AM696" s="271"/>
      <c r="AN696" s="271"/>
      <c r="AO696" s="271"/>
      <c r="AP696" s="271"/>
      <c r="AQ696" s="271"/>
      <c r="AR696" s="271"/>
      <c r="AS696" s="271"/>
      <c r="AT696" s="271"/>
      <c r="AU696" s="271"/>
      <c r="AV696" s="271"/>
      <c r="AW696" s="271"/>
      <c r="AX696" s="271"/>
      <c r="AY696" s="271"/>
    </row>
    <row r="697" spans="1:51" ht="15.75" customHeight="1" x14ac:dyDescent="0.25">
      <c r="A697" s="271"/>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c r="AL697" s="271"/>
      <c r="AM697" s="271"/>
      <c r="AN697" s="271"/>
      <c r="AO697" s="271"/>
      <c r="AP697" s="271"/>
      <c r="AQ697" s="271"/>
      <c r="AR697" s="271"/>
      <c r="AS697" s="271"/>
      <c r="AT697" s="271"/>
      <c r="AU697" s="271"/>
      <c r="AV697" s="271"/>
      <c r="AW697" s="271"/>
      <c r="AX697" s="271"/>
      <c r="AY697" s="271"/>
    </row>
    <row r="698" spans="1:51" ht="15.75" customHeight="1" x14ac:dyDescent="0.25">
      <c r="A698" s="271"/>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c r="AL698" s="271"/>
      <c r="AM698" s="271"/>
      <c r="AN698" s="271"/>
      <c r="AO698" s="271"/>
      <c r="AP698" s="271"/>
      <c r="AQ698" s="271"/>
      <c r="AR698" s="271"/>
      <c r="AS698" s="271"/>
      <c r="AT698" s="271"/>
      <c r="AU698" s="271"/>
      <c r="AV698" s="271"/>
      <c r="AW698" s="271"/>
      <c r="AX698" s="271"/>
      <c r="AY698" s="271"/>
    </row>
    <row r="699" spans="1:51" ht="15.75" customHeight="1" x14ac:dyDescent="0.25">
      <c r="A699" s="271"/>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c r="AL699" s="271"/>
      <c r="AM699" s="271"/>
      <c r="AN699" s="271"/>
      <c r="AO699" s="271"/>
      <c r="AP699" s="271"/>
      <c r="AQ699" s="271"/>
      <c r="AR699" s="271"/>
      <c r="AS699" s="271"/>
      <c r="AT699" s="271"/>
      <c r="AU699" s="271"/>
      <c r="AV699" s="271"/>
      <c r="AW699" s="271"/>
      <c r="AX699" s="271"/>
      <c r="AY699" s="271"/>
    </row>
    <row r="700" spans="1:51" ht="15.75" customHeight="1" x14ac:dyDescent="0.25">
      <c r="A700" s="271"/>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c r="AL700" s="271"/>
      <c r="AM700" s="271"/>
      <c r="AN700" s="271"/>
      <c r="AO700" s="271"/>
      <c r="AP700" s="271"/>
      <c r="AQ700" s="271"/>
      <c r="AR700" s="271"/>
      <c r="AS700" s="271"/>
      <c r="AT700" s="271"/>
      <c r="AU700" s="271"/>
      <c r="AV700" s="271"/>
      <c r="AW700" s="271"/>
      <c r="AX700" s="271"/>
      <c r="AY700" s="271"/>
    </row>
    <row r="701" spans="1:51" ht="15.75" customHeight="1" x14ac:dyDescent="0.25">
      <c r="A701" s="271"/>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c r="AL701" s="271"/>
      <c r="AM701" s="271"/>
      <c r="AN701" s="271"/>
      <c r="AO701" s="271"/>
      <c r="AP701" s="271"/>
      <c r="AQ701" s="271"/>
      <c r="AR701" s="271"/>
      <c r="AS701" s="271"/>
      <c r="AT701" s="271"/>
      <c r="AU701" s="271"/>
      <c r="AV701" s="271"/>
      <c r="AW701" s="271"/>
      <c r="AX701" s="271"/>
      <c r="AY701" s="271"/>
    </row>
    <row r="702" spans="1:51" ht="15.75" customHeight="1" x14ac:dyDescent="0.25">
      <c r="A702" s="271"/>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c r="AL702" s="271"/>
      <c r="AM702" s="271"/>
      <c r="AN702" s="271"/>
      <c r="AO702" s="271"/>
      <c r="AP702" s="271"/>
      <c r="AQ702" s="271"/>
      <c r="AR702" s="271"/>
      <c r="AS702" s="271"/>
      <c r="AT702" s="271"/>
      <c r="AU702" s="271"/>
      <c r="AV702" s="271"/>
      <c r="AW702" s="271"/>
      <c r="AX702" s="271"/>
      <c r="AY702" s="271"/>
    </row>
    <row r="703" spans="1:51" ht="15.75" customHeight="1" x14ac:dyDescent="0.25">
      <c r="A703" s="271"/>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c r="AL703" s="271"/>
      <c r="AM703" s="271"/>
      <c r="AN703" s="271"/>
      <c r="AO703" s="271"/>
      <c r="AP703" s="271"/>
      <c r="AQ703" s="271"/>
      <c r="AR703" s="271"/>
      <c r="AS703" s="271"/>
      <c r="AT703" s="271"/>
      <c r="AU703" s="271"/>
      <c r="AV703" s="271"/>
      <c r="AW703" s="271"/>
      <c r="AX703" s="271"/>
      <c r="AY703" s="271"/>
    </row>
    <row r="704" spans="1:51" ht="15.75" customHeight="1" x14ac:dyDescent="0.25">
      <c r="A704" s="271"/>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c r="AL704" s="271"/>
      <c r="AM704" s="271"/>
      <c r="AN704" s="271"/>
      <c r="AO704" s="271"/>
      <c r="AP704" s="271"/>
      <c r="AQ704" s="271"/>
      <c r="AR704" s="271"/>
      <c r="AS704" s="271"/>
      <c r="AT704" s="271"/>
      <c r="AU704" s="271"/>
      <c r="AV704" s="271"/>
      <c r="AW704" s="271"/>
      <c r="AX704" s="271"/>
      <c r="AY704" s="271"/>
    </row>
    <row r="705" spans="1:51" ht="15.75" customHeight="1" x14ac:dyDescent="0.25">
      <c r="A705" s="271"/>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c r="AL705" s="271"/>
      <c r="AM705" s="271"/>
      <c r="AN705" s="271"/>
      <c r="AO705" s="271"/>
      <c r="AP705" s="271"/>
      <c r="AQ705" s="271"/>
      <c r="AR705" s="271"/>
      <c r="AS705" s="271"/>
      <c r="AT705" s="271"/>
      <c r="AU705" s="271"/>
      <c r="AV705" s="271"/>
      <c r="AW705" s="271"/>
      <c r="AX705" s="271"/>
      <c r="AY705" s="271"/>
    </row>
    <row r="706" spans="1:51" ht="15.75" customHeight="1" x14ac:dyDescent="0.25">
      <c r="A706" s="271"/>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c r="AL706" s="271"/>
      <c r="AM706" s="271"/>
      <c r="AN706" s="271"/>
      <c r="AO706" s="271"/>
      <c r="AP706" s="271"/>
      <c r="AQ706" s="271"/>
      <c r="AR706" s="271"/>
      <c r="AS706" s="271"/>
      <c r="AT706" s="271"/>
      <c r="AU706" s="271"/>
      <c r="AV706" s="271"/>
      <c r="AW706" s="271"/>
      <c r="AX706" s="271"/>
      <c r="AY706" s="271"/>
    </row>
    <row r="707" spans="1:51" ht="15.75" customHeight="1" x14ac:dyDescent="0.25">
      <c r="A707" s="271"/>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c r="AL707" s="271"/>
      <c r="AM707" s="271"/>
      <c r="AN707" s="271"/>
      <c r="AO707" s="271"/>
      <c r="AP707" s="271"/>
      <c r="AQ707" s="271"/>
      <c r="AR707" s="271"/>
      <c r="AS707" s="271"/>
      <c r="AT707" s="271"/>
      <c r="AU707" s="271"/>
      <c r="AV707" s="271"/>
      <c r="AW707" s="271"/>
      <c r="AX707" s="271"/>
      <c r="AY707" s="271"/>
    </row>
    <row r="708" spans="1:51" ht="15.75" customHeight="1" x14ac:dyDescent="0.25">
      <c r="A708" s="271"/>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c r="AL708" s="271"/>
      <c r="AM708" s="271"/>
      <c r="AN708" s="271"/>
      <c r="AO708" s="271"/>
      <c r="AP708" s="271"/>
      <c r="AQ708" s="271"/>
      <c r="AR708" s="271"/>
      <c r="AS708" s="271"/>
      <c r="AT708" s="271"/>
      <c r="AU708" s="271"/>
      <c r="AV708" s="271"/>
      <c r="AW708" s="271"/>
      <c r="AX708" s="271"/>
      <c r="AY708" s="271"/>
    </row>
    <row r="709" spans="1:51" ht="15.75" customHeight="1" x14ac:dyDescent="0.25">
      <c r="A709" s="271"/>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c r="AL709" s="271"/>
      <c r="AM709" s="271"/>
      <c r="AN709" s="271"/>
      <c r="AO709" s="271"/>
      <c r="AP709" s="271"/>
      <c r="AQ709" s="271"/>
      <c r="AR709" s="271"/>
      <c r="AS709" s="271"/>
      <c r="AT709" s="271"/>
      <c r="AU709" s="271"/>
      <c r="AV709" s="271"/>
      <c r="AW709" s="271"/>
      <c r="AX709" s="271"/>
      <c r="AY709" s="271"/>
    </row>
    <row r="710" spans="1:51" ht="15.75" customHeight="1" x14ac:dyDescent="0.25">
      <c r="A710" s="271"/>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c r="AL710" s="271"/>
      <c r="AM710" s="271"/>
      <c r="AN710" s="271"/>
      <c r="AO710" s="271"/>
      <c r="AP710" s="271"/>
      <c r="AQ710" s="271"/>
      <c r="AR710" s="271"/>
      <c r="AS710" s="271"/>
      <c r="AT710" s="271"/>
      <c r="AU710" s="271"/>
      <c r="AV710" s="271"/>
      <c r="AW710" s="271"/>
      <c r="AX710" s="271"/>
      <c r="AY710" s="271"/>
    </row>
    <row r="711" spans="1:51" ht="15.75" customHeight="1" x14ac:dyDescent="0.25">
      <c r="A711" s="271"/>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c r="AL711" s="271"/>
      <c r="AM711" s="271"/>
      <c r="AN711" s="271"/>
      <c r="AO711" s="271"/>
      <c r="AP711" s="271"/>
      <c r="AQ711" s="271"/>
      <c r="AR711" s="271"/>
      <c r="AS711" s="271"/>
      <c r="AT711" s="271"/>
      <c r="AU711" s="271"/>
      <c r="AV711" s="271"/>
      <c r="AW711" s="271"/>
      <c r="AX711" s="271"/>
      <c r="AY711" s="271"/>
    </row>
    <row r="712" spans="1:51" ht="15.75" customHeight="1" x14ac:dyDescent="0.25">
      <c r="A712" s="271"/>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c r="AL712" s="271"/>
      <c r="AM712" s="271"/>
      <c r="AN712" s="271"/>
      <c r="AO712" s="271"/>
      <c r="AP712" s="271"/>
      <c r="AQ712" s="271"/>
      <c r="AR712" s="271"/>
      <c r="AS712" s="271"/>
      <c r="AT712" s="271"/>
      <c r="AU712" s="271"/>
      <c r="AV712" s="271"/>
      <c r="AW712" s="271"/>
      <c r="AX712" s="271"/>
      <c r="AY712" s="271"/>
    </row>
    <row r="713" spans="1:51" ht="15.75" customHeight="1" x14ac:dyDescent="0.25">
      <c r="A713" s="271"/>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c r="AL713" s="271"/>
      <c r="AM713" s="271"/>
      <c r="AN713" s="271"/>
      <c r="AO713" s="271"/>
      <c r="AP713" s="271"/>
      <c r="AQ713" s="271"/>
      <c r="AR713" s="271"/>
      <c r="AS713" s="271"/>
      <c r="AT713" s="271"/>
      <c r="AU713" s="271"/>
      <c r="AV713" s="271"/>
      <c r="AW713" s="271"/>
      <c r="AX713" s="271"/>
      <c r="AY713" s="271"/>
    </row>
    <row r="714" spans="1:51" ht="15.75" customHeight="1" x14ac:dyDescent="0.25">
      <c r="A714" s="271"/>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c r="AL714" s="271"/>
      <c r="AM714" s="271"/>
      <c r="AN714" s="271"/>
      <c r="AO714" s="271"/>
      <c r="AP714" s="271"/>
      <c r="AQ714" s="271"/>
      <c r="AR714" s="271"/>
      <c r="AS714" s="271"/>
      <c r="AT714" s="271"/>
      <c r="AU714" s="271"/>
      <c r="AV714" s="271"/>
      <c r="AW714" s="271"/>
      <c r="AX714" s="271"/>
      <c r="AY714" s="271"/>
    </row>
    <row r="715" spans="1:51" ht="15.75" customHeight="1" x14ac:dyDescent="0.25">
      <c r="A715" s="271"/>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c r="AL715" s="271"/>
      <c r="AM715" s="271"/>
      <c r="AN715" s="271"/>
      <c r="AO715" s="271"/>
      <c r="AP715" s="271"/>
      <c r="AQ715" s="271"/>
      <c r="AR715" s="271"/>
      <c r="AS715" s="271"/>
      <c r="AT715" s="271"/>
      <c r="AU715" s="271"/>
      <c r="AV715" s="271"/>
      <c r="AW715" s="271"/>
      <c r="AX715" s="271"/>
      <c r="AY715" s="271"/>
    </row>
    <row r="716" spans="1:51" ht="15.75" customHeight="1" x14ac:dyDescent="0.25">
      <c r="A716" s="271"/>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c r="AL716" s="271"/>
      <c r="AM716" s="271"/>
      <c r="AN716" s="271"/>
      <c r="AO716" s="271"/>
      <c r="AP716" s="271"/>
      <c r="AQ716" s="271"/>
      <c r="AR716" s="271"/>
      <c r="AS716" s="271"/>
      <c r="AT716" s="271"/>
      <c r="AU716" s="271"/>
      <c r="AV716" s="271"/>
      <c r="AW716" s="271"/>
      <c r="AX716" s="271"/>
      <c r="AY716" s="271"/>
    </row>
    <row r="717" spans="1:51" ht="15.75" customHeight="1" x14ac:dyDescent="0.25">
      <c r="A717" s="271"/>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c r="AL717" s="271"/>
      <c r="AM717" s="271"/>
      <c r="AN717" s="271"/>
      <c r="AO717" s="271"/>
      <c r="AP717" s="271"/>
      <c r="AQ717" s="271"/>
      <c r="AR717" s="271"/>
      <c r="AS717" s="271"/>
      <c r="AT717" s="271"/>
      <c r="AU717" s="271"/>
      <c r="AV717" s="271"/>
      <c r="AW717" s="271"/>
      <c r="AX717" s="271"/>
      <c r="AY717" s="271"/>
    </row>
    <row r="718" spans="1:51" ht="15.75" customHeight="1" x14ac:dyDescent="0.25">
      <c r="A718" s="271"/>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c r="AL718" s="271"/>
      <c r="AM718" s="271"/>
      <c r="AN718" s="271"/>
      <c r="AO718" s="271"/>
      <c r="AP718" s="271"/>
      <c r="AQ718" s="271"/>
      <c r="AR718" s="271"/>
      <c r="AS718" s="271"/>
      <c r="AT718" s="271"/>
      <c r="AU718" s="271"/>
      <c r="AV718" s="271"/>
      <c r="AW718" s="271"/>
      <c r="AX718" s="271"/>
      <c r="AY718" s="271"/>
    </row>
    <row r="719" spans="1:51" ht="15.75" customHeight="1" x14ac:dyDescent="0.25">
      <c r="A719" s="271"/>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c r="AL719" s="271"/>
      <c r="AM719" s="271"/>
      <c r="AN719" s="271"/>
      <c r="AO719" s="271"/>
      <c r="AP719" s="271"/>
      <c r="AQ719" s="271"/>
      <c r="AR719" s="271"/>
      <c r="AS719" s="271"/>
      <c r="AT719" s="271"/>
      <c r="AU719" s="271"/>
      <c r="AV719" s="271"/>
      <c r="AW719" s="271"/>
      <c r="AX719" s="271"/>
      <c r="AY719" s="271"/>
    </row>
    <row r="720" spans="1:51" ht="15.75" customHeight="1" x14ac:dyDescent="0.25">
      <c r="A720" s="271"/>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c r="AL720" s="271"/>
      <c r="AM720" s="271"/>
      <c r="AN720" s="271"/>
      <c r="AO720" s="271"/>
      <c r="AP720" s="271"/>
      <c r="AQ720" s="271"/>
      <c r="AR720" s="271"/>
      <c r="AS720" s="271"/>
      <c r="AT720" s="271"/>
      <c r="AU720" s="271"/>
      <c r="AV720" s="271"/>
      <c r="AW720" s="271"/>
      <c r="AX720" s="271"/>
      <c r="AY720" s="271"/>
    </row>
    <row r="721" spans="1:51" ht="15.75" customHeight="1" x14ac:dyDescent="0.25">
      <c r="A721" s="271"/>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c r="AL721" s="271"/>
      <c r="AM721" s="271"/>
      <c r="AN721" s="271"/>
      <c r="AO721" s="271"/>
      <c r="AP721" s="271"/>
      <c r="AQ721" s="271"/>
      <c r="AR721" s="271"/>
      <c r="AS721" s="271"/>
      <c r="AT721" s="271"/>
      <c r="AU721" s="271"/>
      <c r="AV721" s="271"/>
      <c r="AW721" s="271"/>
      <c r="AX721" s="271"/>
      <c r="AY721" s="271"/>
    </row>
    <row r="722" spans="1:51" ht="15.75" customHeight="1" x14ac:dyDescent="0.25">
      <c r="A722" s="271"/>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c r="AL722" s="271"/>
      <c r="AM722" s="271"/>
      <c r="AN722" s="271"/>
      <c r="AO722" s="271"/>
      <c r="AP722" s="271"/>
      <c r="AQ722" s="271"/>
      <c r="AR722" s="271"/>
      <c r="AS722" s="271"/>
      <c r="AT722" s="271"/>
      <c r="AU722" s="271"/>
      <c r="AV722" s="271"/>
      <c r="AW722" s="271"/>
      <c r="AX722" s="271"/>
      <c r="AY722" s="271"/>
    </row>
    <row r="723" spans="1:51" ht="15.75" customHeight="1" x14ac:dyDescent="0.25">
      <c r="A723" s="271"/>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c r="AL723" s="271"/>
      <c r="AM723" s="271"/>
      <c r="AN723" s="271"/>
      <c r="AO723" s="271"/>
      <c r="AP723" s="271"/>
      <c r="AQ723" s="271"/>
      <c r="AR723" s="271"/>
      <c r="AS723" s="271"/>
      <c r="AT723" s="271"/>
      <c r="AU723" s="271"/>
      <c r="AV723" s="271"/>
      <c r="AW723" s="271"/>
      <c r="AX723" s="271"/>
      <c r="AY723" s="271"/>
    </row>
    <row r="724" spans="1:51" ht="15.75" customHeight="1" x14ac:dyDescent="0.25">
      <c r="A724" s="271"/>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c r="AL724" s="271"/>
      <c r="AM724" s="271"/>
      <c r="AN724" s="271"/>
      <c r="AO724" s="271"/>
      <c r="AP724" s="271"/>
      <c r="AQ724" s="271"/>
      <c r="AR724" s="271"/>
      <c r="AS724" s="271"/>
      <c r="AT724" s="271"/>
      <c r="AU724" s="271"/>
      <c r="AV724" s="271"/>
      <c r="AW724" s="271"/>
      <c r="AX724" s="271"/>
      <c r="AY724" s="271"/>
    </row>
    <row r="725" spans="1:51" ht="15.75" customHeight="1" x14ac:dyDescent="0.25">
      <c r="A725" s="271"/>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c r="AL725" s="271"/>
      <c r="AM725" s="271"/>
      <c r="AN725" s="271"/>
      <c r="AO725" s="271"/>
      <c r="AP725" s="271"/>
      <c r="AQ725" s="271"/>
      <c r="AR725" s="271"/>
      <c r="AS725" s="271"/>
      <c r="AT725" s="271"/>
      <c r="AU725" s="271"/>
      <c r="AV725" s="271"/>
      <c r="AW725" s="271"/>
      <c r="AX725" s="271"/>
      <c r="AY725" s="271"/>
    </row>
    <row r="726" spans="1:51" ht="15.75" customHeight="1" x14ac:dyDescent="0.25">
      <c r="A726" s="271"/>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c r="AL726" s="271"/>
      <c r="AM726" s="271"/>
      <c r="AN726" s="271"/>
      <c r="AO726" s="271"/>
      <c r="AP726" s="271"/>
      <c r="AQ726" s="271"/>
      <c r="AR726" s="271"/>
      <c r="AS726" s="271"/>
      <c r="AT726" s="271"/>
      <c r="AU726" s="271"/>
      <c r="AV726" s="271"/>
      <c r="AW726" s="271"/>
      <c r="AX726" s="271"/>
      <c r="AY726" s="271"/>
    </row>
    <row r="727" spans="1:51" ht="15.75" customHeight="1" x14ac:dyDescent="0.25">
      <c r="A727" s="271"/>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c r="AL727" s="271"/>
      <c r="AM727" s="271"/>
      <c r="AN727" s="271"/>
      <c r="AO727" s="271"/>
      <c r="AP727" s="271"/>
      <c r="AQ727" s="271"/>
      <c r="AR727" s="271"/>
      <c r="AS727" s="271"/>
      <c r="AT727" s="271"/>
      <c r="AU727" s="271"/>
      <c r="AV727" s="271"/>
      <c r="AW727" s="271"/>
      <c r="AX727" s="271"/>
      <c r="AY727" s="271"/>
    </row>
    <row r="728" spans="1:51" ht="15.75" customHeight="1" x14ac:dyDescent="0.25">
      <c r="A728" s="271"/>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c r="AL728" s="271"/>
      <c r="AM728" s="271"/>
      <c r="AN728" s="271"/>
      <c r="AO728" s="271"/>
      <c r="AP728" s="271"/>
      <c r="AQ728" s="271"/>
      <c r="AR728" s="271"/>
      <c r="AS728" s="271"/>
      <c r="AT728" s="271"/>
      <c r="AU728" s="271"/>
      <c r="AV728" s="271"/>
      <c r="AW728" s="271"/>
      <c r="AX728" s="271"/>
      <c r="AY728" s="271"/>
    </row>
    <row r="729" spans="1:51" ht="15.75" customHeight="1" x14ac:dyDescent="0.25">
      <c r="A729" s="271"/>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c r="AL729" s="271"/>
      <c r="AM729" s="271"/>
      <c r="AN729" s="271"/>
      <c r="AO729" s="271"/>
      <c r="AP729" s="271"/>
      <c r="AQ729" s="271"/>
      <c r="AR729" s="271"/>
      <c r="AS729" s="271"/>
      <c r="AT729" s="271"/>
      <c r="AU729" s="271"/>
      <c r="AV729" s="271"/>
      <c r="AW729" s="271"/>
      <c r="AX729" s="271"/>
      <c r="AY729" s="271"/>
    </row>
    <row r="730" spans="1:51" ht="15.75" customHeight="1" x14ac:dyDescent="0.25">
      <c r="A730" s="271"/>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c r="AL730" s="271"/>
      <c r="AM730" s="271"/>
      <c r="AN730" s="271"/>
      <c r="AO730" s="271"/>
      <c r="AP730" s="271"/>
      <c r="AQ730" s="271"/>
      <c r="AR730" s="271"/>
      <c r="AS730" s="271"/>
      <c r="AT730" s="271"/>
      <c r="AU730" s="271"/>
      <c r="AV730" s="271"/>
      <c r="AW730" s="271"/>
      <c r="AX730" s="271"/>
      <c r="AY730" s="271"/>
    </row>
    <row r="731" spans="1:51" ht="15.75" customHeight="1" x14ac:dyDescent="0.25">
      <c r="A731" s="271"/>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c r="AL731" s="271"/>
      <c r="AM731" s="271"/>
      <c r="AN731" s="271"/>
      <c r="AO731" s="271"/>
      <c r="AP731" s="271"/>
      <c r="AQ731" s="271"/>
      <c r="AR731" s="271"/>
      <c r="AS731" s="271"/>
      <c r="AT731" s="271"/>
      <c r="AU731" s="271"/>
      <c r="AV731" s="271"/>
      <c r="AW731" s="271"/>
      <c r="AX731" s="271"/>
      <c r="AY731" s="271"/>
    </row>
    <row r="732" spans="1:51" ht="15.75" customHeight="1" x14ac:dyDescent="0.25">
      <c r="A732" s="271"/>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c r="AL732" s="271"/>
      <c r="AM732" s="271"/>
      <c r="AN732" s="271"/>
      <c r="AO732" s="271"/>
      <c r="AP732" s="271"/>
      <c r="AQ732" s="271"/>
      <c r="AR732" s="271"/>
      <c r="AS732" s="271"/>
      <c r="AT732" s="271"/>
      <c r="AU732" s="271"/>
      <c r="AV732" s="271"/>
      <c r="AW732" s="271"/>
      <c r="AX732" s="271"/>
      <c r="AY732" s="271"/>
    </row>
    <row r="733" spans="1:51" ht="15.75" customHeight="1" x14ac:dyDescent="0.25">
      <c r="A733" s="271"/>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c r="AL733" s="271"/>
      <c r="AM733" s="271"/>
      <c r="AN733" s="271"/>
      <c r="AO733" s="271"/>
      <c r="AP733" s="271"/>
      <c r="AQ733" s="271"/>
      <c r="AR733" s="271"/>
      <c r="AS733" s="271"/>
      <c r="AT733" s="271"/>
      <c r="AU733" s="271"/>
      <c r="AV733" s="271"/>
      <c r="AW733" s="271"/>
      <c r="AX733" s="271"/>
      <c r="AY733" s="271"/>
    </row>
    <row r="734" spans="1:51" ht="15.75" customHeight="1" x14ac:dyDescent="0.25">
      <c r="A734" s="271"/>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c r="AL734" s="271"/>
      <c r="AM734" s="271"/>
      <c r="AN734" s="271"/>
      <c r="AO734" s="271"/>
      <c r="AP734" s="271"/>
      <c r="AQ734" s="271"/>
      <c r="AR734" s="271"/>
      <c r="AS734" s="271"/>
      <c r="AT734" s="271"/>
      <c r="AU734" s="271"/>
      <c r="AV734" s="271"/>
      <c r="AW734" s="271"/>
      <c r="AX734" s="271"/>
      <c r="AY734" s="271"/>
    </row>
    <row r="735" spans="1:51" ht="15.75" customHeight="1" x14ac:dyDescent="0.25">
      <c r="A735" s="271"/>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c r="AL735" s="271"/>
      <c r="AM735" s="271"/>
      <c r="AN735" s="271"/>
      <c r="AO735" s="271"/>
      <c r="AP735" s="271"/>
      <c r="AQ735" s="271"/>
      <c r="AR735" s="271"/>
      <c r="AS735" s="271"/>
      <c r="AT735" s="271"/>
      <c r="AU735" s="271"/>
      <c r="AV735" s="271"/>
      <c r="AW735" s="271"/>
      <c r="AX735" s="271"/>
      <c r="AY735" s="271"/>
    </row>
    <row r="736" spans="1:51" ht="15.75" customHeight="1" x14ac:dyDescent="0.25">
      <c r="A736" s="271"/>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c r="AL736" s="271"/>
      <c r="AM736" s="271"/>
      <c r="AN736" s="271"/>
      <c r="AO736" s="271"/>
      <c r="AP736" s="271"/>
      <c r="AQ736" s="271"/>
      <c r="AR736" s="271"/>
      <c r="AS736" s="271"/>
      <c r="AT736" s="271"/>
      <c r="AU736" s="271"/>
      <c r="AV736" s="271"/>
      <c r="AW736" s="271"/>
      <c r="AX736" s="271"/>
      <c r="AY736" s="271"/>
    </row>
    <row r="737" spans="1:51" ht="15.75" customHeight="1" x14ac:dyDescent="0.25">
      <c r="A737" s="271"/>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c r="AL737" s="271"/>
      <c r="AM737" s="271"/>
      <c r="AN737" s="271"/>
      <c r="AO737" s="271"/>
      <c r="AP737" s="271"/>
      <c r="AQ737" s="271"/>
      <c r="AR737" s="271"/>
      <c r="AS737" s="271"/>
      <c r="AT737" s="271"/>
      <c r="AU737" s="271"/>
      <c r="AV737" s="271"/>
      <c r="AW737" s="271"/>
      <c r="AX737" s="271"/>
      <c r="AY737" s="271"/>
    </row>
    <row r="738" spans="1:51" ht="15.75" customHeight="1" x14ac:dyDescent="0.25">
      <c r="A738" s="271"/>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c r="AL738" s="271"/>
      <c r="AM738" s="271"/>
      <c r="AN738" s="271"/>
      <c r="AO738" s="271"/>
      <c r="AP738" s="271"/>
      <c r="AQ738" s="271"/>
      <c r="AR738" s="271"/>
      <c r="AS738" s="271"/>
      <c r="AT738" s="271"/>
      <c r="AU738" s="271"/>
      <c r="AV738" s="271"/>
      <c r="AW738" s="271"/>
      <c r="AX738" s="271"/>
      <c r="AY738" s="271"/>
    </row>
    <row r="739" spans="1:51" ht="15.75" customHeight="1" x14ac:dyDescent="0.25">
      <c r="A739" s="271"/>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c r="AL739" s="271"/>
      <c r="AM739" s="271"/>
      <c r="AN739" s="271"/>
      <c r="AO739" s="271"/>
      <c r="AP739" s="271"/>
      <c r="AQ739" s="271"/>
      <c r="AR739" s="271"/>
      <c r="AS739" s="271"/>
      <c r="AT739" s="271"/>
      <c r="AU739" s="271"/>
      <c r="AV739" s="271"/>
      <c r="AW739" s="271"/>
      <c r="AX739" s="271"/>
      <c r="AY739" s="271"/>
    </row>
    <row r="740" spans="1:51" ht="15.75" customHeight="1" x14ac:dyDescent="0.25">
      <c r="A740" s="271"/>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c r="AL740" s="271"/>
      <c r="AM740" s="271"/>
      <c r="AN740" s="271"/>
      <c r="AO740" s="271"/>
      <c r="AP740" s="271"/>
      <c r="AQ740" s="271"/>
      <c r="AR740" s="271"/>
      <c r="AS740" s="271"/>
      <c r="AT740" s="271"/>
      <c r="AU740" s="271"/>
      <c r="AV740" s="271"/>
      <c r="AW740" s="271"/>
      <c r="AX740" s="271"/>
      <c r="AY740" s="271"/>
    </row>
    <row r="741" spans="1:51" ht="15.75" customHeight="1" x14ac:dyDescent="0.25">
      <c r="A741" s="271"/>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c r="AL741" s="271"/>
      <c r="AM741" s="271"/>
      <c r="AN741" s="271"/>
      <c r="AO741" s="271"/>
      <c r="AP741" s="271"/>
      <c r="AQ741" s="271"/>
      <c r="AR741" s="271"/>
      <c r="AS741" s="271"/>
      <c r="AT741" s="271"/>
      <c r="AU741" s="271"/>
      <c r="AV741" s="271"/>
      <c r="AW741" s="271"/>
      <c r="AX741" s="271"/>
      <c r="AY741" s="271"/>
    </row>
    <row r="742" spans="1:51" ht="15.75" customHeight="1" x14ac:dyDescent="0.25">
      <c r="A742" s="271"/>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c r="AL742" s="271"/>
      <c r="AM742" s="271"/>
      <c r="AN742" s="271"/>
      <c r="AO742" s="271"/>
      <c r="AP742" s="271"/>
      <c r="AQ742" s="271"/>
      <c r="AR742" s="271"/>
      <c r="AS742" s="271"/>
      <c r="AT742" s="271"/>
      <c r="AU742" s="271"/>
      <c r="AV742" s="271"/>
      <c r="AW742" s="271"/>
      <c r="AX742" s="271"/>
      <c r="AY742" s="271"/>
    </row>
    <row r="743" spans="1:51" ht="15.75" customHeight="1" x14ac:dyDescent="0.25">
      <c r="A743" s="271"/>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c r="AL743" s="271"/>
      <c r="AM743" s="271"/>
      <c r="AN743" s="271"/>
      <c r="AO743" s="271"/>
      <c r="AP743" s="271"/>
      <c r="AQ743" s="271"/>
      <c r="AR743" s="271"/>
      <c r="AS743" s="271"/>
      <c r="AT743" s="271"/>
      <c r="AU743" s="271"/>
      <c r="AV743" s="271"/>
      <c r="AW743" s="271"/>
      <c r="AX743" s="271"/>
      <c r="AY743" s="271"/>
    </row>
    <row r="744" spans="1:51" ht="15.75" customHeight="1" x14ac:dyDescent="0.25">
      <c r="A744" s="271"/>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c r="AL744" s="271"/>
      <c r="AM744" s="271"/>
      <c r="AN744" s="271"/>
      <c r="AO744" s="271"/>
      <c r="AP744" s="271"/>
      <c r="AQ744" s="271"/>
      <c r="AR744" s="271"/>
      <c r="AS744" s="271"/>
      <c r="AT744" s="271"/>
      <c r="AU744" s="271"/>
      <c r="AV744" s="271"/>
      <c r="AW744" s="271"/>
      <c r="AX744" s="271"/>
      <c r="AY744" s="271"/>
    </row>
    <row r="745" spans="1:51" ht="15.75" customHeight="1" x14ac:dyDescent="0.25">
      <c r="A745" s="271"/>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c r="AL745" s="271"/>
      <c r="AM745" s="271"/>
      <c r="AN745" s="271"/>
      <c r="AO745" s="271"/>
      <c r="AP745" s="271"/>
      <c r="AQ745" s="271"/>
      <c r="AR745" s="271"/>
      <c r="AS745" s="271"/>
      <c r="AT745" s="271"/>
      <c r="AU745" s="271"/>
      <c r="AV745" s="271"/>
      <c r="AW745" s="271"/>
      <c r="AX745" s="271"/>
      <c r="AY745" s="271"/>
    </row>
    <row r="746" spans="1:51" ht="15.75" customHeight="1" x14ac:dyDescent="0.25">
      <c r="A746" s="271"/>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c r="AL746" s="271"/>
      <c r="AM746" s="271"/>
      <c r="AN746" s="271"/>
      <c r="AO746" s="271"/>
      <c r="AP746" s="271"/>
      <c r="AQ746" s="271"/>
      <c r="AR746" s="271"/>
      <c r="AS746" s="271"/>
      <c r="AT746" s="271"/>
      <c r="AU746" s="271"/>
      <c r="AV746" s="271"/>
      <c r="AW746" s="271"/>
      <c r="AX746" s="271"/>
      <c r="AY746" s="271"/>
    </row>
    <row r="747" spans="1:51" ht="15.75" customHeight="1" x14ac:dyDescent="0.25">
      <c r="A747" s="271"/>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c r="AL747" s="271"/>
      <c r="AM747" s="271"/>
      <c r="AN747" s="271"/>
      <c r="AO747" s="271"/>
      <c r="AP747" s="271"/>
      <c r="AQ747" s="271"/>
      <c r="AR747" s="271"/>
      <c r="AS747" s="271"/>
      <c r="AT747" s="271"/>
      <c r="AU747" s="271"/>
      <c r="AV747" s="271"/>
      <c r="AW747" s="271"/>
      <c r="AX747" s="271"/>
      <c r="AY747" s="271"/>
    </row>
    <row r="748" spans="1:51" ht="15.75" customHeight="1" x14ac:dyDescent="0.25">
      <c r="A748" s="271"/>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c r="AL748" s="271"/>
      <c r="AM748" s="271"/>
      <c r="AN748" s="271"/>
      <c r="AO748" s="271"/>
      <c r="AP748" s="271"/>
      <c r="AQ748" s="271"/>
      <c r="AR748" s="271"/>
      <c r="AS748" s="271"/>
      <c r="AT748" s="271"/>
      <c r="AU748" s="271"/>
      <c r="AV748" s="271"/>
      <c r="AW748" s="271"/>
      <c r="AX748" s="271"/>
      <c r="AY748" s="271"/>
    </row>
    <row r="749" spans="1:51" ht="15.75" customHeight="1" x14ac:dyDescent="0.25">
      <c r="A749" s="271"/>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c r="AL749" s="271"/>
      <c r="AM749" s="271"/>
      <c r="AN749" s="271"/>
      <c r="AO749" s="271"/>
      <c r="AP749" s="271"/>
      <c r="AQ749" s="271"/>
      <c r="AR749" s="271"/>
      <c r="AS749" s="271"/>
      <c r="AT749" s="271"/>
      <c r="AU749" s="271"/>
      <c r="AV749" s="271"/>
      <c r="AW749" s="271"/>
      <c r="AX749" s="271"/>
      <c r="AY749" s="271"/>
    </row>
    <row r="750" spans="1:51" ht="15.75" customHeight="1" x14ac:dyDescent="0.25">
      <c r="A750" s="271"/>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c r="AL750" s="271"/>
      <c r="AM750" s="271"/>
      <c r="AN750" s="271"/>
      <c r="AO750" s="271"/>
      <c r="AP750" s="271"/>
      <c r="AQ750" s="271"/>
      <c r="AR750" s="271"/>
      <c r="AS750" s="271"/>
      <c r="AT750" s="271"/>
      <c r="AU750" s="271"/>
      <c r="AV750" s="271"/>
      <c r="AW750" s="271"/>
      <c r="AX750" s="271"/>
      <c r="AY750" s="271"/>
    </row>
    <row r="751" spans="1:51" ht="15.75" customHeight="1" x14ac:dyDescent="0.25">
      <c r="A751" s="271"/>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c r="AL751" s="271"/>
      <c r="AM751" s="271"/>
      <c r="AN751" s="271"/>
      <c r="AO751" s="271"/>
      <c r="AP751" s="271"/>
      <c r="AQ751" s="271"/>
      <c r="AR751" s="271"/>
      <c r="AS751" s="271"/>
      <c r="AT751" s="271"/>
      <c r="AU751" s="271"/>
      <c r="AV751" s="271"/>
      <c r="AW751" s="271"/>
      <c r="AX751" s="271"/>
      <c r="AY751" s="271"/>
    </row>
    <row r="752" spans="1:51" ht="15.75" customHeight="1" x14ac:dyDescent="0.25">
      <c r="A752" s="271"/>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c r="AL752" s="271"/>
      <c r="AM752" s="271"/>
      <c r="AN752" s="271"/>
      <c r="AO752" s="271"/>
      <c r="AP752" s="271"/>
      <c r="AQ752" s="271"/>
      <c r="AR752" s="271"/>
      <c r="AS752" s="271"/>
      <c r="AT752" s="271"/>
      <c r="AU752" s="271"/>
      <c r="AV752" s="271"/>
      <c r="AW752" s="271"/>
      <c r="AX752" s="271"/>
      <c r="AY752" s="271"/>
    </row>
    <row r="753" spans="1:51" ht="15.75" customHeight="1" x14ac:dyDescent="0.25">
      <c r="A753" s="271"/>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c r="AL753" s="271"/>
      <c r="AM753" s="271"/>
      <c r="AN753" s="271"/>
      <c r="AO753" s="271"/>
      <c r="AP753" s="271"/>
      <c r="AQ753" s="271"/>
      <c r="AR753" s="271"/>
      <c r="AS753" s="271"/>
      <c r="AT753" s="271"/>
      <c r="AU753" s="271"/>
      <c r="AV753" s="271"/>
      <c r="AW753" s="271"/>
      <c r="AX753" s="271"/>
      <c r="AY753" s="271"/>
    </row>
    <row r="754" spans="1:51" ht="15.75" customHeight="1" x14ac:dyDescent="0.25">
      <c r="A754" s="271"/>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c r="AL754" s="271"/>
      <c r="AM754" s="271"/>
      <c r="AN754" s="271"/>
      <c r="AO754" s="271"/>
      <c r="AP754" s="271"/>
      <c r="AQ754" s="271"/>
      <c r="AR754" s="271"/>
      <c r="AS754" s="271"/>
      <c r="AT754" s="271"/>
      <c r="AU754" s="271"/>
      <c r="AV754" s="271"/>
      <c r="AW754" s="271"/>
      <c r="AX754" s="271"/>
      <c r="AY754" s="271"/>
    </row>
    <row r="755" spans="1:51" ht="15.75" customHeight="1" x14ac:dyDescent="0.25">
      <c r="A755" s="271"/>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c r="AL755" s="271"/>
      <c r="AM755" s="271"/>
      <c r="AN755" s="271"/>
      <c r="AO755" s="271"/>
      <c r="AP755" s="271"/>
      <c r="AQ755" s="271"/>
      <c r="AR755" s="271"/>
      <c r="AS755" s="271"/>
      <c r="AT755" s="271"/>
      <c r="AU755" s="271"/>
      <c r="AV755" s="271"/>
      <c r="AW755" s="271"/>
      <c r="AX755" s="271"/>
      <c r="AY755" s="271"/>
    </row>
    <row r="756" spans="1:51" ht="15.75" customHeight="1" x14ac:dyDescent="0.25">
      <c r="A756" s="271"/>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c r="AL756" s="271"/>
      <c r="AM756" s="271"/>
      <c r="AN756" s="271"/>
      <c r="AO756" s="271"/>
      <c r="AP756" s="271"/>
      <c r="AQ756" s="271"/>
      <c r="AR756" s="271"/>
      <c r="AS756" s="271"/>
      <c r="AT756" s="271"/>
      <c r="AU756" s="271"/>
      <c r="AV756" s="271"/>
      <c r="AW756" s="271"/>
      <c r="AX756" s="271"/>
      <c r="AY756" s="271"/>
    </row>
    <row r="757" spans="1:51" ht="15.75" customHeight="1" x14ac:dyDescent="0.25">
      <c r="A757" s="271"/>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c r="AL757" s="271"/>
      <c r="AM757" s="271"/>
      <c r="AN757" s="271"/>
      <c r="AO757" s="271"/>
      <c r="AP757" s="271"/>
      <c r="AQ757" s="271"/>
      <c r="AR757" s="271"/>
      <c r="AS757" s="271"/>
      <c r="AT757" s="271"/>
      <c r="AU757" s="271"/>
      <c r="AV757" s="271"/>
      <c r="AW757" s="271"/>
      <c r="AX757" s="271"/>
      <c r="AY757" s="271"/>
    </row>
    <row r="758" spans="1:51" ht="15.75" customHeight="1" x14ac:dyDescent="0.25">
      <c r="A758" s="271"/>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c r="AL758" s="271"/>
      <c r="AM758" s="271"/>
      <c r="AN758" s="271"/>
      <c r="AO758" s="271"/>
      <c r="AP758" s="271"/>
      <c r="AQ758" s="271"/>
      <c r="AR758" s="271"/>
      <c r="AS758" s="271"/>
      <c r="AT758" s="271"/>
      <c r="AU758" s="271"/>
      <c r="AV758" s="271"/>
      <c r="AW758" s="271"/>
      <c r="AX758" s="271"/>
      <c r="AY758" s="271"/>
    </row>
    <row r="759" spans="1:51" ht="15.75" customHeight="1" x14ac:dyDescent="0.25">
      <c r="A759" s="271"/>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c r="AL759" s="271"/>
      <c r="AM759" s="271"/>
      <c r="AN759" s="271"/>
      <c r="AO759" s="271"/>
      <c r="AP759" s="271"/>
      <c r="AQ759" s="271"/>
      <c r="AR759" s="271"/>
      <c r="AS759" s="271"/>
      <c r="AT759" s="271"/>
      <c r="AU759" s="271"/>
      <c r="AV759" s="271"/>
      <c r="AW759" s="271"/>
      <c r="AX759" s="271"/>
      <c r="AY759" s="271"/>
    </row>
    <row r="760" spans="1:51" ht="15.75" customHeight="1" x14ac:dyDescent="0.25">
      <c r="A760" s="271"/>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c r="AL760" s="271"/>
      <c r="AM760" s="271"/>
      <c r="AN760" s="271"/>
      <c r="AO760" s="271"/>
      <c r="AP760" s="271"/>
      <c r="AQ760" s="271"/>
      <c r="AR760" s="271"/>
      <c r="AS760" s="271"/>
      <c r="AT760" s="271"/>
      <c r="AU760" s="271"/>
      <c r="AV760" s="271"/>
      <c r="AW760" s="271"/>
      <c r="AX760" s="271"/>
      <c r="AY760" s="271"/>
    </row>
    <row r="761" spans="1:51" ht="15.75" customHeight="1" x14ac:dyDescent="0.25">
      <c r="A761" s="271"/>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c r="AL761" s="271"/>
      <c r="AM761" s="271"/>
      <c r="AN761" s="271"/>
      <c r="AO761" s="271"/>
      <c r="AP761" s="271"/>
      <c r="AQ761" s="271"/>
      <c r="AR761" s="271"/>
      <c r="AS761" s="271"/>
      <c r="AT761" s="271"/>
      <c r="AU761" s="271"/>
      <c r="AV761" s="271"/>
      <c r="AW761" s="271"/>
      <c r="AX761" s="271"/>
      <c r="AY761" s="271"/>
    </row>
    <row r="762" spans="1:51" ht="15.75" customHeight="1" x14ac:dyDescent="0.25">
      <c r="A762" s="271"/>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c r="AL762" s="271"/>
      <c r="AM762" s="271"/>
      <c r="AN762" s="271"/>
      <c r="AO762" s="271"/>
      <c r="AP762" s="271"/>
      <c r="AQ762" s="271"/>
      <c r="AR762" s="271"/>
      <c r="AS762" s="271"/>
      <c r="AT762" s="271"/>
      <c r="AU762" s="271"/>
      <c r="AV762" s="271"/>
      <c r="AW762" s="271"/>
      <c r="AX762" s="271"/>
      <c r="AY762" s="271"/>
    </row>
    <row r="763" spans="1:51" ht="15.75" customHeight="1" x14ac:dyDescent="0.25">
      <c r="A763" s="271"/>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c r="AL763" s="271"/>
      <c r="AM763" s="271"/>
      <c r="AN763" s="271"/>
      <c r="AO763" s="271"/>
      <c r="AP763" s="271"/>
      <c r="AQ763" s="271"/>
      <c r="AR763" s="271"/>
      <c r="AS763" s="271"/>
      <c r="AT763" s="271"/>
      <c r="AU763" s="271"/>
      <c r="AV763" s="271"/>
      <c r="AW763" s="271"/>
      <c r="AX763" s="271"/>
      <c r="AY763" s="271"/>
    </row>
    <row r="764" spans="1:51" ht="15.75" customHeight="1" x14ac:dyDescent="0.25">
      <c r="A764" s="271"/>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c r="AL764" s="271"/>
      <c r="AM764" s="271"/>
      <c r="AN764" s="271"/>
      <c r="AO764" s="271"/>
      <c r="AP764" s="271"/>
      <c r="AQ764" s="271"/>
      <c r="AR764" s="271"/>
      <c r="AS764" s="271"/>
      <c r="AT764" s="271"/>
      <c r="AU764" s="271"/>
      <c r="AV764" s="271"/>
      <c r="AW764" s="271"/>
      <c r="AX764" s="271"/>
      <c r="AY764" s="271"/>
    </row>
    <row r="765" spans="1:51" ht="15.75" customHeight="1" x14ac:dyDescent="0.25">
      <c r="A765" s="271"/>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c r="AL765" s="271"/>
      <c r="AM765" s="271"/>
      <c r="AN765" s="271"/>
      <c r="AO765" s="271"/>
      <c r="AP765" s="271"/>
      <c r="AQ765" s="271"/>
      <c r="AR765" s="271"/>
      <c r="AS765" s="271"/>
      <c r="AT765" s="271"/>
      <c r="AU765" s="271"/>
      <c r="AV765" s="271"/>
      <c r="AW765" s="271"/>
      <c r="AX765" s="271"/>
      <c r="AY765" s="271"/>
    </row>
    <row r="766" spans="1:51" ht="15.75" customHeight="1" x14ac:dyDescent="0.25">
      <c r="A766" s="271"/>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c r="AL766" s="271"/>
      <c r="AM766" s="271"/>
      <c r="AN766" s="271"/>
      <c r="AO766" s="271"/>
      <c r="AP766" s="271"/>
      <c r="AQ766" s="271"/>
      <c r="AR766" s="271"/>
      <c r="AS766" s="271"/>
      <c r="AT766" s="271"/>
      <c r="AU766" s="271"/>
      <c r="AV766" s="271"/>
      <c r="AW766" s="271"/>
      <c r="AX766" s="271"/>
      <c r="AY766" s="271"/>
    </row>
    <row r="767" spans="1:51" ht="15.75" customHeight="1" x14ac:dyDescent="0.25">
      <c r="A767" s="271"/>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c r="AL767" s="271"/>
      <c r="AM767" s="271"/>
      <c r="AN767" s="271"/>
      <c r="AO767" s="271"/>
      <c r="AP767" s="271"/>
      <c r="AQ767" s="271"/>
      <c r="AR767" s="271"/>
      <c r="AS767" s="271"/>
      <c r="AT767" s="271"/>
      <c r="AU767" s="271"/>
      <c r="AV767" s="271"/>
      <c r="AW767" s="271"/>
      <c r="AX767" s="271"/>
      <c r="AY767" s="271"/>
    </row>
    <row r="768" spans="1:51" ht="15.75" customHeight="1" x14ac:dyDescent="0.25">
      <c r="A768" s="271"/>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c r="AL768" s="271"/>
      <c r="AM768" s="271"/>
      <c r="AN768" s="271"/>
      <c r="AO768" s="271"/>
      <c r="AP768" s="271"/>
      <c r="AQ768" s="271"/>
      <c r="AR768" s="271"/>
      <c r="AS768" s="271"/>
      <c r="AT768" s="271"/>
      <c r="AU768" s="271"/>
      <c r="AV768" s="271"/>
      <c r="AW768" s="271"/>
      <c r="AX768" s="271"/>
      <c r="AY768" s="271"/>
    </row>
    <row r="769" spans="1:51" ht="15.75" customHeight="1" x14ac:dyDescent="0.25">
      <c r="A769" s="271"/>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c r="AL769" s="271"/>
      <c r="AM769" s="271"/>
      <c r="AN769" s="271"/>
      <c r="AO769" s="271"/>
      <c r="AP769" s="271"/>
      <c r="AQ769" s="271"/>
      <c r="AR769" s="271"/>
      <c r="AS769" s="271"/>
      <c r="AT769" s="271"/>
      <c r="AU769" s="271"/>
      <c r="AV769" s="271"/>
      <c r="AW769" s="271"/>
      <c r="AX769" s="271"/>
      <c r="AY769" s="271"/>
    </row>
    <row r="770" spans="1:51" ht="15.75" customHeight="1" x14ac:dyDescent="0.25">
      <c r="A770" s="271"/>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c r="AL770" s="271"/>
      <c r="AM770" s="271"/>
      <c r="AN770" s="271"/>
      <c r="AO770" s="271"/>
      <c r="AP770" s="271"/>
      <c r="AQ770" s="271"/>
      <c r="AR770" s="271"/>
      <c r="AS770" s="271"/>
      <c r="AT770" s="271"/>
      <c r="AU770" s="271"/>
      <c r="AV770" s="271"/>
      <c r="AW770" s="271"/>
      <c r="AX770" s="271"/>
      <c r="AY770" s="271"/>
    </row>
    <row r="771" spans="1:51" ht="15.75" customHeight="1" x14ac:dyDescent="0.25">
      <c r="A771" s="271"/>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c r="AL771" s="271"/>
      <c r="AM771" s="271"/>
      <c r="AN771" s="271"/>
      <c r="AO771" s="271"/>
      <c r="AP771" s="271"/>
      <c r="AQ771" s="271"/>
      <c r="AR771" s="271"/>
      <c r="AS771" s="271"/>
      <c r="AT771" s="271"/>
      <c r="AU771" s="271"/>
      <c r="AV771" s="271"/>
      <c r="AW771" s="271"/>
      <c r="AX771" s="271"/>
      <c r="AY771" s="271"/>
    </row>
    <row r="772" spans="1:51" ht="15.75" customHeight="1" x14ac:dyDescent="0.25">
      <c r="A772" s="271"/>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c r="AL772" s="271"/>
      <c r="AM772" s="271"/>
      <c r="AN772" s="271"/>
      <c r="AO772" s="271"/>
      <c r="AP772" s="271"/>
      <c r="AQ772" s="271"/>
      <c r="AR772" s="271"/>
      <c r="AS772" s="271"/>
      <c r="AT772" s="271"/>
      <c r="AU772" s="271"/>
      <c r="AV772" s="271"/>
      <c r="AW772" s="271"/>
      <c r="AX772" s="271"/>
      <c r="AY772" s="271"/>
    </row>
    <row r="773" spans="1:51" ht="15.75" customHeight="1" x14ac:dyDescent="0.25">
      <c r="A773" s="271"/>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c r="AL773" s="271"/>
      <c r="AM773" s="271"/>
      <c r="AN773" s="271"/>
      <c r="AO773" s="271"/>
      <c r="AP773" s="271"/>
      <c r="AQ773" s="271"/>
      <c r="AR773" s="271"/>
      <c r="AS773" s="271"/>
      <c r="AT773" s="271"/>
      <c r="AU773" s="271"/>
      <c r="AV773" s="271"/>
      <c r="AW773" s="271"/>
      <c r="AX773" s="271"/>
      <c r="AY773" s="271"/>
    </row>
    <row r="774" spans="1:51" ht="15.75" customHeight="1" x14ac:dyDescent="0.25">
      <c r="A774" s="271"/>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c r="AL774" s="271"/>
      <c r="AM774" s="271"/>
      <c r="AN774" s="271"/>
      <c r="AO774" s="271"/>
      <c r="AP774" s="271"/>
      <c r="AQ774" s="271"/>
      <c r="AR774" s="271"/>
      <c r="AS774" s="271"/>
      <c r="AT774" s="271"/>
      <c r="AU774" s="271"/>
      <c r="AV774" s="271"/>
      <c r="AW774" s="271"/>
      <c r="AX774" s="271"/>
      <c r="AY774" s="271"/>
    </row>
    <row r="775" spans="1:51" ht="15.75" customHeight="1" x14ac:dyDescent="0.25">
      <c r="A775" s="271"/>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c r="AL775" s="271"/>
      <c r="AM775" s="271"/>
      <c r="AN775" s="271"/>
      <c r="AO775" s="271"/>
      <c r="AP775" s="271"/>
      <c r="AQ775" s="271"/>
      <c r="AR775" s="271"/>
      <c r="AS775" s="271"/>
      <c r="AT775" s="271"/>
      <c r="AU775" s="271"/>
      <c r="AV775" s="271"/>
      <c r="AW775" s="271"/>
      <c r="AX775" s="271"/>
      <c r="AY775" s="271"/>
    </row>
    <row r="776" spans="1:51" ht="15.75" customHeight="1" x14ac:dyDescent="0.25">
      <c r="A776" s="271"/>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c r="AL776" s="271"/>
      <c r="AM776" s="271"/>
      <c r="AN776" s="271"/>
      <c r="AO776" s="271"/>
      <c r="AP776" s="271"/>
      <c r="AQ776" s="271"/>
      <c r="AR776" s="271"/>
      <c r="AS776" s="271"/>
      <c r="AT776" s="271"/>
      <c r="AU776" s="271"/>
      <c r="AV776" s="271"/>
      <c r="AW776" s="271"/>
      <c r="AX776" s="271"/>
      <c r="AY776" s="271"/>
    </row>
    <row r="777" spans="1:51" ht="15.75" customHeight="1" x14ac:dyDescent="0.25">
      <c r="A777" s="271"/>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c r="AL777" s="271"/>
      <c r="AM777" s="271"/>
      <c r="AN777" s="271"/>
      <c r="AO777" s="271"/>
      <c r="AP777" s="271"/>
      <c r="AQ777" s="271"/>
      <c r="AR777" s="271"/>
      <c r="AS777" s="271"/>
      <c r="AT777" s="271"/>
      <c r="AU777" s="271"/>
      <c r="AV777" s="271"/>
      <c r="AW777" s="271"/>
      <c r="AX777" s="271"/>
      <c r="AY777" s="271"/>
    </row>
    <row r="778" spans="1:51" ht="15.75" customHeight="1" x14ac:dyDescent="0.25">
      <c r="A778" s="271"/>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c r="AL778" s="271"/>
      <c r="AM778" s="271"/>
      <c r="AN778" s="271"/>
      <c r="AO778" s="271"/>
      <c r="AP778" s="271"/>
      <c r="AQ778" s="271"/>
      <c r="AR778" s="271"/>
      <c r="AS778" s="271"/>
      <c r="AT778" s="271"/>
      <c r="AU778" s="271"/>
      <c r="AV778" s="271"/>
      <c r="AW778" s="271"/>
      <c r="AX778" s="271"/>
      <c r="AY778" s="271"/>
    </row>
    <row r="779" spans="1:51" ht="15.75" customHeight="1" x14ac:dyDescent="0.25">
      <c r="A779" s="271"/>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c r="AL779" s="271"/>
      <c r="AM779" s="271"/>
      <c r="AN779" s="271"/>
      <c r="AO779" s="271"/>
      <c r="AP779" s="271"/>
      <c r="AQ779" s="271"/>
      <c r="AR779" s="271"/>
      <c r="AS779" s="271"/>
      <c r="AT779" s="271"/>
      <c r="AU779" s="271"/>
      <c r="AV779" s="271"/>
      <c r="AW779" s="271"/>
      <c r="AX779" s="271"/>
      <c r="AY779" s="271"/>
    </row>
    <row r="780" spans="1:51" ht="15.75" customHeight="1" x14ac:dyDescent="0.25">
      <c r="A780" s="271"/>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c r="AL780" s="271"/>
      <c r="AM780" s="271"/>
      <c r="AN780" s="271"/>
      <c r="AO780" s="271"/>
      <c r="AP780" s="271"/>
      <c r="AQ780" s="271"/>
      <c r="AR780" s="271"/>
      <c r="AS780" s="271"/>
      <c r="AT780" s="271"/>
      <c r="AU780" s="271"/>
      <c r="AV780" s="271"/>
      <c r="AW780" s="271"/>
      <c r="AX780" s="271"/>
      <c r="AY780" s="271"/>
    </row>
    <row r="781" spans="1:51" ht="15.75" customHeight="1" x14ac:dyDescent="0.25">
      <c r="A781" s="271"/>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c r="AL781" s="271"/>
      <c r="AM781" s="271"/>
      <c r="AN781" s="271"/>
      <c r="AO781" s="271"/>
      <c r="AP781" s="271"/>
      <c r="AQ781" s="271"/>
      <c r="AR781" s="271"/>
      <c r="AS781" s="271"/>
      <c r="AT781" s="271"/>
      <c r="AU781" s="271"/>
      <c r="AV781" s="271"/>
      <c r="AW781" s="271"/>
      <c r="AX781" s="271"/>
      <c r="AY781" s="271"/>
    </row>
    <row r="782" spans="1:51" ht="15.75" customHeight="1" x14ac:dyDescent="0.25">
      <c r="A782" s="271"/>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c r="AL782" s="271"/>
      <c r="AM782" s="271"/>
      <c r="AN782" s="271"/>
      <c r="AO782" s="271"/>
      <c r="AP782" s="271"/>
      <c r="AQ782" s="271"/>
      <c r="AR782" s="271"/>
      <c r="AS782" s="271"/>
      <c r="AT782" s="271"/>
      <c r="AU782" s="271"/>
      <c r="AV782" s="271"/>
      <c r="AW782" s="271"/>
      <c r="AX782" s="271"/>
      <c r="AY782" s="271"/>
    </row>
    <row r="783" spans="1:51" ht="15.75" customHeight="1" x14ac:dyDescent="0.25">
      <c r="A783" s="271"/>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c r="AL783" s="271"/>
      <c r="AM783" s="271"/>
      <c r="AN783" s="271"/>
      <c r="AO783" s="271"/>
      <c r="AP783" s="271"/>
      <c r="AQ783" s="271"/>
      <c r="AR783" s="271"/>
      <c r="AS783" s="271"/>
      <c r="AT783" s="271"/>
      <c r="AU783" s="271"/>
      <c r="AV783" s="271"/>
      <c r="AW783" s="271"/>
      <c r="AX783" s="271"/>
      <c r="AY783" s="271"/>
    </row>
    <row r="784" spans="1:51" ht="15.75" customHeight="1" x14ac:dyDescent="0.25">
      <c r="A784" s="271"/>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c r="AL784" s="271"/>
      <c r="AM784" s="271"/>
      <c r="AN784" s="271"/>
      <c r="AO784" s="271"/>
      <c r="AP784" s="271"/>
      <c r="AQ784" s="271"/>
      <c r="AR784" s="271"/>
      <c r="AS784" s="271"/>
      <c r="AT784" s="271"/>
      <c r="AU784" s="271"/>
      <c r="AV784" s="271"/>
      <c r="AW784" s="271"/>
      <c r="AX784" s="271"/>
      <c r="AY784" s="271"/>
    </row>
    <row r="785" spans="1:51" ht="15.75" customHeight="1" x14ac:dyDescent="0.25">
      <c r="A785" s="271"/>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c r="AL785" s="271"/>
      <c r="AM785" s="271"/>
      <c r="AN785" s="271"/>
      <c r="AO785" s="271"/>
      <c r="AP785" s="271"/>
      <c r="AQ785" s="271"/>
      <c r="AR785" s="271"/>
      <c r="AS785" s="271"/>
      <c r="AT785" s="271"/>
      <c r="AU785" s="271"/>
      <c r="AV785" s="271"/>
      <c r="AW785" s="271"/>
      <c r="AX785" s="271"/>
      <c r="AY785" s="271"/>
    </row>
    <row r="786" spans="1:51" ht="15.75" customHeight="1" x14ac:dyDescent="0.25">
      <c r="A786" s="271"/>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c r="AL786" s="271"/>
      <c r="AM786" s="271"/>
      <c r="AN786" s="271"/>
      <c r="AO786" s="271"/>
      <c r="AP786" s="271"/>
      <c r="AQ786" s="271"/>
      <c r="AR786" s="271"/>
      <c r="AS786" s="271"/>
      <c r="AT786" s="271"/>
      <c r="AU786" s="271"/>
      <c r="AV786" s="271"/>
      <c r="AW786" s="271"/>
      <c r="AX786" s="271"/>
      <c r="AY786" s="271"/>
    </row>
    <row r="787" spans="1:51" ht="15.75" customHeight="1" x14ac:dyDescent="0.25">
      <c r="A787" s="271"/>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c r="AL787" s="271"/>
      <c r="AM787" s="271"/>
      <c r="AN787" s="271"/>
      <c r="AO787" s="271"/>
      <c r="AP787" s="271"/>
      <c r="AQ787" s="271"/>
      <c r="AR787" s="271"/>
      <c r="AS787" s="271"/>
      <c r="AT787" s="271"/>
      <c r="AU787" s="271"/>
      <c r="AV787" s="271"/>
      <c r="AW787" s="271"/>
      <c r="AX787" s="271"/>
      <c r="AY787" s="271"/>
    </row>
    <row r="788" spans="1:51" ht="15.75" customHeight="1" x14ac:dyDescent="0.25">
      <c r="A788" s="271"/>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c r="AL788" s="271"/>
      <c r="AM788" s="271"/>
      <c r="AN788" s="271"/>
      <c r="AO788" s="271"/>
      <c r="AP788" s="271"/>
      <c r="AQ788" s="271"/>
      <c r="AR788" s="271"/>
      <c r="AS788" s="271"/>
      <c r="AT788" s="271"/>
      <c r="AU788" s="271"/>
      <c r="AV788" s="271"/>
      <c r="AW788" s="271"/>
      <c r="AX788" s="271"/>
      <c r="AY788" s="271"/>
    </row>
    <row r="789" spans="1:51" ht="15.75" customHeight="1" x14ac:dyDescent="0.25">
      <c r="A789" s="271"/>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c r="AL789" s="271"/>
      <c r="AM789" s="271"/>
      <c r="AN789" s="271"/>
      <c r="AO789" s="271"/>
      <c r="AP789" s="271"/>
      <c r="AQ789" s="271"/>
      <c r="AR789" s="271"/>
      <c r="AS789" s="271"/>
      <c r="AT789" s="271"/>
      <c r="AU789" s="271"/>
      <c r="AV789" s="271"/>
      <c r="AW789" s="271"/>
      <c r="AX789" s="271"/>
      <c r="AY789" s="271"/>
    </row>
    <row r="790" spans="1:51" ht="15.75" customHeight="1" x14ac:dyDescent="0.25">
      <c r="A790" s="271"/>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c r="AL790" s="271"/>
      <c r="AM790" s="271"/>
      <c r="AN790" s="271"/>
      <c r="AO790" s="271"/>
      <c r="AP790" s="271"/>
      <c r="AQ790" s="271"/>
      <c r="AR790" s="271"/>
      <c r="AS790" s="271"/>
      <c r="AT790" s="271"/>
      <c r="AU790" s="271"/>
      <c r="AV790" s="271"/>
      <c r="AW790" s="271"/>
      <c r="AX790" s="271"/>
      <c r="AY790" s="271"/>
    </row>
    <row r="791" spans="1:51" ht="15.75" customHeight="1" x14ac:dyDescent="0.25">
      <c r="A791" s="271"/>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c r="AL791" s="271"/>
      <c r="AM791" s="271"/>
      <c r="AN791" s="271"/>
      <c r="AO791" s="271"/>
      <c r="AP791" s="271"/>
      <c r="AQ791" s="271"/>
      <c r="AR791" s="271"/>
      <c r="AS791" s="271"/>
      <c r="AT791" s="271"/>
      <c r="AU791" s="271"/>
      <c r="AV791" s="271"/>
      <c r="AW791" s="271"/>
      <c r="AX791" s="271"/>
      <c r="AY791" s="271"/>
    </row>
    <row r="792" spans="1:51" ht="15.75" customHeight="1" x14ac:dyDescent="0.25">
      <c r="A792" s="271"/>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c r="AL792" s="271"/>
      <c r="AM792" s="271"/>
      <c r="AN792" s="271"/>
      <c r="AO792" s="271"/>
      <c r="AP792" s="271"/>
      <c r="AQ792" s="271"/>
      <c r="AR792" s="271"/>
      <c r="AS792" s="271"/>
      <c r="AT792" s="271"/>
      <c r="AU792" s="271"/>
      <c r="AV792" s="271"/>
      <c r="AW792" s="271"/>
      <c r="AX792" s="271"/>
      <c r="AY792" s="271"/>
    </row>
    <row r="793" spans="1:51" ht="15.75" customHeight="1" x14ac:dyDescent="0.25">
      <c r="A793" s="271"/>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c r="AL793" s="271"/>
      <c r="AM793" s="271"/>
      <c r="AN793" s="271"/>
      <c r="AO793" s="271"/>
      <c r="AP793" s="271"/>
      <c r="AQ793" s="271"/>
      <c r="AR793" s="271"/>
      <c r="AS793" s="271"/>
      <c r="AT793" s="271"/>
      <c r="AU793" s="271"/>
      <c r="AV793" s="271"/>
      <c r="AW793" s="271"/>
      <c r="AX793" s="271"/>
      <c r="AY793" s="271"/>
    </row>
    <row r="794" spans="1:51" ht="15.75" customHeight="1" x14ac:dyDescent="0.25">
      <c r="A794" s="271"/>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c r="AL794" s="271"/>
      <c r="AM794" s="271"/>
      <c r="AN794" s="271"/>
      <c r="AO794" s="271"/>
      <c r="AP794" s="271"/>
      <c r="AQ794" s="271"/>
      <c r="AR794" s="271"/>
      <c r="AS794" s="271"/>
      <c r="AT794" s="271"/>
      <c r="AU794" s="271"/>
      <c r="AV794" s="271"/>
      <c r="AW794" s="271"/>
      <c r="AX794" s="271"/>
      <c r="AY794" s="271"/>
    </row>
    <row r="795" spans="1:51" ht="15.75" customHeight="1" x14ac:dyDescent="0.25">
      <c r="A795" s="271"/>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c r="AL795" s="271"/>
      <c r="AM795" s="271"/>
      <c r="AN795" s="271"/>
      <c r="AO795" s="271"/>
      <c r="AP795" s="271"/>
      <c r="AQ795" s="271"/>
      <c r="AR795" s="271"/>
      <c r="AS795" s="271"/>
      <c r="AT795" s="271"/>
      <c r="AU795" s="271"/>
      <c r="AV795" s="271"/>
      <c r="AW795" s="271"/>
      <c r="AX795" s="271"/>
      <c r="AY795" s="271"/>
    </row>
    <row r="796" spans="1:51" ht="15.75" customHeight="1" x14ac:dyDescent="0.25">
      <c r="A796" s="271"/>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c r="AL796" s="271"/>
      <c r="AM796" s="271"/>
      <c r="AN796" s="271"/>
      <c r="AO796" s="271"/>
      <c r="AP796" s="271"/>
      <c r="AQ796" s="271"/>
      <c r="AR796" s="271"/>
      <c r="AS796" s="271"/>
      <c r="AT796" s="271"/>
      <c r="AU796" s="271"/>
      <c r="AV796" s="271"/>
      <c r="AW796" s="271"/>
      <c r="AX796" s="271"/>
      <c r="AY796" s="271"/>
    </row>
    <row r="797" spans="1:51" ht="15.75" customHeight="1" x14ac:dyDescent="0.25">
      <c r="A797" s="271"/>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c r="AL797" s="271"/>
      <c r="AM797" s="271"/>
      <c r="AN797" s="271"/>
      <c r="AO797" s="271"/>
      <c r="AP797" s="271"/>
      <c r="AQ797" s="271"/>
      <c r="AR797" s="271"/>
      <c r="AS797" s="271"/>
      <c r="AT797" s="271"/>
      <c r="AU797" s="271"/>
      <c r="AV797" s="271"/>
      <c r="AW797" s="271"/>
      <c r="AX797" s="271"/>
      <c r="AY797" s="271"/>
    </row>
    <row r="798" spans="1:51" ht="15.75" customHeight="1" x14ac:dyDescent="0.25">
      <c r="A798" s="271"/>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c r="AL798" s="271"/>
      <c r="AM798" s="271"/>
      <c r="AN798" s="271"/>
      <c r="AO798" s="271"/>
      <c r="AP798" s="271"/>
      <c r="AQ798" s="271"/>
      <c r="AR798" s="271"/>
      <c r="AS798" s="271"/>
      <c r="AT798" s="271"/>
      <c r="AU798" s="271"/>
      <c r="AV798" s="271"/>
      <c r="AW798" s="271"/>
      <c r="AX798" s="271"/>
      <c r="AY798" s="271"/>
    </row>
    <row r="799" spans="1:51" ht="15.75" customHeight="1" x14ac:dyDescent="0.25">
      <c r="A799" s="271"/>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c r="AL799" s="271"/>
      <c r="AM799" s="271"/>
      <c r="AN799" s="271"/>
      <c r="AO799" s="271"/>
      <c r="AP799" s="271"/>
      <c r="AQ799" s="271"/>
      <c r="AR799" s="271"/>
      <c r="AS799" s="271"/>
      <c r="AT799" s="271"/>
      <c r="AU799" s="271"/>
      <c r="AV799" s="271"/>
      <c r="AW799" s="271"/>
      <c r="AX799" s="271"/>
      <c r="AY799" s="271"/>
    </row>
    <row r="800" spans="1:51" ht="15.75" customHeight="1" x14ac:dyDescent="0.25">
      <c r="A800" s="271"/>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c r="AL800" s="271"/>
      <c r="AM800" s="271"/>
      <c r="AN800" s="271"/>
      <c r="AO800" s="271"/>
      <c r="AP800" s="271"/>
      <c r="AQ800" s="271"/>
      <c r="AR800" s="271"/>
      <c r="AS800" s="271"/>
      <c r="AT800" s="271"/>
      <c r="AU800" s="271"/>
      <c r="AV800" s="271"/>
      <c r="AW800" s="271"/>
      <c r="AX800" s="271"/>
      <c r="AY800" s="271"/>
    </row>
    <row r="801" spans="1:51" ht="15.75" customHeight="1" x14ac:dyDescent="0.25">
      <c r="A801" s="271"/>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c r="AL801" s="271"/>
      <c r="AM801" s="271"/>
      <c r="AN801" s="271"/>
      <c r="AO801" s="271"/>
      <c r="AP801" s="271"/>
      <c r="AQ801" s="271"/>
      <c r="AR801" s="271"/>
      <c r="AS801" s="271"/>
      <c r="AT801" s="271"/>
      <c r="AU801" s="271"/>
      <c r="AV801" s="271"/>
      <c r="AW801" s="271"/>
      <c r="AX801" s="271"/>
      <c r="AY801" s="271"/>
    </row>
    <row r="802" spans="1:51" ht="15.75" customHeight="1" x14ac:dyDescent="0.25">
      <c r="A802" s="271"/>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c r="AL802" s="271"/>
      <c r="AM802" s="271"/>
      <c r="AN802" s="271"/>
      <c r="AO802" s="271"/>
      <c r="AP802" s="271"/>
      <c r="AQ802" s="271"/>
      <c r="AR802" s="271"/>
      <c r="AS802" s="271"/>
      <c r="AT802" s="271"/>
      <c r="AU802" s="271"/>
      <c r="AV802" s="271"/>
      <c r="AW802" s="271"/>
      <c r="AX802" s="271"/>
      <c r="AY802" s="271"/>
    </row>
    <row r="803" spans="1:51" ht="15.75" customHeight="1" x14ac:dyDescent="0.25">
      <c r="A803" s="271"/>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c r="AL803" s="271"/>
      <c r="AM803" s="271"/>
      <c r="AN803" s="271"/>
      <c r="AO803" s="271"/>
      <c r="AP803" s="271"/>
      <c r="AQ803" s="271"/>
      <c r="AR803" s="271"/>
      <c r="AS803" s="271"/>
      <c r="AT803" s="271"/>
      <c r="AU803" s="271"/>
      <c r="AV803" s="271"/>
      <c r="AW803" s="271"/>
      <c r="AX803" s="271"/>
      <c r="AY803" s="271"/>
    </row>
    <row r="804" spans="1:51" ht="15.75" customHeight="1" x14ac:dyDescent="0.25">
      <c r="A804" s="271"/>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c r="AL804" s="271"/>
      <c r="AM804" s="271"/>
      <c r="AN804" s="271"/>
      <c r="AO804" s="271"/>
      <c r="AP804" s="271"/>
      <c r="AQ804" s="271"/>
      <c r="AR804" s="271"/>
      <c r="AS804" s="271"/>
      <c r="AT804" s="271"/>
      <c r="AU804" s="271"/>
      <c r="AV804" s="271"/>
      <c r="AW804" s="271"/>
      <c r="AX804" s="271"/>
      <c r="AY804" s="271"/>
    </row>
    <row r="805" spans="1:51" ht="15.75" customHeight="1" x14ac:dyDescent="0.25">
      <c r="A805" s="271"/>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c r="AL805" s="271"/>
      <c r="AM805" s="271"/>
      <c r="AN805" s="271"/>
      <c r="AO805" s="271"/>
      <c r="AP805" s="271"/>
      <c r="AQ805" s="271"/>
      <c r="AR805" s="271"/>
      <c r="AS805" s="271"/>
      <c r="AT805" s="271"/>
      <c r="AU805" s="271"/>
      <c r="AV805" s="271"/>
      <c r="AW805" s="271"/>
      <c r="AX805" s="271"/>
      <c r="AY805" s="271"/>
    </row>
    <row r="806" spans="1:51" ht="15.75" customHeight="1" x14ac:dyDescent="0.25">
      <c r="A806" s="271"/>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c r="AL806" s="271"/>
      <c r="AM806" s="271"/>
      <c r="AN806" s="271"/>
      <c r="AO806" s="271"/>
      <c r="AP806" s="271"/>
      <c r="AQ806" s="271"/>
      <c r="AR806" s="271"/>
      <c r="AS806" s="271"/>
      <c r="AT806" s="271"/>
      <c r="AU806" s="271"/>
      <c r="AV806" s="271"/>
      <c r="AW806" s="271"/>
      <c r="AX806" s="271"/>
      <c r="AY806" s="271"/>
    </row>
    <row r="807" spans="1:51" ht="15.75" customHeight="1" x14ac:dyDescent="0.25">
      <c r="A807" s="271"/>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c r="AL807" s="271"/>
      <c r="AM807" s="271"/>
      <c r="AN807" s="271"/>
      <c r="AO807" s="271"/>
      <c r="AP807" s="271"/>
      <c r="AQ807" s="271"/>
      <c r="AR807" s="271"/>
      <c r="AS807" s="271"/>
      <c r="AT807" s="271"/>
      <c r="AU807" s="271"/>
      <c r="AV807" s="271"/>
      <c r="AW807" s="271"/>
      <c r="AX807" s="271"/>
      <c r="AY807" s="271"/>
    </row>
    <row r="808" spans="1:51" ht="15.75" customHeight="1" x14ac:dyDescent="0.25">
      <c r="A808" s="271"/>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c r="AL808" s="271"/>
      <c r="AM808" s="271"/>
      <c r="AN808" s="271"/>
      <c r="AO808" s="271"/>
      <c r="AP808" s="271"/>
      <c r="AQ808" s="271"/>
      <c r="AR808" s="271"/>
      <c r="AS808" s="271"/>
      <c r="AT808" s="271"/>
      <c r="AU808" s="271"/>
      <c r="AV808" s="271"/>
      <c r="AW808" s="271"/>
      <c r="AX808" s="271"/>
      <c r="AY808" s="271"/>
    </row>
    <row r="809" spans="1:51" ht="15.75" customHeight="1" x14ac:dyDescent="0.25">
      <c r="A809" s="271"/>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c r="AL809" s="271"/>
      <c r="AM809" s="271"/>
      <c r="AN809" s="271"/>
      <c r="AO809" s="271"/>
      <c r="AP809" s="271"/>
      <c r="AQ809" s="271"/>
      <c r="AR809" s="271"/>
      <c r="AS809" s="271"/>
      <c r="AT809" s="271"/>
      <c r="AU809" s="271"/>
      <c r="AV809" s="271"/>
      <c r="AW809" s="271"/>
      <c r="AX809" s="271"/>
      <c r="AY809" s="271"/>
    </row>
    <row r="810" spans="1:51" ht="15.75" customHeight="1" x14ac:dyDescent="0.25">
      <c r="A810" s="271"/>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c r="AL810" s="271"/>
      <c r="AM810" s="271"/>
      <c r="AN810" s="271"/>
      <c r="AO810" s="271"/>
      <c r="AP810" s="271"/>
      <c r="AQ810" s="271"/>
      <c r="AR810" s="271"/>
      <c r="AS810" s="271"/>
      <c r="AT810" s="271"/>
      <c r="AU810" s="271"/>
      <c r="AV810" s="271"/>
      <c r="AW810" s="271"/>
      <c r="AX810" s="271"/>
      <c r="AY810" s="271"/>
    </row>
    <row r="811" spans="1:51" ht="15.75" customHeight="1" x14ac:dyDescent="0.25">
      <c r="A811" s="271"/>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c r="AL811" s="271"/>
      <c r="AM811" s="271"/>
      <c r="AN811" s="271"/>
      <c r="AO811" s="271"/>
      <c r="AP811" s="271"/>
      <c r="AQ811" s="271"/>
      <c r="AR811" s="271"/>
      <c r="AS811" s="271"/>
      <c r="AT811" s="271"/>
      <c r="AU811" s="271"/>
      <c r="AV811" s="271"/>
      <c r="AW811" s="271"/>
      <c r="AX811" s="271"/>
      <c r="AY811" s="271"/>
    </row>
    <row r="812" spans="1:51" ht="15.75" customHeight="1" x14ac:dyDescent="0.25">
      <c r="A812" s="271"/>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c r="AL812" s="271"/>
      <c r="AM812" s="271"/>
      <c r="AN812" s="271"/>
      <c r="AO812" s="271"/>
      <c r="AP812" s="271"/>
      <c r="AQ812" s="271"/>
      <c r="AR812" s="271"/>
      <c r="AS812" s="271"/>
      <c r="AT812" s="271"/>
      <c r="AU812" s="271"/>
      <c r="AV812" s="271"/>
      <c r="AW812" s="271"/>
      <c r="AX812" s="271"/>
      <c r="AY812" s="271"/>
    </row>
    <row r="813" spans="1:51" ht="15.75" customHeight="1" x14ac:dyDescent="0.25">
      <c r="A813" s="271"/>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c r="AL813" s="271"/>
      <c r="AM813" s="271"/>
      <c r="AN813" s="271"/>
      <c r="AO813" s="271"/>
      <c r="AP813" s="271"/>
      <c r="AQ813" s="271"/>
      <c r="AR813" s="271"/>
      <c r="AS813" s="271"/>
      <c r="AT813" s="271"/>
      <c r="AU813" s="271"/>
      <c r="AV813" s="271"/>
      <c r="AW813" s="271"/>
      <c r="AX813" s="271"/>
      <c r="AY813" s="271"/>
    </row>
    <row r="814" spans="1:51" ht="15.75" customHeight="1" x14ac:dyDescent="0.25">
      <c r="A814" s="271"/>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c r="AL814" s="271"/>
      <c r="AM814" s="271"/>
      <c r="AN814" s="271"/>
      <c r="AO814" s="271"/>
      <c r="AP814" s="271"/>
      <c r="AQ814" s="271"/>
      <c r="AR814" s="271"/>
      <c r="AS814" s="271"/>
      <c r="AT814" s="271"/>
      <c r="AU814" s="271"/>
      <c r="AV814" s="271"/>
      <c r="AW814" s="271"/>
      <c r="AX814" s="271"/>
      <c r="AY814" s="271"/>
    </row>
    <row r="815" spans="1:51" ht="15.75" customHeight="1" x14ac:dyDescent="0.25">
      <c r="A815" s="271"/>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c r="AL815" s="271"/>
      <c r="AM815" s="271"/>
      <c r="AN815" s="271"/>
      <c r="AO815" s="271"/>
      <c r="AP815" s="271"/>
      <c r="AQ815" s="271"/>
      <c r="AR815" s="271"/>
      <c r="AS815" s="271"/>
      <c r="AT815" s="271"/>
      <c r="AU815" s="271"/>
      <c r="AV815" s="271"/>
      <c r="AW815" s="271"/>
      <c r="AX815" s="271"/>
      <c r="AY815" s="271"/>
    </row>
    <row r="816" spans="1:51" ht="15.75" customHeight="1" x14ac:dyDescent="0.25">
      <c r="A816" s="271"/>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c r="AL816" s="271"/>
      <c r="AM816" s="271"/>
      <c r="AN816" s="271"/>
      <c r="AO816" s="271"/>
      <c r="AP816" s="271"/>
      <c r="AQ816" s="271"/>
      <c r="AR816" s="271"/>
      <c r="AS816" s="271"/>
      <c r="AT816" s="271"/>
      <c r="AU816" s="271"/>
      <c r="AV816" s="271"/>
      <c r="AW816" s="271"/>
      <c r="AX816" s="271"/>
      <c r="AY816" s="271"/>
    </row>
    <row r="817" spans="1:51" ht="15.75" customHeight="1" x14ac:dyDescent="0.25">
      <c r="A817" s="271"/>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c r="AL817" s="271"/>
      <c r="AM817" s="271"/>
      <c r="AN817" s="271"/>
      <c r="AO817" s="271"/>
      <c r="AP817" s="271"/>
      <c r="AQ817" s="271"/>
      <c r="AR817" s="271"/>
      <c r="AS817" s="271"/>
      <c r="AT817" s="271"/>
      <c r="AU817" s="271"/>
      <c r="AV817" s="271"/>
      <c r="AW817" s="271"/>
      <c r="AX817" s="271"/>
      <c r="AY817" s="271"/>
    </row>
    <row r="818" spans="1:51" ht="15.75" customHeight="1" x14ac:dyDescent="0.25">
      <c r="A818" s="271"/>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c r="AL818" s="271"/>
      <c r="AM818" s="271"/>
      <c r="AN818" s="271"/>
      <c r="AO818" s="271"/>
      <c r="AP818" s="271"/>
      <c r="AQ818" s="271"/>
      <c r="AR818" s="271"/>
      <c r="AS818" s="271"/>
      <c r="AT818" s="271"/>
      <c r="AU818" s="271"/>
      <c r="AV818" s="271"/>
      <c r="AW818" s="271"/>
      <c r="AX818" s="271"/>
      <c r="AY818" s="271"/>
    </row>
    <row r="819" spans="1:51" ht="15.75" customHeight="1" x14ac:dyDescent="0.25">
      <c r="A819" s="271"/>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c r="AL819" s="271"/>
      <c r="AM819" s="271"/>
      <c r="AN819" s="271"/>
      <c r="AO819" s="271"/>
      <c r="AP819" s="271"/>
      <c r="AQ819" s="271"/>
      <c r="AR819" s="271"/>
      <c r="AS819" s="271"/>
      <c r="AT819" s="271"/>
      <c r="AU819" s="271"/>
      <c r="AV819" s="271"/>
      <c r="AW819" s="271"/>
      <c r="AX819" s="271"/>
      <c r="AY819" s="271"/>
    </row>
    <row r="820" spans="1:51" ht="15.75" customHeight="1" x14ac:dyDescent="0.25">
      <c r="A820" s="271"/>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c r="AL820" s="271"/>
      <c r="AM820" s="271"/>
      <c r="AN820" s="271"/>
      <c r="AO820" s="271"/>
      <c r="AP820" s="271"/>
      <c r="AQ820" s="271"/>
      <c r="AR820" s="271"/>
      <c r="AS820" s="271"/>
      <c r="AT820" s="271"/>
      <c r="AU820" s="271"/>
      <c r="AV820" s="271"/>
      <c r="AW820" s="271"/>
      <c r="AX820" s="271"/>
      <c r="AY820" s="271"/>
    </row>
    <row r="821" spans="1:51" ht="15.75" customHeight="1" x14ac:dyDescent="0.25">
      <c r="A821" s="271"/>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c r="AL821" s="271"/>
      <c r="AM821" s="271"/>
      <c r="AN821" s="271"/>
      <c r="AO821" s="271"/>
      <c r="AP821" s="271"/>
      <c r="AQ821" s="271"/>
      <c r="AR821" s="271"/>
      <c r="AS821" s="271"/>
      <c r="AT821" s="271"/>
      <c r="AU821" s="271"/>
      <c r="AV821" s="271"/>
      <c r="AW821" s="271"/>
      <c r="AX821" s="271"/>
      <c r="AY821" s="271"/>
    </row>
    <row r="822" spans="1:51" ht="15.75" customHeight="1" x14ac:dyDescent="0.25">
      <c r="A822" s="271"/>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c r="AL822" s="271"/>
      <c r="AM822" s="271"/>
      <c r="AN822" s="271"/>
      <c r="AO822" s="271"/>
      <c r="AP822" s="271"/>
      <c r="AQ822" s="271"/>
      <c r="AR822" s="271"/>
      <c r="AS822" s="271"/>
      <c r="AT822" s="271"/>
      <c r="AU822" s="271"/>
      <c r="AV822" s="271"/>
      <c r="AW822" s="271"/>
      <c r="AX822" s="271"/>
      <c r="AY822" s="271"/>
    </row>
    <row r="823" spans="1:51" ht="15.75" customHeight="1" x14ac:dyDescent="0.25">
      <c r="A823" s="271"/>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c r="AL823" s="271"/>
      <c r="AM823" s="271"/>
      <c r="AN823" s="271"/>
      <c r="AO823" s="271"/>
      <c r="AP823" s="271"/>
      <c r="AQ823" s="271"/>
      <c r="AR823" s="271"/>
      <c r="AS823" s="271"/>
      <c r="AT823" s="271"/>
      <c r="AU823" s="271"/>
      <c r="AV823" s="271"/>
      <c r="AW823" s="271"/>
      <c r="AX823" s="271"/>
      <c r="AY823" s="271"/>
    </row>
    <row r="824" spans="1:51" ht="15.75" customHeight="1" x14ac:dyDescent="0.25">
      <c r="A824" s="271"/>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c r="AL824" s="271"/>
      <c r="AM824" s="271"/>
      <c r="AN824" s="271"/>
      <c r="AO824" s="271"/>
      <c r="AP824" s="271"/>
      <c r="AQ824" s="271"/>
      <c r="AR824" s="271"/>
      <c r="AS824" s="271"/>
      <c r="AT824" s="271"/>
      <c r="AU824" s="271"/>
      <c r="AV824" s="271"/>
      <c r="AW824" s="271"/>
      <c r="AX824" s="271"/>
      <c r="AY824" s="271"/>
    </row>
    <row r="825" spans="1:51" ht="15.75" customHeight="1" x14ac:dyDescent="0.25">
      <c r="A825" s="271"/>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c r="AL825" s="271"/>
      <c r="AM825" s="271"/>
      <c r="AN825" s="271"/>
      <c r="AO825" s="271"/>
      <c r="AP825" s="271"/>
      <c r="AQ825" s="271"/>
      <c r="AR825" s="271"/>
      <c r="AS825" s="271"/>
      <c r="AT825" s="271"/>
      <c r="AU825" s="271"/>
      <c r="AV825" s="271"/>
      <c r="AW825" s="271"/>
      <c r="AX825" s="271"/>
      <c r="AY825" s="271"/>
    </row>
    <row r="826" spans="1:51" ht="15.75" customHeight="1" x14ac:dyDescent="0.25">
      <c r="A826" s="271"/>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c r="AL826" s="271"/>
      <c r="AM826" s="271"/>
      <c r="AN826" s="271"/>
      <c r="AO826" s="271"/>
      <c r="AP826" s="271"/>
      <c r="AQ826" s="271"/>
      <c r="AR826" s="271"/>
      <c r="AS826" s="271"/>
      <c r="AT826" s="271"/>
      <c r="AU826" s="271"/>
      <c r="AV826" s="271"/>
      <c r="AW826" s="271"/>
      <c r="AX826" s="271"/>
      <c r="AY826" s="271"/>
    </row>
    <row r="827" spans="1:51" ht="15.75" customHeight="1" x14ac:dyDescent="0.25">
      <c r="A827" s="271"/>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c r="AL827" s="271"/>
      <c r="AM827" s="271"/>
      <c r="AN827" s="271"/>
      <c r="AO827" s="271"/>
      <c r="AP827" s="271"/>
      <c r="AQ827" s="271"/>
      <c r="AR827" s="271"/>
      <c r="AS827" s="271"/>
      <c r="AT827" s="271"/>
      <c r="AU827" s="271"/>
      <c r="AV827" s="271"/>
      <c r="AW827" s="271"/>
      <c r="AX827" s="271"/>
      <c r="AY827" s="271"/>
    </row>
    <row r="828" spans="1:51" ht="15.75" customHeight="1" x14ac:dyDescent="0.25">
      <c r="A828" s="271"/>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c r="AL828" s="271"/>
      <c r="AM828" s="271"/>
      <c r="AN828" s="271"/>
      <c r="AO828" s="271"/>
      <c r="AP828" s="271"/>
      <c r="AQ828" s="271"/>
      <c r="AR828" s="271"/>
      <c r="AS828" s="271"/>
      <c r="AT828" s="271"/>
      <c r="AU828" s="271"/>
      <c r="AV828" s="271"/>
      <c r="AW828" s="271"/>
      <c r="AX828" s="271"/>
      <c r="AY828" s="271"/>
    </row>
    <row r="829" spans="1:51" ht="15.75" customHeight="1" x14ac:dyDescent="0.25">
      <c r="A829" s="271"/>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c r="AL829" s="271"/>
      <c r="AM829" s="271"/>
      <c r="AN829" s="271"/>
      <c r="AO829" s="271"/>
      <c r="AP829" s="271"/>
      <c r="AQ829" s="271"/>
      <c r="AR829" s="271"/>
      <c r="AS829" s="271"/>
      <c r="AT829" s="271"/>
      <c r="AU829" s="271"/>
      <c r="AV829" s="271"/>
      <c r="AW829" s="271"/>
      <c r="AX829" s="271"/>
      <c r="AY829" s="271"/>
    </row>
    <row r="830" spans="1:51" ht="15.75" customHeight="1" x14ac:dyDescent="0.25">
      <c r="A830" s="271"/>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c r="AL830" s="271"/>
      <c r="AM830" s="271"/>
      <c r="AN830" s="271"/>
      <c r="AO830" s="271"/>
      <c r="AP830" s="271"/>
      <c r="AQ830" s="271"/>
      <c r="AR830" s="271"/>
      <c r="AS830" s="271"/>
      <c r="AT830" s="271"/>
      <c r="AU830" s="271"/>
      <c r="AV830" s="271"/>
      <c r="AW830" s="271"/>
      <c r="AX830" s="271"/>
      <c r="AY830" s="271"/>
    </row>
    <row r="831" spans="1:51" ht="15.75" customHeight="1" x14ac:dyDescent="0.25">
      <c r="A831" s="271"/>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c r="AL831" s="271"/>
      <c r="AM831" s="271"/>
      <c r="AN831" s="271"/>
      <c r="AO831" s="271"/>
      <c r="AP831" s="271"/>
      <c r="AQ831" s="271"/>
      <c r="AR831" s="271"/>
      <c r="AS831" s="271"/>
      <c r="AT831" s="271"/>
      <c r="AU831" s="271"/>
      <c r="AV831" s="271"/>
      <c r="AW831" s="271"/>
      <c r="AX831" s="271"/>
      <c r="AY831" s="271"/>
    </row>
    <row r="832" spans="1:51" ht="15.75" customHeight="1" x14ac:dyDescent="0.25">
      <c r="A832" s="271"/>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c r="AL832" s="271"/>
      <c r="AM832" s="271"/>
      <c r="AN832" s="271"/>
      <c r="AO832" s="271"/>
      <c r="AP832" s="271"/>
      <c r="AQ832" s="271"/>
      <c r="AR832" s="271"/>
      <c r="AS832" s="271"/>
      <c r="AT832" s="271"/>
      <c r="AU832" s="271"/>
      <c r="AV832" s="271"/>
      <c r="AW832" s="271"/>
      <c r="AX832" s="271"/>
      <c r="AY832" s="271"/>
    </row>
    <row r="833" spans="1:51" ht="15.75" customHeight="1" x14ac:dyDescent="0.25">
      <c r="A833" s="271"/>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c r="AL833" s="271"/>
      <c r="AM833" s="271"/>
      <c r="AN833" s="271"/>
      <c r="AO833" s="271"/>
      <c r="AP833" s="271"/>
      <c r="AQ833" s="271"/>
      <c r="AR833" s="271"/>
      <c r="AS833" s="271"/>
      <c r="AT833" s="271"/>
      <c r="AU833" s="271"/>
      <c r="AV833" s="271"/>
      <c r="AW833" s="271"/>
      <c r="AX833" s="271"/>
      <c r="AY833" s="271"/>
    </row>
    <row r="834" spans="1:51" ht="15.75" customHeight="1" x14ac:dyDescent="0.25">
      <c r="A834" s="271"/>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c r="AL834" s="271"/>
      <c r="AM834" s="271"/>
      <c r="AN834" s="271"/>
      <c r="AO834" s="271"/>
      <c r="AP834" s="271"/>
      <c r="AQ834" s="271"/>
      <c r="AR834" s="271"/>
      <c r="AS834" s="271"/>
      <c r="AT834" s="271"/>
      <c r="AU834" s="271"/>
      <c r="AV834" s="271"/>
      <c r="AW834" s="271"/>
      <c r="AX834" s="271"/>
      <c r="AY834" s="271"/>
    </row>
    <row r="835" spans="1:51" ht="15.75" customHeight="1" x14ac:dyDescent="0.25">
      <c r="A835" s="271"/>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c r="AL835" s="271"/>
      <c r="AM835" s="271"/>
      <c r="AN835" s="271"/>
      <c r="AO835" s="271"/>
      <c r="AP835" s="271"/>
      <c r="AQ835" s="271"/>
      <c r="AR835" s="271"/>
      <c r="AS835" s="271"/>
      <c r="AT835" s="271"/>
      <c r="AU835" s="271"/>
      <c r="AV835" s="271"/>
      <c r="AW835" s="271"/>
      <c r="AX835" s="271"/>
      <c r="AY835" s="271"/>
    </row>
    <row r="836" spans="1:51" ht="15.75" customHeight="1" x14ac:dyDescent="0.25">
      <c r="A836" s="271"/>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c r="AL836" s="271"/>
      <c r="AM836" s="271"/>
      <c r="AN836" s="271"/>
      <c r="AO836" s="271"/>
      <c r="AP836" s="271"/>
      <c r="AQ836" s="271"/>
      <c r="AR836" s="271"/>
      <c r="AS836" s="271"/>
      <c r="AT836" s="271"/>
      <c r="AU836" s="271"/>
      <c r="AV836" s="271"/>
      <c r="AW836" s="271"/>
      <c r="AX836" s="271"/>
      <c r="AY836" s="271"/>
    </row>
    <row r="837" spans="1:51" ht="15.75" customHeight="1" x14ac:dyDescent="0.25">
      <c r="A837" s="271"/>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c r="AL837" s="271"/>
      <c r="AM837" s="271"/>
      <c r="AN837" s="271"/>
      <c r="AO837" s="271"/>
      <c r="AP837" s="271"/>
      <c r="AQ837" s="271"/>
      <c r="AR837" s="271"/>
      <c r="AS837" s="271"/>
      <c r="AT837" s="271"/>
      <c r="AU837" s="271"/>
      <c r="AV837" s="271"/>
      <c r="AW837" s="271"/>
      <c r="AX837" s="271"/>
      <c r="AY837" s="271"/>
    </row>
    <row r="838" spans="1:51" ht="15.75" customHeight="1" x14ac:dyDescent="0.25">
      <c r="A838" s="271"/>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c r="AL838" s="271"/>
      <c r="AM838" s="271"/>
      <c r="AN838" s="271"/>
      <c r="AO838" s="271"/>
      <c r="AP838" s="271"/>
      <c r="AQ838" s="271"/>
      <c r="AR838" s="271"/>
      <c r="AS838" s="271"/>
      <c r="AT838" s="271"/>
      <c r="AU838" s="271"/>
      <c r="AV838" s="271"/>
      <c r="AW838" s="271"/>
      <c r="AX838" s="271"/>
      <c r="AY838" s="271"/>
    </row>
    <row r="839" spans="1:51" ht="15.75" customHeight="1" x14ac:dyDescent="0.25">
      <c r="A839" s="271"/>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c r="AL839" s="271"/>
      <c r="AM839" s="271"/>
      <c r="AN839" s="271"/>
      <c r="AO839" s="271"/>
      <c r="AP839" s="271"/>
      <c r="AQ839" s="271"/>
      <c r="AR839" s="271"/>
      <c r="AS839" s="271"/>
      <c r="AT839" s="271"/>
      <c r="AU839" s="271"/>
      <c r="AV839" s="271"/>
      <c r="AW839" s="271"/>
      <c r="AX839" s="271"/>
      <c r="AY839" s="271"/>
    </row>
    <row r="840" spans="1:51" ht="15.75" customHeight="1" x14ac:dyDescent="0.25">
      <c r="A840" s="271"/>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c r="AL840" s="271"/>
      <c r="AM840" s="271"/>
      <c r="AN840" s="271"/>
      <c r="AO840" s="271"/>
      <c r="AP840" s="271"/>
      <c r="AQ840" s="271"/>
      <c r="AR840" s="271"/>
      <c r="AS840" s="271"/>
      <c r="AT840" s="271"/>
      <c r="AU840" s="271"/>
      <c r="AV840" s="271"/>
      <c r="AW840" s="271"/>
      <c r="AX840" s="271"/>
      <c r="AY840" s="271"/>
    </row>
    <row r="841" spans="1:51" ht="15.75" customHeight="1" x14ac:dyDescent="0.25">
      <c r="A841" s="271"/>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c r="AL841" s="271"/>
      <c r="AM841" s="271"/>
      <c r="AN841" s="271"/>
      <c r="AO841" s="271"/>
      <c r="AP841" s="271"/>
      <c r="AQ841" s="271"/>
      <c r="AR841" s="271"/>
      <c r="AS841" s="271"/>
      <c r="AT841" s="271"/>
      <c r="AU841" s="271"/>
      <c r="AV841" s="271"/>
      <c r="AW841" s="271"/>
      <c r="AX841" s="271"/>
      <c r="AY841" s="271"/>
    </row>
    <row r="842" spans="1:51" ht="15.75" customHeight="1" x14ac:dyDescent="0.25">
      <c r="A842" s="271"/>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c r="AL842" s="271"/>
      <c r="AM842" s="271"/>
      <c r="AN842" s="271"/>
      <c r="AO842" s="271"/>
      <c r="AP842" s="271"/>
      <c r="AQ842" s="271"/>
      <c r="AR842" s="271"/>
      <c r="AS842" s="271"/>
      <c r="AT842" s="271"/>
      <c r="AU842" s="271"/>
      <c r="AV842" s="271"/>
      <c r="AW842" s="271"/>
      <c r="AX842" s="271"/>
      <c r="AY842" s="271"/>
    </row>
    <row r="843" spans="1:51" ht="15.75" customHeight="1" x14ac:dyDescent="0.25">
      <c r="A843" s="271"/>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c r="AL843" s="271"/>
      <c r="AM843" s="271"/>
      <c r="AN843" s="271"/>
      <c r="AO843" s="271"/>
      <c r="AP843" s="271"/>
      <c r="AQ843" s="271"/>
      <c r="AR843" s="271"/>
      <c r="AS843" s="271"/>
      <c r="AT843" s="271"/>
      <c r="AU843" s="271"/>
      <c r="AV843" s="271"/>
      <c r="AW843" s="271"/>
      <c r="AX843" s="271"/>
      <c r="AY843" s="271"/>
    </row>
    <row r="844" spans="1:51" ht="15.75" customHeight="1" x14ac:dyDescent="0.25">
      <c r="A844" s="271"/>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c r="AL844" s="271"/>
      <c r="AM844" s="271"/>
      <c r="AN844" s="271"/>
      <c r="AO844" s="271"/>
      <c r="AP844" s="271"/>
      <c r="AQ844" s="271"/>
      <c r="AR844" s="271"/>
      <c r="AS844" s="271"/>
      <c r="AT844" s="271"/>
      <c r="AU844" s="271"/>
      <c r="AV844" s="271"/>
      <c r="AW844" s="271"/>
      <c r="AX844" s="271"/>
      <c r="AY844" s="271"/>
    </row>
    <row r="845" spans="1:51" ht="15.75" customHeight="1" x14ac:dyDescent="0.25">
      <c r="A845" s="271"/>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c r="AL845" s="271"/>
      <c r="AM845" s="271"/>
      <c r="AN845" s="271"/>
      <c r="AO845" s="271"/>
      <c r="AP845" s="271"/>
      <c r="AQ845" s="271"/>
      <c r="AR845" s="271"/>
      <c r="AS845" s="271"/>
      <c r="AT845" s="271"/>
      <c r="AU845" s="271"/>
      <c r="AV845" s="271"/>
      <c r="AW845" s="271"/>
      <c r="AX845" s="271"/>
      <c r="AY845" s="271"/>
    </row>
    <row r="846" spans="1:51" ht="15.75" customHeight="1" x14ac:dyDescent="0.25">
      <c r="A846" s="271"/>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c r="AL846" s="271"/>
      <c r="AM846" s="271"/>
      <c r="AN846" s="271"/>
      <c r="AO846" s="271"/>
      <c r="AP846" s="271"/>
      <c r="AQ846" s="271"/>
      <c r="AR846" s="271"/>
      <c r="AS846" s="271"/>
      <c r="AT846" s="271"/>
      <c r="AU846" s="271"/>
      <c r="AV846" s="271"/>
      <c r="AW846" s="271"/>
      <c r="AX846" s="271"/>
      <c r="AY846" s="271"/>
    </row>
    <row r="847" spans="1:51" ht="15.75" customHeight="1" x14ac:dyDescent="0.25">
      <c r="A847" s="271"/>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c r="AL847" s="271"/>
      <c r="AM847" s="271"/>
      <c r="AN847" s="271"/>
      <c r="AO847" s="271"/>
      <c r="AP847" s="271"/>
      <c r="AQ847" s="271"/>
      <c r="AR847" s="271"/>
      <c r="AS847" s="271"/>
      <c r="AT847" s="271"/>
      <c r="AU847" s="271"/>
      <c r="AV847" s="271"/>
      <c r="AW847" s="271"/>
      <c r="AX847" s="271"/>
      <c r="AY847" s="271"/>
    </row>
    <row r="848" spans="1:51" ht="15.75" customHeight="1" x14ac:dyDescent="0.25">
      <c r="A848" s="271"/>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c r="AL848" s="271"/>
      <c r="AM848" s="271"/>
      <c r="AN848" s="271"/>
      <c r="AO848" s="271"/>
      <c r="AP848" s="271"/>
      <c r="AQ848" s="271"/>
      <c r="AR848" s="271"/>
      <c r="AS848" s="271"/>
      <c r="AT848" s="271"/>
      <c r="AU848" s="271"/>
      <c r="AV848" s="271"/>
      <c r="AW848" s="271"/>
      <c r="AX848" s="271"/>
      <c r="AY848" s="271"/>
    </row>
    <row r="849" spans="1:51" ht="15.75" customHeight="1" x14ac:dyDescent="0.25">
      <c r="A849" s="271"/>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c r="AL849" s="271"/>
      <c r="AM849" s="271"/>
      <c r="AN849" s="271"/>
      <c r="AO849" s="271"/>
      <c r="AP849" s="271"/>
      <c r="AQ849" s="271"/>
      <c r="AR849" s="271"/>
      <c r="AS849" s="271"/>
      <c r="AT849" s="271"/>
      <c r="AU849" s="271"/>
      <c r="AV849" s="271"/>
      <c r="AW849" s="271"/>
      <c r="AX849" s="271"/>
      <c r="AY849" s="271"/>
    </row>
    <row r="850" spans="1:51" ht="15.75" customHeight="1" x14ac:dyDescent="0.25">
      <c r="A850" s="271"/>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c r="AL850" s="271"/>
      <c r="AM850" s="271"/>
      <c r="AN850" s="271"/>
      <c r="AO850" s="271"/>
      <c r="AP850" s="271"/>
      <c r="AQ850" s="271"/>
      <c r="AR850" s="271"/>
      <c r="AS850" s="271"/>
      <c r="AT850" s="271"/>
      <c r="AU850" s="271"/>
      <c r="AV850" s="271"/>
      <c r="AW850" s="271"/>
      <c r="AX850" s="271"/>
      <c r="AY850" s="271"/>
    </row>
    <row r="851" spans="1:51" ht="15.75" customHeight="1" x14ac:dyDescent="0.25">
      <c r="A851" s="271"/>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c r="AL851" s="271"/>
      <c r="AM851" s="271"/>
      <c r="AN851" s="271"/>
      <c r="AO851" s="271"/>
      <c r="AP851" s="271"/>
      <c r="AQ851" s="271"/>
      <c r="AR851" s="271"/>
      <c r="AS851" s="271"/>
      <c r="AT851" s="271"/>
      <c r="AU851" s="271"/>
      <c r="AV851" s="271"/>
      <c r="AW851" s="271"/>
      <c r="AX851" s="271"/>
      <c r="AY851" s="271"/>
    </row>
    <row r="852" spans="1:51" ht="15.75" customHeight="1" x14ac:dyDescent="0.25">
      <c r="A852" s="271"/>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c r="AL852" s="271"/>
      <c r="AM852" s="271"/>
      <c r="AN852" s="271"/>
      <c r="AO852" s="271"/>
      <c r="AP852" s="271"/>
      <c r="AQ852" s="271"/>
      <c r="AR852" s="271"/>
      <c r="AS852" s="271"/>
      <c r="AT852" s="271"/>
      <c r="AU852" s="271"/>
      <c r="AV852" s="271"/>
      <c r="AW852" s="271"/>
      <c r="AX852" s="271"/>
      <c r="AY852" s="271"/>
    </row>
    <row r="853" spans="1:51" ht="15.75" customHeight="1" x14ac:dyDescent="0.25">
      <c r="A853" s="271"/>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c r="AL853" s="271"/>
      <c r="AM853" s="271"/>
      <c r="AN853" s="271"/>
      <c r="AO853" s="271"/>
      <c r="AP853" s="271"/>
      <c r="AQ853" s="271"/>
      <c r="AR853" s="271"/>
      <c r="AS853" s="271"/>
      <c r="AT853" s="271"/>
      <c r="AU853" s="271"/>
      <c r="AV853" s="271"/>
      <c r="AW853" s="271"/>
      <c r="AX853" s="271"/>
      <c r="AY853" s="271"/>
    </row>
    <row r="854" spans="1:51" ht="15.75" customHeight="1" x14ac:dyDescent="0.25">
      <c r="A854" s="271"/>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c r="AL854" s="271"/>
      <c r="AM854" s="271"/>
      <c r="AN854" s="271"/>
      <c r="AO854" s="271"/>
      <c r="AP854" s="271"/>
      <c r="AQ854" s="271"/>
      <c r="AR854" s="271"/>
      <c r="AS854" s="271"/>
      <c r="AT854" s="271"/>
      <c r="AU854" s="271"/>
      <c r="AV854" s="271"/>
      <c r="AW854" s="271"/>
      <c r="AX854" s="271"/>
      <c r="AY854" s="271"/>
    </row>
    <row r="855" spans="1:51" ht="15.75" customHeight="1" x14ac:dyDescent="0.25">
      <c r="A855" s="271"/>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c r="AL855" s="271"/>
      <c r="AM855" s="271"/>
      <c r="AN855" s="271"/>
      <c r="AO855" s="271"/>
      <c r="AP855" s="271"/>
      <c r="AQ855" s="271"/>
      <c r="AR855" s="271"/>
      <c r="AS855" s="271"/>
      <c r="AT855" s="271"/>
      <c r="AU855" s="271"/>
      <c r="AV855" s="271"/>
      <c r="AW855" s="271"/>
      <c r="AX855" s="271"/>
      <c r="AY855" s="271"/>
    </row>
    <row r="856" spans="1:51" ht="15.75" customHeight="1" x14ac:dyDescent="0.25">
      <c r="A856" s="271"/>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c r="AL856" s="271"/>
      <c r="AM856" s="271"/>
      <c r="AN856" s="271"/>
      <c r="AO856" s="271"/>
      <c r="AP856" s="271"/>
      <c r="AQ856" s="271"/>
      <c r="AR856" s="271"/>
      <c r="AS856" s="271"/>
      <c r="AT856" s="271"/>
      <c r="AU856" s="271"/>
      <c r="AV856" s="271"/>
      <c r="AW856" s="271"/>
      <c r="AX856" s="271"/>
      <c r="AY856" s="271"/>
    </row>
    <row r="857" spans="1:51" ht="15.75" customHeight="1" x14ac:dyDescent="0.25">
      <c r="A857" s="271"/>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c r="AL857" s="271"/>
      <c r="AM857" s="271"/>
      <c r="AN857" s="271"/>
      <c r="AO857" s="271"/>
      <c r="AP857" s="271"/>
      <c r="AQ857" s="271"/>
      <c r="AR857" s="271"/>
      <c r="AS857" s="271"/>
      <c r="AT857" s="271"/>
      <c r="AU857" s="271"/>
      <c r="AV857" s="271"/>
      <c r="AW857" s="271"/>
      <c r="AX857" s="271"/>
      <c r="AY857" s="271"/>
    </row>
    <row r="858" spans="1:51" ht="15.75" customHeight="1" x14ac:dyDescent="0.25">
      <c r="A858" s="271"/>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c r="AL858" s="271"/>
      <c r="AM858" s="271"/>
      <c r="AN858" s="271"/>
      <c r="AO858" s="271"/>
      <c r="AP858" s="271"/>
      <c r="AQ858" s="271"/>
      <c r="AR858" s="271"/>
      <c r="AS858" s="271"/>
      <c r="AT858" s="271"/>
      <c r="AU858" s="271"/>
      <c r="AV858" s="271"/>
      <c r="AW858" s="271"/>
      <c r="AX858" s="271"/>
      <c r="AY858" s="271"/>
    </row>
    <row r="859" spans="1:51" ht="15.75" customHeight="1" x14ac:dyDescent="0.25">
      <c r="A859" s="271"/>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c r="AL859" s="271"/>
      <c r="AM859" s="271"/>
      <c r="AN859" s="271"/>
      <c r="AO859" s="271"/>
      <c r="AP859" s="271"/>
      <c r="AQ859" s="271"/>
      <c r="AR859" s="271"/>
      <c r="AS859" s="271"/>
      <c r="AT859" s="271"/>
      <c r="AU859" s="271"/>
      <c r="AV859" s="271"/>
      <c r="AW859" s="271"/>
      <c r="AX859" s="271"/>
      <c r="AY859" s="271"/>
    </row>
    <row r="860" spans="1:51" ht="15.75" customHeight="1" x14ac:dyDescent="0.25">
      <c r="A860" s="271"/>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c r="AL860" s="271"/>
      <c r="AM860" s="271"/>
      <c r="AN860" s="271"/>
      <c r="AO860" s="271"/>
      <c r="AP860" s="271"/>
      <c r="AQ860" s="271"/>
      <c r="AR860" s="271"/>
      <c r="AS860" s="271"/>
      <c r="AT860" s="271"/>
      <c r="AU860" s="271"/>
      <c r="AV860" s="271"/>
      <c r="AW860" s="271"/>
      <c r="AX860" s="271"/>
      <c r="AY860" s="271"/>
    </row>
    <row r="861" spans="1:51" ht="15.75" customHeight="1" x14ac:dyDescent="0.25">
      <c r="A861" s="271"/>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c r="AL861" s="271"/>
      <c r="AM861" s="271"/>
      <c r="AN861" s="271"/>
      <c r="AO861" s="271"/>
      <c r="AP861" s="271"/>
      <c r="AQ861" s="271"/>
      <c r="AR861" s="271"/>
      <c r="AS861" s="271"/>
      <c r="AT861" s="271"/>
      <c r="AU861" s="271"/>
      <c r="AV861" s="271"/>
      <c r="AW861" s="271"/>
      <c r="AX861" s="271"/>
      <c r="AY861" s="271"/>
    </row>
    <row r="862" spans="1:51" ht="15.75" customHeight="1" x14ac:dyDescent="0.25">
      <c r="A862" s="271"/>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c r="AL862" s="271"/>
      <c r="AM862" s="271"/>
      <c r="AN862" s="271"/>
      <c r="AO862" s="271"/>
      <c r="AP862" s="271"/>
      <c r="AQ862" s="271"/>
      <c r="AR862" s="271"/>
      <c r="AS862" s="271"/>
      <c r="AT862" s="271"/>
      <c r="AU862" s="271"/>
      <c r="AV862" s="271"/>
      <c r="AW862" s="271"/>
      <c r="AX862" s="271"/>
      <c r="AY862" s="271"/>
    </row>
    <row r="863" spans="1:51" ht="15.75" customHeight="1" x14ac:dyDescent="0.25">
      <c r="A863" s="271"/>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c r="AL863" s="271"/>
      <c r="AM863" s="271"/>
      <c r="AN863" s="271"/>
      <c r="AO863" s="271"/>
      <c r="AP863" s="271"/>
      <c r="AQ863" s="271"/>
      <c r="AR863" s="271"/>
      <c r="AS863" s="271"/>
      <c r="AT863" s="271"/>
      <c r="AU863" s="271"/>
      <c r="AV863" s="271"/>
      <c r="AW863" s="271"/>
      <c r="AX863" s="271"/>
      <c r="AY863" s="271"/>
    </row>
    <row r="864" spans="1:51" ht="15.75" customHeight="1" x14ac:dyDescent="0.25">
      <c r="A864" s="271"/>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c r="AL864" s="271"/>
      <c r="AM864" s="271"/>
      <c r="AN864" s="271"/>
      <c r="AO864" s="271"/>
      <c r="AP864" s="271"/>
      <c r="AQ864" s="271"/>
      <c r="AR864" s="271"/>
      <c r="AS864" s="271"/>
      <c r="AT864" s="271"/>
      <c r="AU864" s="271"/>
      <c r="AV864" s="271"/>
      <c r="AW864" s="271"/>
      <c r="AX864" s="271"/>
      <c r="AY864" s="271"/>
    </row>
    <row r="865" spans="1:51" ht="15.75" customHeight="1" x14ac:dyDescent="0.25">
      <c r="A865" s="271"/>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c r="AL865" s="271"/>
      <c r="AM865" s="271"/>
      <c r="AN865" s="271"/>
      <c r="AO865" s="271"/>
      <c r="AP865" s="271"/>
      <c r="AQ865" s="271"/>
      <c r="AR865" s="271"/>
      <c r="AS865" s="271"/>
      <c r="AT865" s="271"/>
      <c r="AU865" s="271"/>
      <c r="AV865" s="271"/>
      <c r="AW865" s="271"/>
      <c r="AX865" s="271"/>
      <c r="AY865" s="271"/>
    </row>
    <row r="866" spans="1:51" ht="15.75" customHeight="1" x14ac:dyDescent="0.25">
      <c r="A866" s="271"/>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c r="AL866" s="271"/>
      <c r="AM866" s="271"/>
      <c r="AN866" s="271"/>
      <c r="AO866" s="271"/>
      <c r="AP866" s="271"/>
      <c r="AQ866" s="271"/>
      <c r="AR866" s="271"/>
      <c r="AS866" s="271"/>
      <c r="AT866" s="271"/>
      <c r="AU866" s="271"/>
      <c r="AV866" s="271"/>
      <c r="AW866" s="271"/>
      <c r="AX866" s="271"/>
      <c r="AY866" s="271"/>
    </row>
    <row r="867" spans="1:51" ht="15.75" customHeight="1" x14ac:dyDescent="0.25">
      <c r="A867" s="271"/>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c r="AL867" s="271"/>
      <c r="AM867" s="271"/>
      <c r="AN867" s="271"/>
      <c r="AO867" s="271"/>
      <c r="AP867" s="271"/>
      <c r="AQ867" s="271"/>
      <c r="AR867" s="271"/>
      <c r="AS867" s="271"/>
      <c r="AT867" s="271"/>
      <c r="AU867" s="271"/>
      <c r="AV867" s="271"/>
      <c r="AW867" s="271"/>
      <c r="AX867" s="271"/>
      <c r="AY867" s="271"/>
    </row>
    <row r="868" spans="1:51" ht="15.75" customHeight="1" x14ac:dyDescent="0.25">
      <c r="A868" s="271"/>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c r="AL868" s="271"/>
      <c r="AM868" s="271"/>
      <c r="AN868" s="271"/>
      <c r="AO868" s="271"/>
      <c r="AP868" s="271"/>
      <c r="AQ868" s="271"/>
      <c r="AR868" s="271"/>
      <c r="AS868" s="271"/>
      <c r="AT868" s="271"/>
      <c r="AU868" s="271"/>
      <c r="AV868" s="271"/>
      <c r="AW868" s="271"/>
      <c r="AX868" s="271"/>
      <c r="AY868" s="271"/>
    </row>
    <row r="869" spans="1:51" ht="15.75" customHeight="1" x14ac:dyDescent="0.25">
      <c r="A869" s="271"/>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c r="AL869" s="271"/>
      <c r="AM869" s="271"/>
      <c r="AN869" s="271"/>
      <c r="AO869" s="271"/>
      <c r="AP869" s="271"/>
      <c r="AQ869" s="271"/>
      <c r="AR869" s="271"/>
      <c r="AS869" s="271"/>
      <c r="AT869" s="271"/>
      <c r="AU869" s="271"/>
      <c r="AV869" s="271"/>
      <c r="AW869" s="271"/>
      <c r="AX869" s="271"/>
      <c r="AY869" s="271"/>
    </row>
    <row r="870" spans="1:51" ht="15.75" customHeight="1" x14ac:dyDescent="0.25">
      <c r="A870" s="271"/>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c r="AL870" s="271"/>
      <c r="AM870" s="271"/>
      <c r="AN870" s="271"/>
      <c r="AO870" s="271"/>
      <c r="AP870" s="271"/>
      <c r="AQ870" s="271"/>
      <c r="AR870" s="271"/>
      <c r="AS870" s="271"/>
      <c r="AT870" s="271"/>
      <c r="AU870" s="271"/>
      <c r="AV870" s="271"/>
      <c r="AW870" s="271"/>
      <c r="AX870" s="271"/>
      <c r="AY870" s="271"/>
    </row>
    <row r="871" spans="1:51" ht="15.75" customHeight="1" x14ac:dyDescent="0.25">
      <c r="A871" s="271"/>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c r="AL871" s="271"/>
      <c r="AM871" s="271"/>
      <c r="AN871" s="271"/>
      <c r="AO871" s="271"/>
      <c r="AP871" s="271"/>
      <c r="AQ871" s="271"/>
      <c r="AR871" s="271"/>
      <c r="AS871" s="271"/>
      <c r="AT871" s="271"/>
      <c r="AU871" s="271"/>
      <c r="AV871" s="271"/>
      <c r="AW871" s="271"/>
      <c r="AX871" s="271"/>
      <c r="AY871" s="271"/>
    </row>
    <row r="872" spans="1:51" ht="15.75" customHeight="1" x14ac:dyDescent="0.25">
      <c r="A872" s="271"/>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c r="AL872" s="271"/>
      <c r="AM872" s="271"/>
      <c r="AN872" s="271"/>
      <c r="AO872" s="271"/>
      <c r="AP872" s="271"/>
      <c r="AQ872" s="271"/>
      <c r="AR872" s="271"/>
      <c r="AS872" s="271"/>
      <c r="AT872" s="271"/>
      <c r="AU872" s="271"/>
      <c r="AV872" s="271"/>
      <c r="AW872" s="271"/>
      <c r="AX872" s="271"/>
      <c r="AY872" s="271"/>
    </row>
    <row r="873" spans="1:51" ht="15.75" customHeight="1" x14ac:dyDescent="0.25">
      <c r="A873" s="271"/>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c r="AL873" s="271"/>
      <c r="AM873" s="271"/>
      <c r="AN873" s="271"/>
      <c r="AO873" s="271"/>
      <c r="AP873" s="271"/>
      <c r="AQ873" s="271"/>
      <c r="AR873" s="271"/>
      <c r="AS873" s="271"/>
      <c r="AT873" s="271"/>
      <c r="AU873" s="271"/>
      <c r="AV873" s="271"/>
      <c r="AW873" s="271"/>
      <c r="AX873" s="271"/>
      <c r="AY873" s="271"/>
    </row>
    <row r="874" spans="1:51" ht="15.75" customHeight="1" x14ac:dyDescent="0.25">
      <c r="A874" s="271"/>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c r="AL874" s="271"/>
      <c r="AM874" s="271"/>
      <c r="AN874" s="271"/>
      <c r="AO874" s="271"/>
      <c r="AP874" s="271"/>
      <c r="AQ874" s="271"/>
      <c r="AR874" s="271"/>
      <c r="AS874" s="271"/>
      <c r="AT874" s="271"/>
      <c r="AU874" s="271"/>
      <c r="AV874" s="271"/>
      <c r="AW874" s="271"/>
      <c r="AX874" s="271"/>
      <c r="AY874" s="271"/>
    </row>
    <row r="875" spans="1:51" ht="15.75" customHeight="1" x14ac:dyDescent="0.25">
      <c r="A875" s="271"/>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c r="AL875" s="271"/>
      <c r="AM875" s="271"/>
      <c r="AN875" s="271"/>
      <c r="AO875" s="271"/>
      <c r="AP875" s="271"/>
      <c r="AQ875" s="271"/>
      <c r="AR875" s="271"/>
      <c r="AS875" s="271"/>
      <c r="AT875" s="271"/>
      <c r="AU875" s="271"/>
      <c r="AV875" s="271"/>
      <c r="AW875" s="271"/>
      <c r="AX875" s="271"/>
      <c r="AY875" s="271"/>
    </row>
    <row r="876" spans="1:51" ht="15.75" customHeight="1" x14ac:dyDescent="0.25">
      <c r="A876" s="271"/>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c r="AL876" s="271"/>
      <c r="AM876" s="271"/>
      <c r="AN876" s="271"/>
      <c r="AO876" s="271"/>
      <c r="AP876" s="271"/>
      <c r="AQ876" s="271"/>
      <c r="AR876" s="271"/>
      <c r="AS876" s="271"/>
      <c r="AT876" s="271"/>
      <c r="AU876" s="271"/>
      <c r="AV876" s="271"/>
      <c r="AW876" s="271"/>
      <c r="AX876" s="271"/>
      <c r="AY876" s="271"/>
    </row>
    <row r="877" spans="1:51" ht="15.75" customHeight="1" x14ac:dyDescent="0.25">
      <c r="A877" s="271"/>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c r="AL877" s="271"/>
      <c r="AM877" s="271"/>
      <c r="AN877" s="271"/>
      <c r="AO877" s="271"/>
      <c r="AP877" s="271"/>
      <c r="AQ877" s="271"/>
      <c r="AR877" s="271"/>
      <c r="AS877" s="271"/>
      <c r="AT877" s="271"/>
      <c r="AU877" s="271"/>
      <c r="AV877" s="271"/>
      <c r="AW877" s="271"/>
      <c r="AX877" s="271"/>
      <c r="AY877" s="271"/>
    </row>
    <row r="878" spans="1:51" ht="15.75" customHeight="1" x14ac:dyDescent="0.25">
      <c r="A878" s="271"/>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c r="AL878" s="271"/>
      <c r="AM878" s="271"/>
      <c r="AN878" s="271"/>
      <c r="AO878" s="271"/>
      <c r="AP878" s="271"/>
      <c r="AQ878" s="271"/>
      <c r="AR878" s="271"/>
      <c r="AS878" s="271"/>
      <c r="AT878" s="271"/>
      <c r="AU878" s="271"/>
      <c r="AV878" s="271"/>
      <c r="AW878" s="271"/>
      <c r="AX878" s="271"/>
      <c r="AY878" s="271"/>
    </row>
    <row r="879" spans="1:51" ht="15.75" customHeight="1" x14ac:dyDescent="0.25">
      <c r="A879" s="271"/>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c r="AL879" s="271"/>
      <c r="AM879" s="271"/>
      <c r="AN879" s="271"/>
      <c r="AO879" s="271"/>
      <c r="AP879" s="271"/>
      <c r="AQ879" s="271"/>
      <c r="AR879" s="271"/>
      <c r="AS879" s="271"/>
      <c r="AT879" s="271"/>
      <c r="AU879" s="271"/>
      <c r="AV879" s="271"/>
      <c r="AW879" s="271"/>
      <c r="AX879" s="271"/>
      <c r="AY879" s="271"/>
    </row>
    <row r="880" spans="1:51" ht="15.75" customHeight="1" x14ac:dyDescent="0.25">
      <c r="A880" s="271"/>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c r="AL880" s="271"/>
      <c r="AM880" s="271"/>
      <c r="AN880" s="271"/>
      <c r="AO880" s="271"/>
      <c r="AP880" s="271"/>
      <c r="AQ880" s="271"/>
      <c r="AR880" s="271"/>
      <c r="AS880" s="271"/>
      <c r="AT880" s="271"/>
      <c r="AU880" s="271"/>
      <c r="AV880" s="271"/>
      <c r="AW880" s="271"/>
      <c r="AX880" s="271"/>
      <c r="AY880" s="271"/>
    </row>
    <row r="881" spans="1:51" ht="15.75" customHeight="1" x14ac:dyDescent="0.25">
      <c r="A881" s="271"/>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c r="AL881" s="271"/>
      <c r="AM881" s="271"/>
      <c r="AN881" s="271"/>
      <c r="AO881" s="271"/>
      <c r="AP881" s="271"/>
      <c r="AQ881" s="271"/>
      <c r="AR881" s="271"/>
      <c r="AS881" s="271"/>
      <c r="AT881" s="271"/>
      <c r="AU881" s="271"/>
      <c r="AV881" s="271"/>
      <c r="AW881" s="271"/>
      <c r="AX881" s="271"/>
      <c r="AY881" s="271"/>
    </row>
    <row r="882" spans="1:51" ht="15.75" customHeight="1" x14ac:dyDescent="0.25">
      <c r="A882" s="271"/>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c r="AL882" s="271"/>
      <c r="AM882" s="271"/>
      <c r="AN882" s="271"/>
      <c r="AO882" s="271"/>
      <c r="AP882" s="271"/>
      <c r="AQ882" s="271"/>
      <c r="AR882" s="271"/>
      <c r="AS882" s="271"/>
      <c r="AT882" s="271"/>
      <c r="AU882" s="271"/>
      <c r="AV882" s="271"/>
      <c r="AW882" s="271"/>
      <c r="AX882" s="271"/>
      <c r="AY882" s="271"/>
    </row>
    <row r="883" spans="1:51" ht="15.75" customHeight="1" x14ac:dyDescent="0.25">
      <c r="A883" s="271"/>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c r="AL883" s="271"/>
      <c r="AM883" s="271"/>
      <c r="AN883" s="271"/>
      <c r="AO883" s="271"/>
      <c r="AP883" s="271"/>
      <c r="AQ883" s="271"/>
      <c r="AR883" s="271"/>
      <c r="AS883" s="271"/>
      <c r="AT883" s="271"/>
      <c r="AU883" s="271"/>
      <c r="AV883" s="271"/>
      <c r="AW883" s="271"/>
      <c r="AX883" s="271"/>
      <c r="AY883" s="271"/>
    </row>
    <row r="884" spans="1:51" ht="15.75" customHeight="1" x14ac:dyDescent="0.25">
      <c r="A884" s="271"/>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c r="AL884" s="271"/>
      <c r="AM884" s="271"/>
      <c r="AN884" s="271"/>
      <c r="AO884" s="271"/>
      <c r="AP884" s="271"/>
      <c r="AQ884" s="271"/>
      <c r="AR884" s="271"/>
      <c r="AS884" s="271"/>
      <c r="AT884" s="271"/>
      <c r="AU884" s="271"/>
      <c r="AV884" s="271"/>
      <c r="AW884" s="271"/>
      <c r="AX884" s="271"/>
      <c r="AY884" s="271"/>
    </row>
    <row r="885" spans="1:51" ht="15.75" customHeight="1" x14ac:dyDescent="0.25">
      <c r="A885" s="271"/>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c r="AL885" s="271"/>
      <c r="AM885" s="271"/>
      <c r="AN885" s="271"/>
      <c r="AO885" s="271"/>
      <c r="AP885" s="271"/>
      <c r="AQ885" s="271"/>
      <c r="AR885" s="271"/>
      <c r="AS885" s="271"/>
      <c r="AT885" s="271"/>
      <c r="AU885" s="271"/>
      <c r="AV885" s="271"/>
      <c r="AW885" s="271"/>
      <c r="AX885" s="271"/>
      <c r="AY885" s="271"/>
    </row>
    <row r="886" spans="1:51" ht="15.75" customHeight="1" x14ac:dyDescent="0.25">
      <c r="A886" s="271"/>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c r="AL886" s="271"/>
      <c r="AM886" s="271"/>
      <c r="AN886" s="271"/>
      <c r="AO886" s="271"/>
      <c r="AP886" s="271"/>
      <c r="AQ886" s="271"/>
      <c r="AR886" s="271"/>
      <c r="AS886" s="271"/>
      <c r="AT886" s="271"/>
      <c r="AU886" s="271"/>
      <c r="AV886" s="271"/>
      <c r="AW886" s="271"/>
      <c r="AX886" s="271"/>
      <c r="AY886" s="271"/>
    </row>
    <row r="887" spans="1:51" ht="15.75" customHeight="1" x14ac:dyDescent="0.25">
      <c r="A887" s="271"/>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c r="AL887" s="271"/>
      <c r="AM887" s="271"/>
      <c r="AN887" s="271"/>
      <c r="AO887" s="271"/>
      <c r="AP887" s="271"/>
      <c r="AQ887" s="271"/>
      <c r="AR887" s="271"/>
      <c r="AS887" s="271"/>
      <c r="AT887" s="271"/>
      <c r="AU887" s="271"/>
      <c r="AV887" s="271"/>
      <c r="AW887" s="271"/>
      <c r="AX887" s="271"/>
      <c r="AY887" s="271"/>
    </row>
    <row r="888" spans="1:51" ht="15.75" customHeight="1" x14ac:dyDescent="0.25">
      <c r="A888" s="271"/>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c r="AL888" s="271"/>
      <c r="AM888" s="271"/>
      <c r="AN888" s="271"/>
      <c r="AO888" s="271"/>
      <c r="AP888" s="271"/>
      <c r="AQ888" s="271"/>
      <c r="AR888" s="271"/>
      <c r="AS888" s="271"/>
      <c r="AT888" s="271"/>
      <c r="AU888" s="271"/>
      <c r="AV888" s="271"/>
      <c r="AW888" s="271"/>
      <c r="AX888" s="271"/>
      <c r="AY888" s="271"/>
    </row>
    <row r="889" spans="1:51" ht="15.75" customHeight="1" x14ac:dyDescent="0.25">
      <c r="A889" s="271"/>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c r="AL889" s="271"/>
      <c r="AM889" s="271"/>
      <c r="AN889" s="271"/>
      <c r="AO889" s="271"/>
      <c r="AP889" s="271"/>
      <c r="AQ889" s="271"/>
      <c r="AR889" s="271"/>
      <c r="AS889" s="271"/>
      <c r="AT889" s="271"/>
      <c r="AU889" s="271"/>
      <c r="AV889" s="271"/>
      <c r="AW889" s="271"/>
      <c r="AX889" s="271"/>
      <c r="AY889" s="271"/>
    </row>
    <row r="890" spans="1:51" ht="15.75" customHeight="1" x14ac:dyDescent="0.25">
      <c r="A890" s="271"/>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c r="AL890" s="271"/>
      <c r="AM890" s="271"/>
      <c r="AN890" s="271"/>
      <c r="AO890" s="271"/>
      <c r="AP890" s="271"/>
      <c r="AQ890" s="271"/>
      <c r="AR890" s="271"/>
      <c r="AS890" s="271"/>
      <c r="AT890" s="271"/>
      <c r="AU890" s="271"/>
      <c r="AV890" s="271"/>
      <c r="AW890" s="271"/>
      <c r="AX890" s="271"/>
      <c r="AY890" s="271"/>
    </row>
    <row r="891" spans="1:51" ht="15.75" customHeight="1" x14ac:dyDescent="0.25">
      <c r="A891" s="271"/>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c r="AL891" s="271"/>
      <c r="AM891" s="271"/>
      <c r="AN891" s="271"/>
      <c r="AO891" s="271"/>
      <c r="AP891" s="271"/>
      <c r="AQ891" s="271"/>
      <c r="AR891" s="271"/>
      <c r="AS891" s="271"/>
      <c r="AT891" s="271"/>
      <c r="AU891" s="271"/>
      <c r="AV891" s="271"/>
      <c r="AW891" s="271"/>
      <c r="AX891" s="271"/>
      <c r="AY891" s="271"/>
    </row>
    <row r="892" spans="1:51" ht="15.75" customHeight="1" x14ac:dyDescent="0.25">
      <c r="A892" s="271"/>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c r="AL892" s="271"/>
      <c r="AM892" s="271"/>
      <c r="AN892" s="271"/>
      <c r="AO892" s="271"/>
      <c r="AP892" s="271"/>
      <c r="AQ892" s="271"/>
      <c r="AR892" s="271"/>
      <c r="AS892" s="271"/>
      <c r="AT892" s="271"/>
      <c r="AU892" s="271"/>
      <c r="AV892" s="271"/>
      <c r="AW892" s="271"/>
      <c r="AX892" s="271"/>
      <c r="AY892" s="271"/>
    </row>
    <row r="893" spans="1:51" ht="15.75" customHeight="1" x14ac:dyDescent="0.25">
      <c r="A893" s="271"/>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c r="AL893" s="271"/>
      <c r="AM893" s="271"/>
      <c r="AN893" s="271"/>
      <c r="AO893" s="271"/>
      <c r="AP893" s="271"/>
      <c r="AQ893" s="271"/>
      <c r="AR893" s="271"/>
      <c r="AS893" s="271"/>
      <c r="AT893" s="271"/>
      <c r="AU893" s="271"/>
      <c r="AV893" s="271"/>
      <c r="AW893" s="271"/>
      <c r="AX893" s="271"/>
      <c r="AY893" s="271"/>
    </row>
    <row r="894" spans="1:51" ht="15.75" customHeight="1" x14ac:dyDescent="0.25">
      <c r="A894" s="271"/>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c r="AL894" s="271"/>
      <c r="AM894" s="271"/>
      <c r="AN894" s="271"/>
      <c r="AO894" s="271"/>
      <c r="AP894" s="271"/>
      <c r="AQ894" s="271"/>
      <c r="AR894" s="271"/>
      <c r="AS894" s="271"/>
      <c r="AT894" s="271"/>
      <c r="AU894" s="271"/>
      <c r="AV894" s="271"/>
      <c r="AW894" s="271"/>
      <c r="AX894" s="271"/>
      <c r="AY894" s="271"/>
    </row>
    <row r="895" spans="1:51" ht="15.75" customHeight="1" x14ac:dyDescent="0.25">
      <c r="A895" s="271"/>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c r="AL895" s="271"/>
      <c r="AM895" s="271"/>
      <c r="AN895" s="271"/>
      <c r="AO895" s="271"/>
      <c r="AP895" s="271"/>
      <c r="AQ895" s="271"/>
      <c r="AR895" s="271"/>
      <c r="AS895" s="271"/>
      <c r="AT895" s="271"/>
      <c r="AU895" s="271"/>
      <c r="AV895" s="271"/>
      <c r="AW895" s="271"/>
      <c r="AX895" s="271"/>
      <c r="AY895" s="271"/>
    </row>
    <row r="896" spans="1:51" ht="15.75" customHeight="1" x14ac:dyDescent="0.25">
      <c r="A896" s="271"/>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c r="AL896" s="271"/>
      <c r="AM896" s="271"/>
      <c r="AN896" s="271"/>
      <c r="AO896" s="271"/>
      <c r="AP896" s="271"/>
      <c r="AQ896" s="271"/>
      <c r="AR896" s="271"/>
      <c r="AS896" s="271"/>
      <c r="AT896" s="271"/>
      <c r="AU896" s="271"/>
      <c r="AV896" s="271"/>
      <c r="AW896" s="271"/>
      <c r="AX896" s="271"/>
      <c r="AY896" s="271"/>
    </row>
    <row r="897" spans="1:51" ht="15.75" customHeight="1" x14ac:dyDescent="0.25">
      <c r="A897" s="271"/>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c r="AL897" s="271"/>
      <c r="AM897" s="271"/>
      <c r="AN897" s="271"/>
      <c r="AO897" s="271"/>
      <c r="AP897" s="271"/>
      <c r="AQ897" s="271"/>
      <c r="AR897" s="271"/>
      <c r="AS897" s="271"/>
      <c r="AT897" s="271"/>
      <c r="AU897" s="271"/>
      <c r="AV897" s="271"/>
      <c r="AW897" s="271"/>
      <c r="AX897" s="271"/>
      <c r="AY897" s="271"/>
    </row>
    <row r="898" spans="1:51" ht="15.75" customHeight="1" x14ac:dyDescent="0.25">
      <c r="A898" s="271"/>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c r="AL898" s="271"/>
      <c r="AM898" s="271"/>
      <c r="AN898" s="271"/>
      <c r="AO898" s="271"/>
      <c r="AP898" s="271"/>
      <c r="AQ898" s="271"/>
      <c r="AR898" s="271"/>
      <c r="AS898" s="271"/>
      <c r="AT898" s="271"/>
      <c r="AU898" s="271"/>
      <c r="AV898" s="271"/>
      <c r="AW898" s="271"/>
      <c r="AX898" s="271"/>
      <c r="AY898" s="271"/>
    </row>
    <row r="899" spans="1:51" ht="15.75" customHeight="1" x14ac:dyDescent="0.25">
      <c r="A899" s="271"/>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c r="AL899" s="271"/>
      <c r="AM899" s="271"/>
      <c r="AN899" s="271"/>
      <c r="AO899" s="271"/>
      <c r="AP899" s="271"/>
      <c r="AQ899" s="271"/>
      <c r="AR899" s="271"/>
      <c r="AS899" s="271"/>
      <c r="AT899" s="271"/>
      <c r="AU899" s="271"/>
      <c r="AV899" s="271"/>
      <c r="AW899" s="271"/>
      <c r="AX899" s="271"/>
      <c r="AY899" s="271"/>
    </row>
    <row r="900" spans="1:51" ht="15.75" customHeight="1" x14ac:dyDescent="0.25">
      <c r="A900" s="271"/>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c r="AL900" s="271"/>
      <c r="AM900" s="271"/>
      <c r="AN900" s="271"/>
      <c r="AO900" s="271"/>
      <c r="AP900" s="271"/>
      <c r="AQ900" s="271"/>
      <c r="AR900" s="271"/>
      <c r="AS900" s="271"/>
      <c r="AT900" s="271"/>
      <c r="AU900" s="271"/>
      <c r="AV900" s="271"/>
      <c r="AW900" s="271"/>
      <c r="AX900" s="271"/>
      <c r="AY900" s="271"/>
    </row>
    <row r="901" spans="1:51" ht="15.75" customHeight="1" x14ac:dyDescent="0.25">
      <c r="A901" s="271"/>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c r="AL901" s="271"/>
      <c r="AM901" s="271"/>
      <c r="AN901" s="271"/>
      <c r="AO901" s="271"/>
      <c r="AP901" s="271"/>
      <c r="AQ901" s="271"/>
      <c r="AR901" s="271"/>
      <c r="AS901" s="271"/>
      <c r="AT901" s="271"/>
      <c r="AU901" s="271"/>
      <c r="AV901" s="271"/>
      <c r="AW901" s="271"/>
      <c r="AX901" s="271"/>
      <c r="AY901" s="271"/>
    </row>
    <row r="902" spans="1:51" ht="15.75" customHeight="1" x14ac:dyDescent="0.25">
      <c r="A902" s="271"/>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c r="AL902" s="271"/>
      <c r="AM902" s="271"/>
      <c r="AN902" s="271"/>
      <c r="AO902" s="271"/>
      <c r="AP902" s="271"/>
      <c r="AQ902" s="271"/>
      <c r="AR902" s="271"/>
      <c r="AS902" s="271"/>
      <c r="AT902" s="271"/>
      <c r="AU902" s="271"/>
      <c r="AV902" s="271"/>
      <c r="AW902" s="271"/>
      <c r="AX902" s="271"/>
      <c r="AY902" s="271"/>
    </row>
    <row r="903" spans="1:51" ht="15.75" customHeight="1" x14ac:dyDescent="0.25">
      <c r="A903" s="271"/>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c r="AL903" s="271"/>
      <c r="AM903" s="271"/>
      <c r="AN903" s="271"/>
      <c r="AO903" s="271"/>
      <c r="AP903" s="271"/>
      <c r="AQ903" s="271"/>
      <c r="AR903" s="271"/>
      <c r="AS903" s="271"/>
      <c r="AT903" s="271"/>
      <c r="AU903" s="271"/>
      <c r="AV903" s="271"/>
      <c r="AW903" s="271"/>
      <c r="AX903" s="271"/>
      <c r="AY903" s="271"/>
    </row>
    <row r="904" spans="1:51" ht="15.75" customHeight="1" x14ac:dyDescent="0.25">
      <c r="A904" s="271"/>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c r="AL904" s="271"/>
      <c r="AM904" s="271"/>
      <c r="AN904" s="271"/>
      <c r="AO904" s="271"/>
      <c r="AP904" s="271"/>
      <c r="AQ904" s="271"/>
      <c r="AR904" s="271"/>
      <c r="AS904" s="271"/>
      <c r="AT904" s="271"/>
      <c r="AU904" s="271"/>
      <c r="AV904" s="271"/>
      <c r="AW904" s="271"/>
      <c r="AX904" s="271"/>
      <c r="AY904" s="271"/>
    </row>
    <row r="905" spans="1:51" ht="15.75" customHeight="1" x14ac:dyDescent="0.25">
      <c r="A905" s="271"/>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c r="AL905" s="271"/>
      <c r="AM905" s="271"/>
      <c r="AN905" s="271"/>
      <c r="AO905" s="271"/>
      <c r="AP905" s="271"/>
      <c r="AQ905" s="271"/>
      <c r="AR905" s="271"/>
      <c r="AS905" s="271"/>
      <c r="AT905" s="271"/>
      <c r="AU905" s="271"/>
      <c r="AV905" s="271"/>
      <c r="AW905" s="271"/>
      <c r="AX905" s="271"/>
      <c r="AY905" s="271"/>
    </row>
    <row r="906" spans="1:51" ht="15.75" customHeight="1" x14ac:dyDescent="0.25">
      <c r="A906" s="271"/>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c r="AL906" s="271"/>
      <c r="AM906" s="271"/>
      <c r="AN906" s="271"/>
      <c r="AO906" s="271"/>
      <c r="AP906" s="271"/>
      <c r="AQ906" s="271"/>
      <c r="AR906" s="271"/>
      <c r="AS906" s="271"/>
      <c r="AT906" s="271"/>
      <c r="AU906" s="271"/>
      <c r="AV906" s="271"/>
      <c r="AW906" s="271"/>
      <c r="AX906" s="271"/>
      <c r="AY906" s="271"/>
    </row>
    <row r="907" spans="1:51" ht="15.75" customHeight="1" x14ac:dyDescent="0.25">
      <c r="A907" s="271"/>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c r="AL907" s="271"/>
      <c r="AM907" s="271"/>
      <c r="AN907" s="271"/>
      <c r="AO907" s="271"/>
      <c r="AP907" s="271"/>
      <c r="AQ907" s="271"/>
      <c r="AR907" s="271"/>
      <c r="AS907" s="271"/>
      <c r="AT907" s="271"/>
      <c r="AU907" s="271"/>
      <c r="AV907" s="271"/>
      <c r="AW907" s="271"/>
      <c r="AX907" s="271"/>
      <c r="AY907" s="271"/>
    </row>
    <row r="908" spans="1:51" ht="15.75" customHeight="1" x14ac:dyDescent="0.25">
      <c r="A908" s="271"/>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c r="AL908" s="271"/>
      <c r="AM908" s="271"/>
      <c r="AN908" s="271"/>
      <c r="AO908" s="271"/>
      <c r="AP908" s="271"/>
      <c r="AQ908" s="271"/>
      <c r="AR908" s="271"/>
      <c r="AS908" s="271"/>
      <c r="AT908" s="271"/>
      <c r="AU908" s="271"/>
      <c r="AV908" s="271"/>
      <c r="AW908" s="271"/>
      <c r="AX908" s="271"/>
      <c r="AY908" s="271"/>
    </row>
    <row r="909" spans="1:51" ht="15.75" customHeight="1" x14ac:dyDescent="0.25">
      <c r="A909" s="271"/>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c r="AL909" s="271"/>
      <c r="AM909" s="271"/>
      <c r="AN909" s="271"/>
      <c r="AO909" s="271"/>
      <c r="AP909" s="271"/>
      <c r="AQ909" s="271"/>
      <c r="AR909" s="271"/>
      <c r="AS909" s="271"/>
      <c r="AT909" s="271"/>
      <c r="AU909" s="271"/>
      <c r="AV909" s="271"/>
      <c r="AW909" s="271"/>
      <c r="AX909" s="271"/>
      <c r="AY909" s="271"/>
    </row>
    <row r="910" spans="1:51" ht="15.75" customHeight="1" x14ac:dyDescent="0.25">
      <c r="A910" s="271"/>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c r="AL910" s="271"/>
      <c r="AM910" s="271"/>
      <c r="AN910" s="271"/>
      <c r="AO910" s="271"/>
      <c r="AP910" s="271"/>
      <c r="AQ910" s="271"/>
      <c r="AR910" s="271"/>
      <c r="AS910" s="271"/>
      <c r="AT910" s="271"/>
      <c r="AU910" s="271"/>
      <c r="AV910" s="271"/>
      <c r="AW910" s="271"/>
      <c r="AX910" s="271"/>
      <c r="AY910" s="271"/>
    </row>
    <row r="911" spans="1:51" ht="15.75" customHeight="1" x14ac:dyDescent="0.25">
      <c r="A911" s="271"/>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c r="AL911" s="271"/>
      <c r="AM911" s="271"/>
      <c r="AN911" s="271"/>
      <c r="AO911" s="271"/>
      <c r="AP911" s="271"/>
      <c r="AQ911" s="271"/>
      <c r="AR911" s="271"/>
      <c r="AS911" s="271"/>
      <c r="AT911" s="271"/>
      <c r="AU911" s="271"/>
      <c r="AV911" s="271"/>
      <c r="AW911" s="271"/>
      <c r="AX911" s="271"/>
      <c r="AY911" s="271"/>
    </row>
    <row r="912" spans="1:51" ht="15.75" customHeight="1" x14ac:dyDescent="0.25">
      <c r="A912" s="271"/>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c r="AL912" s="271"/>
      <c r="AM912" s="271"/>
      <c r="AN912" s="271"/>
      <c r="AO912" s="271"/>
      <c r="AP912" s="271"/>
      <c r="AQ912" s="271"/>
      <c r="AR912" s="271"/>
      <c r="AS912" s="271"/>
      <c r="AT912" s="271"/>
      <c r="AU912" s="271"/>
      <c r="AV912" s="271"/>
      <c r="AW912" s="271"/>
      <c r="AX912" s="271"/>
      <c r="AY912" s="271"/>
    </row>
    <row r="913" spans="1:51" ht="15.75" customHeight="1" x14ac:dyDescent="0.25">
      <c r="A913" s="271"/>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c r="AL913" s="271"/>
      <c r="AM913" s="271"/>
      <c r="AN913" s="271"/>
      <c r="AO913" s="271"/>
      <c r="AP913" s="271"/>
      <c r="AQ913" s="271"/>
      <c r="AR913" s="271"/>
      <c r="AS913" s="271"/>
      <c r="AT913" s="271"/>
      <c r="AU913" s="271"/>
      <c r="AV913" s="271"/>
      <c r="AW913" s="271"/>
      <c r="AX913" s="271"/>
      <c r="AY913" s="271"/>
    </row>
    <row r="914" spans="1:51" ht="15.75" customHeight="1" x14ac:dyDescent="0.25">
      <c r="A914" s="271"/>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c r="AL914" s="271"/>
      <c r="AM914" s="271"/>
      <c r="AN914" s="271"/>
      <c r="AO914" s="271"/>
      <c r="AP914" s="271"/>
      <c r="AQ914" s="271"/>
      <c r="AR914" s="271"/>
      <c r="AS914" s="271"/>
      <c r="AT914" s="271"/>
      <c r="AU914" s="271"/>
      <c r="AV914" s="271"/>
      <c r="AW914" s="271"/>
      <c r="AX914" s="271"/>
      <c r="AY914" s="271"/>
    </row>
    <row r="915" spans="1:51" ht="15.75" customHeight="1" x14ac:dyDescent="0.25">
      <c r="A915" s="271"/>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c r="AL915" s="271"/>
      <c r="AM915" s="271"/>
      <c r="AN915" s="271"/>
      <c r="AO915" s="271"/>
      <c r="AP915" s="271"/>
      <c r="AQ915" s="271"/>
      <c r="AR915" s="271"/>
      <c r="AS915" s="271"/>
      <c r="AT915" s="271"/>
      <c r="AU915" s="271"/>
      <c r="AV915" s="271"/>
      <c r="AW915" s="271"/>
      <c r="AX915" s="271"/>
      <c r="AY915" s="271"/>
    </row>
    <row r="916" spans="1:51" ht="15.75" customHeight="1" x14ac:dyDescent="0.25">
      <c r="A916" s="271"/>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c r="AL916" s="271"/>
      <c r="AM916" s="271"/>
      <c r="AN916" s="271"/>
      <c r="AO916" s="271"/>
      <c r="AP916" s="271"/>
      <c r="AQ916" s="271"/>
      <c r="AR916" s="271"/>
      <c r="AS916" s="271"/>
      <c r="AT916" s="271"/>
      <c r="AU916" s="271"/>
      <c r="AV916" s="271"/>
      <c r="AW916" s="271"/>
      <c r="AX916" s="271"/>
      <c r="AY916" s="271"/>
    </row>
    <row r="917" spans="1:51" ht="15.75" customHeight="1" x14ac:dyDescent="0.25">
      <c r="A917" s="271"/>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c r="AL917" s="271"/>
      <c r="AM917" s="271"/>
      <c r="AN917" s="271"/>
      <c r="AO917" s="271"/>
      <c r="AP917" s="271"/>
      <c r="AQ917" s="271"/>
      <c r="AR917" s="271"/>
      <c r="AS917" s="271"/>
      <c r="AT917" s="271"/>
      <c r="AU917" s="271"/>
      <c r="AV917" s="271"/>
      <c r="AW917" s="271"/>
      <c r="AX917" s="271"/>
      <c r="AY917" s="271"/>
    </row>
    <row r="918" spans="1:51" ht="15.75" customHeight="1" x14ac:dyDescent="0.25">
      <c r="A918" s="271"/>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c r="AL918" s="271"/>
      <c r="AM918" s="271"/>
      <c r="AN918" s="271"/>
      <c r="AO918" s="271"/>
      <c r="AP918" s="271"/>
      <c r="AQ918" s="271"/>
      <c r="AR918" s="271"/>
      <c r="AS918" s="271"/>
      <c r="AT918" s="271"/>
      <c r="AU918" s="271"/>
      <c r="AV918" s="271"/>
      <c r="AW918" s="271"/>
      <c r="AX918" s="271"/>
      <c r="AY918" s="271"/>
    </row>
    <row r="919" spans="1:51" ht="15.75" customHeight="1" x14ac:dyDescent="0.25">
      <c r="A919" s="271"/>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c r="AL919" s="271"/>
      <c r="AM919" s="271"/>
      <c r="AN919" s="271"/>
      <c r="AO919" s="271"/>
      <c r="AP919" s="271"/>
      <c r="AQ919" s="271"/>
      <c r="AR919" s="271"/>
      <c r="AS919" s="271"/>
      <c r="AT919" s="271"/>
      <c r="AU919" s="271"/>
      <c r="AV919" s="271"/>
      <c r="AW919" s="271"/>
      <c r="AX919" s="271"/>
      <c r="AY919" s="271"/>
    </row>
    <row r="920" spans="1:51" ht="15.75" customHeight="1" x14ac:dyDescent="0.25">
      <c r="A920" s="271"/>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c r="AL920" s="271"/>
      <c r="AM920" s="271"/>
      <c r="AN920" s="271"/>
      <c r="AO920" s="271"/>
      <c r="AP920" s="271"/>
      <c r="AQ920" s="271"/>
      <c r="AR920" s="271"/>
      <c r="AS920" s="271"/>
      <c r="AT920" s="271"/>
      <c r="AU920" s="271"/>
      <c r="AV920" s="271"/>
      <c r="AW920" s="271"/>
      <c r="AX920" s="271"/>
      <c r="AY920" s="271"/>
    </row>
    <row r="921" spans="1:51" ht="15.75" customHeight="1" x14ac:dyDescent="0.25">
      <c r="A921" s="271"/>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c r="AL921" s="271"/>
      <c r="AM921" s="271"/>
      <c r="AN921" s="271"/>
      <c r="AO921" s="271"/>
      <c r="AP921" s="271"/>
      <c r="AQ921" s="271"/>
      <c r="AR921" s="271"/>
      <c r="AS921" s="271"/>
      <c r="AT921" s="271"/>
      <c r="AU921" s="271"/>
      <c r="AV921" s="271"/>
      <c r="AW921" s="271"/>
      <c r="AX921" s="271"/>
      <c r="AY921" s="271"/>
    </row>
    <row r="922" spans="1:51" ht="15.75" customHeight="1" x14ac:dyDescent="0.25">
      <c r="A922" s="271"/>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c r="AL922" s="271"/>
      <c r="AM922" s="271"/>
      <c r="AN922" s="271"/>
      <c r="AO922" s="271"/>
      <c r="AP922" s="271"/>
      <c r="AQ922" s="271"/>
      <c r="AR922" s="271"/>
      <c r="AS922" s="271"/>
      <c r="AT922" s="271"/>
      <c r="AU922" s="271"/>
      <c r="AV922" s="271"/>
      <c r="AW922" s="271"/>
      <c r="AX922" s="271"/>
      <c r="AY922" s="271"/>
    </row>
    <row r="923" spans="1:51" ht="15.75" customHeight="1" x14ac:dyDescent="0.25">
      <c r="A923" s="271"/>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c r="AL923" s="271"/>
      <c r="AM923" s="271"/>
      <c r="AN923" s="271"/>
      <c r="AO923" s="271"/>
      <c r="AP923" s="271"/>
      <c r="AQ923" s="271"/>
      <c r="AR923" s="271"/>
      <c r="AS923" s="271"/>
      <c r="AT923" s="271"/>
      <c r="AU923" s="271"/>
      <c r="AV923" s="271"/>
      <c r="AW923" s="271"/>
      <c r="AX923" s="271"/>
      <c r="AY923" s="271"/>
    </row>
    <row r="924" spans="1:51" ht="15.75" customHeight="1" x14ac:dyDescent="0.25">
      <c r="A924" s="271"/>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c r="AL924" s="271"/>
      <c r="AM924" s="271"/>
      <c r="AN924" s="271"/>
      <c r="AO924" s="271"/>
      <c r="AP924" s="271"/>
      <c r="AQ924" s="271"/>
      <c r="AR924" s="271"/>
      <c r="AS924" s="271"/>
      <c r="AT924" s="271"/>
      <c r="AU924" s="271"/>
      <c r="AV924" s="271"/>
      <c r="AW924" s="271"/>
      <c r="AX924" s="271"/>
      <c r="AY924" s="271"/>
    </row>
    <row r="925" spans="1:51" ht="15.75" customHeight="1" x14ac:dyDescent="0.25">
      <c r="A925" s="271"/>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c r="AL925" s="271"/>
      <c r="AM925" s="271"/>
      <c r="AN925" s="271"/>
      <c r="AO925" s="271"/>
      <c r="AP925" s="271"/>
      <c r="AQ925" s="271"/>
      <c r="AR925" s="271"/>
      <c r="AS925" s="271"/>
      <c r="AT925" s="271"/>
      <c r="AU925" s="271"/>
      <c r="AV925" s="271"/>
      <c r="AW925" s="271"/>
      <c r="AX925" s="271"/>
      <c r="AY925" s="271"/>
    </row>
    <row r="926" spans="1:51" ht="15.75" customHeight="1" x14ac:dyDescent="0.25">
      <c r="A926" s="271"/>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c r="AL926" s="271"/>
      <c r="AM926" s="271"/>
      <c r="AN926" s="271"/>
      <c r="AO926" s="271"/>
      <c r="AP926" s="271"/>
      <c r="AQ926" s="271"/>
      <c r="AR926" s="271"/>
      <c r="AS926" s="271"/>
      <c r="AT926" s="271"/>
      <c r="AU926" s="271"/>
      <c r="AV926" s="271"/>
      <c r="AW926" s="271"/>
      <c r="AX926" s="271"/>
      <c r="AY926" s="271"/>
    </row>
    <row r="927" spans="1:51" ht="15.75" customHeight="1" x14ac:dyDescent="0.25">
      <c r="A927" s="271"/>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c r="AL927" s="271"/>
      <c r="AM927" s="271"/>
      <c r="AN927" s="271"/>
      <c r="AO927" s="271"/>
      <c r="AP927" s="271"/>
      <c r="AQ927" s="271"/>
      <c r="AR927" s="271"/>
      <c r="AS927" s="271"/>
      <c r="AT927" s="271"/>
      <c r="AU927" s="271"/>
      <c r="AV927" s="271"/>
      <c r="AW927" s="271"/>
      <c r="AX927" s="271"/>
      <c r="AY927" s="271"/>
    </row>
    <row r="928" spans="1:51" ht="15.75" customHeight="1" x14ac:dyDescent="0.25">
      <c r="A928" s="271"/>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c r="AL928" s="271"/>
      <c r="AM928" s="271"/>
      <c r="AN928" s="271"/>
      <c r="AO928" s="271"/>
      <c r="AP928" s="271"/>
      <c r="AQ928" s="271"/>
      <c r="AR928" s="271"/>
      <c r="AS928" s="271"/>
      <c r="AT928" s="271"/>
      <c r="AU928" s="271"/>
      <c r="AV928" s="271"/>
      <c r="AW928" s="271"/>
      <c r="AX928" s="271"/>
      <c r="AY928" s="271"/>
    </row>
    <row r="929" spans="1:51" ht="15.75" customHeight="1" x14ac:dyDescent="0.25">
      <c r="A929" s="271"/>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c r="AL929" s="271"/>
      <c r="AM929" s="271"/>
      <c r="AN929" s="271"/>
      <c r="AO929" s="271"/>
      <c r="AP929" s="271"/>
      <c r="AQ929" s="271"/>
      <c r="AR929" s="271"/>
      <c r="AS929" s="271"/>
      <c r="AT929" s="271"/>
      <c r="AU929" s="271"/>
      <c r="AV929" s="271"/>
      <c r="AW929" s="271"/>
      <c r="AX929" s="271"/>
      <c r="AY929" s="271"/>
    </row>
    <row r="930" spans="1:51" ht="15.75" customHeight="1" x14ac:dyDescent="0.25">
      <c r="A930" s="271"/>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c r="AL930" s="271"/>
      <c r="AM930" s="271"/>
      <c r="AN930" s="271"/>
      <c r="AO930" s="271"/>
      <c r="AP930" s="271"/>
      <c r="AQ930" s="271"/>
      <c r="AR930" s="271"/>
      <c r="AS930" s="271"/>
      <c r="AT930" s="271"/>
      <c r="AU930" s="271"/>
      <c r="AV930" s="271"/>
      <c r="AW930" s="271"/>
      <c r="AX930" s="271"/>
      <c r="AY930" s="271"/>
    </row>
    <row r="931" spans="1:51" ht="15.75" customHeight="1" x14ac:dyDescent="0.25">
      <c r="A931" s="271"/>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c r="AL931" s="271"/>
      <c r="AM931" s="271"/>
      <c r="AN931" s="271"/>
      <c r="AO931" s="271"/>
      <c r="AP931" s="271"/>
      <c r="AQ931" s="271"/>
      <c r="AR931" s="271"/>
      <c r="AS931" s="271"/>
      <c r="AT931" s="271"/>
      <c r="AU931" s="271"/>
      <c r="AV931" s="271"/>
      <c r="AW931" s="271"/>
      <c r="AX931" s="271"/>
      <c r="AY931" s="271"/>
    </row>
    <row r="932" spans="1:51" ht="15.75" customHeight="1" x14ac:dyDescent="0.25">
      <c r="A932" s="271"/>
      <c r="B932" s="271"/>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c r="AL932" s="271"/>
      <c r="AM932" s="271"/>
      <c r="AN932" s="271"/>
      <c r="AO932" s="271"/>
      <c r="AP932" s="271"/>
      <c r="AQ932" s="271"/>
      <c r="AR932" s="271"/>
      <c r="AS932" s="271"/>
      <c r="AT932" s="271"/>
      <c r="AU932" s="271"/>
      <c r="AV932" s="271"/>
      <c r="AW932" s="271"/>
      <c r="AX932" s="271"/>
      <c r="AY932" s="271"/>
    </row>
    <row r="933" spans="1:51" ht="15.75" customHeight="1" x14ac:dyDescent="0.25">
      <c r="A933" s="271"/>
      <c r="B933" s="271"/>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c r="AL933" s="271"/>
      <c r="AM933" s="271"/>
      <c r="AN933" s="271"/>
      <c r="AO933" s="271"/>
      <c r="AP933" s="271"/>
      <c r="AQ933" s="271"/>
      <c r="AR933" s="271"/>
      <c r="AS933" s="271"/>
      <c r="AT933" s="271"/>
      <c r="AU933" s="271"/>
      <c r="AV933" s="271"/>
      <c r="AW933" s="271"/>
      <c r="AX933" s="271"/>
      <c r="AY933" s="271"/>
    </row>
    <row r="934" spans="1:51" ht="15.75" customHeight="1" x14ac:dyDescent="0.25">
      <c r="A934" s="271"/>
      <c r="B934" s="271"/>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c r="AL934" s="271"/>
      <c r="AM934" s="271"/>
      <c r="AN934" s="271"/>
      <c r="AO934" s="271"/>
      <c r="AP934" s="271"/>
      <c r="AQ934" s="271"/>
      <c r="AR934" s="271"/>
      <c r="AS934" s="271"/>
      <c r="AT934" s="271"/>
      <c r="AU934" s="271"/>
      <c r="AV934" s="271"/>
      <c r="AW934" s="271"/>
      <c r="AX934" s="271"/>
      <c r="AY934" s="271"/>
    </row>
    <row r="935" spans="1:51" ht="15.75" customHeight="1" x14ac:dyDescent="0.25">
      <c r="A935" s="271"/>
      <c r="B935" s="271"/>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c r="AL935" s="271"/>
      <c r="AM935" s="271"/>
      <c r="AN935" s="271"/>
      <c r="AO935" s="271"/>
      <c r="AP935" s="271"/>
      <c r="AQ935" s="271"/>
      <c r="AR935" s="271"/>
      <c r="AS935" s="271"/>
      <c r="AT935" s="271"/>
      <c r="AU935" s="271"/>
      <c r="AV935" s="271"/>
      <c r="AW935" s="271"/>
      <c r="AX935" s="271"/>
      <c r="AY935" s="271"/>
    </row>
    <row r="936" spans="1:51" ht="15.75" customHeight="1" x14ac:dyDescent="0.25">
      <c r="A936" s="271"/>
      <c r="B936" s="271"/>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c r="AL936" s="271"/>
      <c r="AM936" s="271"/>
      <c r="AN936" s="271"/>
      <c r="AO936" s="271"/>
      <c r="AP936" s="271"/>
      <c r="AQ936" s="271"/>
      <c r="AR936" s="271"/>
      <c r="AS936" s="271"/>
      <c r="AT936" s="271"/>
      <c r="AU936" s="271"/>
      <c r="AV936" s="271"/>
      <c r="AW936" s="271"/>
      <c r="AX936" s="271"/>
      <c r="AY936" s="271"/>
    </row>
    <row r="937" spans="1:51" ht="15.75" customHeight="1" x14ac:dyDescent="0.25">
      <c r="A937" s="271"/>
      <c r="B937" s="271"/>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c r="AL937" s="271"/>
      <c r="AM937" s="271"/>
      <c r="AN937" s="271"/>
      <c r="AO937" s="271"/>
      <c r="AP937" s="271"/>
      <c r="AQ937" s="271"/>
      <c r="AR937" s="271"/>
      <c r="AS937" s="271"/>
      <c r="AT937" s="271"/>
      <c r="AU937" s="271"/>
      <c r="AV937" s="271"/>
      <c r="AW937" s="271"/>
      <c r="AX937" s="271"/>
      <c r="AY937" s="271"/>
    </row>
    <row r="938" spans="1:51" ht="15.75" customHeight="1" x14ac:dyDescent="0.25">
      <c r="A938" s="271"/>
      <c r="B938" s="271"/>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c r="AL938" s="271"/>
      <c r="AM938" s="271"/>
      <c r="AN938" s="271"/>
      <c r="AO938" s="271"/>
      <c r="AP938" s="271"/>
      <c r="AQ938" s="271"/>
      <c r="AR938" s="271"/>
      <c r="AS938" s="271"/>
      <c r="AT938" s="271"/>
      <c r="AU938" s="271"/>
      <c r="AV938" s="271"/>
      <c r="AW938" s="271"/>
      <c r="AX938" s="271"/>
      <c r="AY938" s="271"/>
    </row>
    <row r="939" spans="1:51" ht="15.75" customHeight="1" x14ac:dyDescent="0.25">
      <c r="A939" s="271"/>
      <c r="B939" s="271"/>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c r="AL939" s="271"/>
      <c r="AM939" s="271"/>
      <c r="AN939" s="271"/>
      <c r="AO939" s="271"/>
      <c r="AP939" s="271"/>
      <c r="AQ939" s="271"/>
      <c r="AR939" s="271"/>
      <c r="AS939" s="271"/>
      <c r="AT939" s="271"/>
      <c r="AU939" s="271"/>
      <c r="AV939" s="271"/>
      <c r="AW939" s="271"/>
      <c r="AX939" s="271"/>
      <c r="AY939" s="271"/>
    </row>
    <row r="940" spans="1:51" ht="15.75" customHeight="1" x14ac:dyDescent="0.25">
      <c r="A940" s="271"/>
      <c r="B940" s="271"/>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c r="AL940" s="271"/>
      <c r="AM940" s="271"/>
      <c r="AN940" s="271"/>
      <c r="AO940" s="271"/>
      <c r="AP940" s="271"/>
      <c r="AQ940" s="271"/>
      <c r="AR940" s="271"/>
      <c r="AS940" s="271"/>
      <c r="AT940" s="271"/>
      <c r="AU940" s="271"/>
      <c r="AV940" s="271"/>
      <c r="AW940" s="271"/>
      <c r="AX940" s="271"/>
      <c r="AY940" s="271"/>
    </row>
    <row r="941" spans="1:51" ht="15.75" customHeight="1" x14ac:dyDescent="0.25">
      <c r="A941" s="271"/>
      <c r="B941" s="271"/>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c r="AL941" s="271"/>
      <c r="AM941" s="271"/>
      <c r="AN941" s="271"/>
      <c r="AO941" s="271"/>
      <c r="AP941" s="271"/>
      <c r="AQ941" s="271"/>
      <c r="AR941" s="271"/>
      <c r="AS941" s="271"/>
      <c r="AT941" s="271"/>
      <c r="AU941" s="271"/>
      <c r="AV941" s="271"/>
      <c r="AW941" s="271"/>
      <c r="AX941" s="271"/>
      <c r="AY941" s="271"/>
    </row>
    <row r="942" spans="1:51" ht="15.75" customHeight="1" x14ac:dyDescent="0.25">
      <c r="A942" s="271"/>
      <c r="B942" s="271"/>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c r="AL942" s="271"/>
      <c r="AM942" s="271"/>
      <c r="AN942" s="271"/>
      <c r="AO942" s="271"/>
      <c r="AP942" s="271"/>
      <c r="AQ942" s="271"/>
      <c r="AR942" s="271"/>
      <c r="AS942" s="271"/>
      <c r="AT942" s="271"/>
      <c r="AU942" s="271"/>
      <c r="AV942" s="271"/>
      <c r="AW942" s="271"/>
      <c r="AX942" s="271"/>
      <c r="AY942" s="271"/>
    </row>
    <row r="943" spans="1:51" ht="15.75" customHeight="1" x14ac:dyDescent="0.25">
      <c r="A943" s="271"/>
      <c r="B943" s="271"/>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c r="AL943" s="271"/>
      <c r="AM943" s="271"/>
      <c r="AN943" s="271"/>
      <c r="AO943" s="271"/>
      <c r="AP943" s="271"/>
      <c r="AQ943" s="271"/>
      <c r="AR943" s="271"/>
      <c r="AS943" s="271"/>
      <c r="AT943" s="271"/>
      <c r="AU943" s="271"/>
      <c r="AV943" s="271"/>
      <c r="AW943" s="271"/>
      <c r="AX943" s="271"/>
      <c r="AY943" s="271"/>
    </row>
    <row r="944" spans="1:51" ht="15.75" customHeight="1" x14ac:dyDescent="0.25">
      <c r="A944" s="271"/>
      <c r="B944" s="271"/>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c r="AL944" s="271"/>
      <c r="AM944" s="271"/>
      <c r="AN944" s="271"/>
      <c r="AO944" s="271"/>
      <c r="AP944" s="271"/>
      <c r="AQ944" s="271"/>
      <c r="AR944" s="271"/>
      <c r="AS944" s="271"/>
      <c r="AT944" s="271"/>
      <c r="AU944" s="271"/>
      <c r="AV944" s="271"/>
      <c r="AW944" s="271"/>
      <c r="AX944" s="271"/>
      <c r="AY944" s="271"/>
    </row>
    <row r="945" spans="1:51" ht="15.75" customHeight="1" x14ac:dyDescent="0.25">
      <c r="A945" s="271"/>
      <c r="B945" s="271"/>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c r="AL945" s="271"/>
      <c r="AM945" s="271"/>
      <c r="AN945" s="271"/>
      <c r="AO945" s="271"/>
      <c r="AP945" s="271"/>
      <c r="AQ945" s="271"/>
      <c r="AR945" s="271"/>
      <c r="AS945" s="271"/>
      <c r="AT945" s="271"/>
      <c r="AU945" s="271"/>
      <c r="AV945" s="271"/>
      <c r="AW945" s="271"/>
      <c r="AX945" s="271"/>
      <c r="AY945" s="271"/>
    </row>
    <row r="946" spans="1:51" ht="15.75" customHeight="1" x14ac:dyDescent="0.25">
      <c r="A946" s="271"/>
      <c r="B946" s="271"/>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c r="AL946" s="271"/>
      <c r="AM946" s="271"/>
      <c r="AN946" s="271"/>
      <c r="AO946" s="271"/>
      <c r="AP946" s="271"/>
      <c r="AQ946" s="271"/>
      <c r="AR946" s="271"/>
      <c r="AS946" s="271"/>
      <c r="AT946" s="271"/>
      <c r="AU946" s="271"/>
      <c r="AV946" s="271"/>
      <c r="AW946" s="271"/>
      <c r="AX946" s="271"/>
      <c r="AY946" s="271"/>
    </row>
    <row r="947" spans="1:51" ht="15.75" customHeight="1" x14ac:dyDescent="0.25">
      <c r="A947" s="271"/>
      <c r="B947" s="271"/>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c r="AL947" s="271"/>
      <c r="AM947" s="271"/>
      <c r="AN947" s="271"/>
      <c r="AO947" s="271"/>
      <c r="AP947" s="271"/>
      <c r="AQ947" s="271"/>
      <c r="AR947" s="271"/>
      <c r="AS947" s="271"/>
      <c r="AT947" s="271"/>
      <c r="AU947" s="271"/>
      <c r="AV947" s="271"/>
      <c r="AW947" s="271"/>
      <c r="AX947" s="271"/>
      <c r="AY947" s="271"/>
    </row>
    <row r="948" spans="1:51" ht="15.75" customHeight="1" x14ac:dyDescent="0.25">
      <c r="A948" s="271"/>
      <c r="B948" s="271"/>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c r="AL948" s="271"/>
      <c r="AM948" s="271"/>
      <c r="AN948" s="271"/>
      <c r="AO948" s="271"/>
      <c r="AP948" s="271"/>
      <c r="AQ948" s="271"/>
      <c r="AR948" s="271"/>
      <c r="AS948" s="271"/>
      <c r="AT948" s="271"/>
      <c r="AU948" s="271"/>
      <c r="AV948" s="271"/>
      <c r="AW948" s="271"/>
      <c r="AX948" s="271"/>
      <c r="AY948" s="271"/>
    </row>
    <row r="949" spans="1:51" ht="15.75" customHeight="1" x14ac:dyDescent="0.25">
      <c r="A949" s="271"/>
      <c r="B949" s="271"/>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c r="AL949" s="271"/>
      <c r="AM949" s="271"/>
      <c r="AN949" s="271"/>
      <c r="AO949" s="271"/>
      <c r="AP949" s="271"/>
      <c r="AQ949" s="271"/>
      <c r="AR949" s="271"/>
      <c r="AS949" s="271"/>
      <c r="AT949" s="271"/>
      <c r="AU949" s="271"/>
      <c r="AV949" s="271"/>
      <c r="AW949" s="271"/>
      <c r="AX949" s="271"/>
      <c r="AY949" s="271"/>
    </row>
    <row r="950" spans="1:51" ht="15.75" customHeight="1" x14ac:dyDescent="0.25">
      <c r="A950" s="271"/>
      <c r="B950" s="271"/>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c r="AL950" s="271"/>
      <c r="AM950" s="271"/>
      <c r="AN950" s="271"/>
      <c r="AO950" s="271"/>
      <c r="AP950" s="271"/>
      <c r="AQ950" s="271"/>
      <c r="AR950" s="271"/>
      <c r="AS950" s="271"/>
      <c r="AT950" s="271"/>
      <c r="AU950" s="271"/>
      <c r="AV950" s="271"/>
      <c r="AW950" s="271"/>
      <c r="AX950" s="271"/>
      <c r="AY950" s="271"/>
    </row>
    <row r="951" spans="1:51" ht="15.75" customHeight="1" x14ac:dyDescent="0.25">
      <c r="A951" s="271"/>
      <c r="B951" s="271"/>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c r="AL951" s="271"/>
      <c r="AM951" s="271"/>
      <c r="AN951" s="271"/>
      <c r="AO951" s="271"/>
      <c r="AP951" s="271"/>
      <c r="AQ951" s="271"/>
      <c r="AR951" s="271"/>
      <c r="AS951" s="271"/>
      <c r="AT951" s="271"/>
      <c r="AU951" s="271"/>
      <c r="AV951" s="271"/>
      <c r="AW951" s="271"/>
      <c r="AX951" s="271"/>
      <c r="AY951" s="271"/>
    </row>
    <row r="952" spans="1:51" ht="15.75" customHeight="1" x14ac:dyDescent="0.25">
      <c r="A952" s="271"/>
      <c r="B952" s="271"/>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c r="AL952" s="271"/>
      <c r="AM952" s="271"/>
      <c r="AN952" s="271"/>
      <c r="AO952" s="271"/>
      <c r="AP952" s="271"/>
      <c r="AQ952" s="271"/>
      <c r="AR952" s="271"/>
      <c r="AS952" s="271"/>
      <c r="AT952" s="271"/>
      <c r="AU952" s="271"/>
      <c r="AV952" s="271"/>
      <c r="AW952" s="271"/>
      <c r="AX952" s="271"/>
      <c r="AY952" s="271"/>
    </row>
    <row r="953" spans="1:51" ht="15.75" customHeight="1" x14ac:dyDescent="0.25">
      <c r="A953" s="271"/>
      <c r="B953" s="271"/>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c r="AL953" s="271"/>
      <c r="AM953" s="271"/>
      <c r="AN953" s="271"/>
      <c r="AO953" s="271"/>
      <c r="AP953" s="271"/>
      <c r="AQ953" s="271"/>
      <c r="AR953" s="271"/>
      <c r="AS953" s="271"/>
      <c r="AT953" s="271"/>
      <c r="AU953" s="271"/>
      <c r="AV953" s="271"/>
      <c r="AW953" s="271"/>
      <c r="AX953" s="271"/>
      <c r="AY953" s="271"/>
    </row>
    <row r="954" spans="1:51" ht="15.75" customHeight="1" x14ac:dyDescent="0.25">
      <c r="A954" s="271"/>
      <c r="B954" s="271"/>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c r="AL954" s="271"/>
      <c r="AM954" s="271"/>
      <c r="AN954" s="271"/>
      <c r="AO954" s="271"/>
      <c r="AP954" s="271"/>
      <c r="AQ954" s="271"/>
      <c r="AR954" s="271"/>
      <c r="AS954" s="271"/>
      <c r="AT954" s="271"/>
      <c r="AU954" s="271"/>
      <c r="AV954" s="271"/>
      <c r="AW954" s="271"/>
      <c r="AX954" s="271"/>
      <c r="AY954" s="271"/>
    </row>
    <row r="955" spans="1:51" ht="15.75" customHeight="1" x14ac:dyDescent="0.25">
      <c r="A955" s="271"/>
      <c r="B955" s="271"/>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c r="AL955" s="271"/>
      <c r="AM955" s="271"/>
      <c r="AN955" s="271"/>
      <c r="AO955" s="271"/>
      <c r="AP955" s="271"/>
      <c r="AQ955" s="271"/>
      <c r="AR955" s="271"/>
      <c r="AS955" s="271"/>
      <c r="AT955" s="271"/>
      <c r="AU955" s="271"/>
      <c r="AV955" s="271"/>
      <c r="AW955" s="271"/>
      <c r="AX955" s="271"/>
      <c r="AY955" s="271"/>
    </row>
    <row r="956" spans="1:51" ht="15.75" customHeight="1" x14ac:dyDescent="0.25">
      <c r="A956" s="271"/>
      <c r="B956" s="271"/>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c r="AL956" s="271"/>
      <c r="AM956" s="271"/>
      <c r="AN956" s="271"/>
      <c r="AO956" s="271"/>
      <c r="AP956" s="271"/>
      <c r="AQ956" s="271"/>
      <c r="AR956" s="271"/>
      <c r="AS956" s="271"/>
      <c r="AT956" s="271"/>
      <c r="AU956" s="271"/>
      <c r="AV956" s="271"/>
      <c r="AW956" s="271"/>
      <c r="AX956" s="271"/>
      <c r="AY956" s="271"/>
    </row>
    <row r="957" spans="1:51" ht="15.75" customHeight="1" x14ac:dyDescent="0.25">
      <c r="A957" s="271"/>
      <c r="B957" s="271"/>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c r="AL957" s="271"/>
      <c r="AM957" s="271"/>
      <c r="AN957" s="271"/>
      <c r="AO957" s="271"/>
      <c r="AP957" s="271"/>
      <c r="AQ957" s="271"/>
      <c r="AR957" s="271"/>
      <c r="AS957" s="271"/>
      <c r="AT957" s="271"/>
      <c r="AU957" s="271"/>
      <c r="AV957" s="271"/>
      <c r="AW957" s="271"/>
      <c r="AX957" s="271"/>
      <c r="AY957" s="271"/>
    </row>
    <row r="958" spans="1:51" ht="15.75" customHeight="1" x14ac:dyDescent="0.25">
      <c r="A958" s="271"/>
      <c r="B958" s="271"/>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c r="AL958" s="271"/>
      <c r="AM958" s="271"/>
      <c r="AN958" s="271"/>
      <c r="AO958" s="271"/>
      <c r="AP958" s="271"/>
      <c r="AQ958" s="271"/>
      <c r="AR958" s="271"/>
      <c r="AS958" s="271"/>
      <c r="AT958" s="271"/>
      <c r="AU958" s="271"/>
      <c r="AV958" s="271"/>
      <c r="AW958" s="271"/>
      <c r="AX958" s="271"/>
      <c r="AY958" s="271"/>
    </row>
    <row r="959" spans="1:51" ht="15.75" customHeight="1" x14ac:dyDescent="0.25">
      <c r="A959" s="271"/>
      <c r="B959" s="271"/>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c r="AL959" s="271"/>
      <c r="AM959" s="271"/>
      <c r="AN959" s="271"/>
      <c r="AO959" s="271"/>
      <c r="AP959" s="271"/>
      <c r="AQ959" s="271"/>
      <c r="AR959" s="271"/>
      <c r="AS959" s="271"/>
      <c r="AT959" s="271"/>
      <c r="AU959" s="271"/>
      <c r="AV959" s="271"/>
      <c r="AW959" s="271"/>
      <c r="AX959" s="271"/>
      <c r="AY959" s="271"/>
    </row>
    <row r="960" spans="1:51" ht="15.75" customHeight="1" x14ac:dyDescent="0.25">
      <c r="A960" s="271"/>
      <c r="B960" s="271"/>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c r="AL960" s="271"/>
      <c r="AM960" s="271"/>
      <c r="AN960" s="271"/>
      <c r="AO960" s="271"/>
      <c r="AP960" s="271"/>
      <c r="AQ960" s="271"/>
      <c r="AR960" s="271"/>
      <c r="AS960" s="271"/>
      <c r="AT960" s="271"/>
      <c r="AU960" s="271"/>
      <c r="AV960" s="271"/>
      <c r="AW960" s="271"/>
      <c r="AX960" s="271"/>
      <c r="AY960" s="271"/>
    </row>
    <row r="961" spans="1:51" ht="15.75" customHeight="1" x14ac:dyDescent="0.25">
      <c r="A961" s="271"/>
      <c r="B961" s="271"/>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c r="AL961" s="271"/>
      <c r="AM961" s="271"/>
      <c r="AN961" s="271"/>
      <c r="AO961" s="271"/>
      <c r="AP961" s="271"/>
      <c r="AQ961" s="271"/>
      <c r="AR961" s="271"/>
      <c r="AS961" s="271"/>
      <c r="AT961" s="271"/>
      <c r="AU961" s="271"/>
      <c r="AV961" s="271"/>
      <c r="AW961" s="271"/>
      <c r="AX961" s="271"/>
      <c r="AY961" s="271"/>
    </row>
    <row r="962" spans="1:51" ht="15.75" customHeight="1" x14ac:dyDescent="0.25">
      <c r="A962" s="271"/>
      <c r="B962" s="271"/>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c r="AL962" s="271"/>
      <c r="AM962" s="271"/>
      <c r="AN962" s="271"/>
      <c r="AO962" s="271"/>
      <c r="AP962" s="271"/>
      <c r="AQ962" s="271"/>
      <c r="AR962" s="271"/>
      <c r="AS962" s="271"/>
      <c r="AT962" s="271"/>
      <c r="AU962" s="271"/>
      <c r="AV962" s="271"/>
      <c r="AW962" s="271"/>
      <c r="AX962" s="271"/>
      <c r="AY962" s="271"/>
    </row>
    <row r="963" spans="1:51" ht="15.75" customHeight="1" x14ac:dyDescent="0.25">
      <c r="A963" s="271"/>
      <c r="B963" s="271"/>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c r="AL963" s="271"/>
      <c r="AM963" s="271"/>
      <c r="AN963" s="271"/>
      <c r="AO963" s="271"/>
      <c r="AP963" s="271"/>
      <c r="AQ963" s="271"/>
      <c r="AR963" s="271"/>
      <c r="AS963" s="271"/>
      <c r="AT963" s="271"/>
      <c r="AU963" s="271"/>
      <c r="AV963" s="271"/>
      <c r="AW963" s="271"/>
      <c r="AX963" s="271"/>
      <c r="AY963" s="271"/>
    </row>
    <row r="964" spans="1:51" ht="15.75" customHeight="1" x14ac:dyDescent="0.25">
      <c r="A964" s="271"/>
      <c r="B964" s="271"/>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c r="AL964" s="271"/>
      <c r="AM964" s="271"/>
      <c r="AN964" s="271"/>
      <c r="AO964" s="271"/>
      <c r="AP964" s="271"/>
      <c r="AQ964" s="271"/>
      <c r="AR964" s="271"/>
      <c r="AS964" s="271"/>
      <c r="AT964" s="271"/>
      <c r="AU964" s="271"/>
      <c r="AV964" s="271"/>
      <c r="AW964" s="271"/>
      <c r="AX964" s="271"/>
      <c r="AY964" s="271"/>
    </row>
    <row r="965" spans="1:51" ht="15.75" customHeight="1" x14ac:dyDescent="0.25">
      <c r="A965" s="271"/>
      <c r="B965" s="271"/>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c r="AL965" s="271"/>
      <c r="AM965" s="271"/>
      <c r="AN965" s="271"/>
      <c r="AO965" s="271"/>
      <c r="AP965" s="271"/>
      <c r="AQ965" s="271"/>
      <c r="AR965" s="271"/>
      <c r="AS965" s="271"/>
      <c r="AT965" s="271"/>
      <c r="AU965" s="271"/>
      <c r="AV965" s="271"/>
      <c r="AW965" s="271"/>
      <c r="AX965" s="271"/>
      <c r="AY965" s="271"/>
    </row>
    <row r="966" spans="1:51" ht="15.75" customHeight="1" x14ac:dyDescent="0.25">
      <c r="A966" s="271"/>
      <c r="B966" s="271"/>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c r="AL966" s="271"/>
      <c r="AM966" s="271"/>
      <c r="AN966" s="271"/>
      <c r="AO966" s="271"/>
      <c r="AP966" s="271"/>
      <c r="AQ966" s="271"/>
      <c r="AR966" s="271"/>
      <c r="AS966" s="271"/>
      <c r="AT966" s="271"/>
      <c r="AU966" s="271"/>
      <c r="AV966" s="271"/>
      <c r="AW966" s="271"/>
      <c r="AX966" s="271"/>
      <c r="AY966" s="271"/>
    </row>
    <row r="967" spans="1:51" ht="15.75" customHeight="1" x14ac:dyDescent="0.25">
      <c r="A967" s="271"/>
      <c r="B967" s="271"/>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c r="AL967" s="271"/>
      <c r="AM967" s="271"/>
      <c r="AN967" s="271"/>
      <c r="AO967" s="271"/>
      <c r="AP967" s="271"/>
      <c r="AQ967" s="271"/>
      <c r="AR967" s="271"/>
      <c r="AS967" s="271"/>
      <c r="AT967" s="271"/>
      <c r="AU967" s="271"/>
      <c r="AV967" s="271"/>
      <c r="AW967" s="271"/>
      <c r="AX967" s="271"/>
      <c r="AY967" s="271"/>
    </row>
    <row r="968" spans="1:51" ht="15.75" customHeight="1" x14ac:dyDescent="0.25">
      <c r="A968" s="271"/>
      <c r="B968" s="271"/>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c r="AL968" s="271"/>
      <c r="AM968" s="271"/>
      <c r="AN968" s="271"/>
      <c r="AO968" s="271"/>
      <c r="AP968" s="271"/>
      <c r="AQ968" s="271"/>
      <c r="AR968" s="271"/>
      <c r="AS968" s="271"/>
      <c r="AT968" s="271"/>
      <c r="AU968" s="271"/>
      <c r="AV968" s="271"/>
      <c r="AW968" s="271"/>
      <c r="AX968" s="271"/>
      <c r="AY968" s="271"/>
    </row>
    <row r="969" spans="1:51" ht="15.75" customHeight="1" x14ac:dyDescent="0.25">
      <c r="A969" s="271"/>
      <c r="B969" s="271"/>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c r="AL969" s="271"/>
      <c r="AM969" s="271"/>
      <c r="AN969" s="271"/>
      <c r="AO969" s="271"/>
      <c r="AP969" s="271"/>
      <c r="AQ969" s="271"/>
      <c r="AR969" s="271"/>
      <c r="AS969" s="271"/>
      <c r="AT969" s="271"/>
      <c r="AU969" s="271"/>
      <c r="AV969" s="271"/>
      <c r="AW969" s="271"/>
      <c r="AX969" s="271"/>
      <c r="AY969" s="271"/>
    </row>
    <row r="970" spans="1:51" ht="15.75" customHeight="1" x14ac:dyDescent="0.25">
      <c r="A970" s="271"/>
      <c r="B970" s="271"/>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c r="AL970" s="271"/>
      <c r="AM970" s="271"/>
      <c r="AN970" s="271"/>
      <c r="AO970" s="271"/>
      <c r="AP970" s="271"/>
      <c r="AQ970" s="271"/>
      <c r="AR970" s="271"/>
      <c r="AS970" s="271"/>
      <c r="AT970" s="271"/>
      <c r="AU970" s="271"/>
      <c r="AV970" s="271"/>
      <c r="AW970" s="271"/>
      <c r="AX970" s="271"/>
      <c r="AY970" s="271"/>
    </row>
    <row r="971" spans="1:51" ht="15.75" customHeight="1" x14ac:dyDescent="0.25">
      <c r="A971" s="271"/>
      <c r="B971" s="271"/>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c r="AL971" s="271"/>
      <c r="AM971" s="271"/>
      <c r="AN971" s="271"/>
      <c r="AO971" s="271"/>
      <c r="AP971" s="271"/>
      <c r="AQ971" s="271"/>
      <c r="AR971" s="271"/>
      <c r="AS971" s="271"/>
      <c r="AT971" s="271"/>
      <c r="AU971" s="271"/>
      <c r="AV971" s="271"/>
      <c r="AW971" s="271"/>
      <c r="AX971" s="271"/>
      <c r="AY971" s="271"/>
    </row>
    <row r="972" spans="1:51" ht="15.75" customHeight="1" x14ac:dyDescent="0.25">
      <c r="A972" s="271"/>
      <c r="B972" s="271"/>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c r="AL972" s="271"/>
      <c r="AM972" s="271"/>
      <c r="AN972" s="271"/>
      <c r="AO972" s="271"/>
      <c r="AP972" s="271"/>
      <c r="AQ972" s="271"/>
      <c r="AR972" s="271"/>
      <c r="AS972" s="271"/>
      <c r="AT972" s="271"/>
      <c r="AU972" s="271"/>
      <c r="AV972" s="271"/>
      <c r="AW972" s="271"/>
      <c r="AX972" s="271"/>
      <c r="AY972" s="271"/>
    </row>
    <row r="973" spans="1:51" ht="15.75" customHeight="1" x14ac:dyDescent="0.25">
      <c r="A973" s="271"/>
      <c r="B973" s="271"/>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c r="AL973" s="271"/>
      <c r="AM973" s="271"/>
      <c r="AN973" s="271"/>
      <c r="AO973" s="271"/>
      <c r="AP973" s="271"/>
      <c r="AQ973" s="271"/>
      <c r="AR973" s="271"/>
      <c r="AS973" s="271"/>
      <c r="AT973" s="271"/>
      <c r="AU973" s="271"/>
      <c r="AV973" s="271"/>
      <c r="AW973" s="271"/>
      <c r="AX973" s="271"/>
      <c r="AY973" s="271"/>
    </row>
    <row r="974" spans="1:51" ht="15.75" customHeight="1" x14ac:dyDescent="0.25">
      <c r="A974" s="271"/>
      <c r="B974" s="271"/>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c r="AL974" s="271"/>
      <c r="AM974" s="271"/>
      <c r="AN974" s="271"/>
      <c r="AO974" s="271"/>
      <c r="AP974" s="271"/>
      <c r="AQ974" s="271"/>
      <c r="AR974" s="271"/>
      <c r="AS974" s="271"/>
      <c r="AT974" s="271"/>
      <c r="AU974" s="271"/>
      <c r="AV974" s="271"/>
      <c r="AW974" s="271"/>
      <c r="AX974" s="271"/>
      <c r="AY974" s="271"/>
    </row>
    <row r="975" spans="1:51" ht="15.75" customHeight="1" x14ac:dyDescent="0.25">
      <c r="A975" s="271"/>
      <c r="B975" s="271"/>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c r="AL975" s="271"/>
      <c r="AM975" s="271"/>
      <c r="AN975" s="271"/>
      <c r="AO975" s="271"/>
      <c r="AP975" s="271"/>
      <c r="AQ975" s="271"/>
      <c r="AR975" s="271"/>
      <c r="AS975" s="271"/>
      <c r="AT975" s="271"/>
      <c r="AU975" s="271"/>
      <c r="AV975" s="271"/>
      <c r="AW975" s="271"/>
      <c r="AX975" s="271"/>
      <c r="AY975" s="271"/>
    </row>
    <row r="976" spans="1:51" ht="15.75" customHeight="1" x14ac:dyDescent="0.25">
      <c r="A976" s="271"/>
      <c r="B976" s="271"/>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c r="AL976" s="271"/>
      <c r="AM976" s="271"/>
      <c r="AN976" s="271"/>
      <c r="AO976" s="271"/>
      <c r="AP976" s="271"/>
      <c r="AQ976" s="271"/>
      <c r="AR976" s="271"/>
      <c r="AS976" s="271"/>
      <c r="AT976" s="271"/>
      <c r="AU976" s="271"/>
      <c r="AV976" s="271"/>
      <c r="AW976" s="271"/>
      <c r="AX976" s="271"/>
      <c r="AY976" s="271"/>
    </row>
    <row r="977" spans="1:51" ht="15.75" customHeight="1" x14ac:dyDescent="0.25">
      <c r="A977" s="271"/>
      <c r="B977" s="271"/>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c r="AL977" s="271"/>
      <c r="AM977" s="271"/>
      <c r="AN977" s="271"/>
      <c r="AO977" s="271"/>
      <c r="AP977" s="271"/>
      <c r="AQ977" s="271"/>
      <c r="AR977" s="271"/>
      <c r="AS977" s="271"/>
      <c r="AT977" s="271"/>
      <c r="AU977" s="271"/>
      <c r="AV977" s="271"/>
      <c r="AW977" s="271"/>
      <c r="AX977" s="271"/>
      <c r="AY977" s="271"/>
    </row>
    <row r="978" spans="1:51" ht="15.75" customHeight="1" x14ac:dyDescent="0.25">
      <c r="A978" s="271"/>
      <c r="B978" s="271"/>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c r="AL978" s="271"/>
      <c r="AM978" s="271"/>
      <c r="AN978" s="271"/>
      <c r="AO978" s="271"/>
      <c r="AP978" s="271"/>
      <c r="AQ978" s="271"/>
      <c r="AR978" s="271"/>
      <c r="AS978" s="271"/>
      <c r="AT978" s="271"/>
      <c r="AU978" s="271"/>
      <c r="AV978" s="271"/>
      <c r="AW978" s="271"/>
      <c r="AX978" s="271"/>
      <c r="AY978" s="271"/>
    </row>
    <row r="979" spans="1:51" ht="15.75" customHeight="1" x14ac:dyDescent="0.25">
      <c r="A979" s="271"/>
      <c r="B979" s="271"/>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c r="AL979" s="271"/>
      <c r="AM979" s="271"/>
      <c r="AN979" s="271"/>
      <c r="AO979" s="271"/>
      <c r="AP979" s="271"/>
      <c r="AQ979" s="271"/>
      <c r="AR979" s="271"/>
      <c r="AS979" s="271"/>
      <c r="AT979" s="271"/>
      <c r="AU979" s="271"/>
      <c r="AV979" s="271"/>
      <c r="AW979" s="271"/>
      <c r="AX979" s="271"/>
      <c r="AY979" s="271"/>
    </row>
    <row r="980" spans="1:51" ht="15.75" customHeight="1" x14ac:dyDescent="0.25">
      <c r="A980" s="271"/>
      <c r="B980" s="271"/>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c r="AL980" s="271"/>
      <c r="AM980" s="271"/>
      <c r="AN980" s="271"/>
      <c r="AO980" s="271"/>
      <c r="AP980" s="271"/>
      <c r="AQ980" s="271"/>
      <c r="AR980" s="271"/>
      <c r="AS980" s="271"/>
      <c r="AT980" s="271"/>
      <c r="AU980" s="271"/>
      <c r="AV980" s="271"/>
      <c r="AW980" s="271"/>
      <c r="AX980" s="271"/>
      <c r="AY980" s="271"/>
    </row>
    <row r="981" spans="1:51" ht="15.75" customHeight="1" x14ac:dyDescent="0.25">
      <c r="A981" s="271"/>
      <c r="B981" s="271"/>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c r="AL981" s="271"/>
      <c r="AM981" s="271"/>
      <c r="AN981" s="271"/>
      <c r="AO981" s="271"/>
      <c r="AP981" s="271"/>
      <c r="AQ981" s="271"/>
      <c r="AR981" s="271"/>
      <c r="AS981" s="271"/>
      <c r="AT981" s="271"/>
      <c r="AU981" s="271"/>
      <c r="AV981" s="271"/>
      <c r="AW981" s="271"/>
      <c r="AX981" s="271"/>
      <c r="AY981" s="271"/>
    </row>
    <row r="982" spans="1:51" ht="15.75" customHeight="1" x14ac:dyDescent="0.25">
      <c r="A982" s="271"/>
      <c r="B982" s="271"/>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c r="AL982" s="271"/>
      <c r="AM982" s="271"/>
      <c r="AN982" s="271"/>
      <c r="AO982" s="271"/>
      <c r="AP982" s="271"/>
      <c r="AQ982" s="271"/>
      <c r="AR982" s="271"/>
      <c r="AS982" s="271"/>
      <c r="AT982" s="271"/>
      <c r="AU982" s="271"/>
      <c r="AV982" s="271"/>
      <c r="AW982" s="271"/>
      <c r="AX982" s="271"/>
      <c r="AY982" s="271"/>
    </row>
    <row r="983" spans="1:51" ht="15.75" customHeight="1" x14ac:dyDescent="0.25">
      <c r="A983" s="271"/>
      <c r="B983" s="271"/>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c r="AL983" s="271"/>
      <c r="AM983" s="271"/>
      <c r="AN983" s="271"/>
      <c r="AO983" s="271"/>
      <c r="AP983" s="271"/>
      <c r="AQ983" s="271"/>
      <c r="AR983" s="271"/>
      <c r="AS983" s="271"/>
      <c r="AT983" s="271"/>
      <c r="AU983" s="271"/>
      <c r="AV983" s="271"/>
      <c r="AW983" s="271"/>
      <c r="AX983" s="271"/>
      <c r="AY983" s="271"/>
    </row>
    <row r="984" spans="1:51" ht="15.75" customHeight="1" x14ac:dyDescent="0.25">
      <c r="A984" s="271"/>
      <c r="B984" s="271"/>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c r="AL984" s="271"/>
      <c r="AM984" s="271"/>
      <c r="AN984" s="271"/>
      <c r="AO984" s="271"/>
      <c r="AP984" s="271"/>
      <c r="AQ984" s="271"/>
      <c r="AR984" s="271"/>
      <c r="AS984" s="271"/>
      <c r="AT984" s="271"/>
      <c r="AU984" s="271"/>
      <c r="AV984" s="271"/>
      <c r="AW984" s="271"/>
      <c r="AX984" s="271"/>
      <c r="AY984" s="271"/>
    </row>
    <row r="985" spans="1:51" ht="15.75" customHeight="1" x14ac:dyDescent="0.25">
      <c r="A985" s="271"/>
      <c r="B985" s="271"/>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c r="AL985" s="271"/>
      <c r="AM985" s="271"/>
      <c r="AN985" s="271"/>
      <c r="AO985" s="271"/>
      <c r="AP985" s="271"/>
      <c r="AQ985" s="271"/>
      <c r="AR985" s="271"/>
      <c r="AS985" s="271"/>
      <c r="AT985" s="271"/>
      <c r="AU985" s="271"/>
      <c r="AV985" s="271"/>
      <c r="AW985" s="271"/>
      <c r="AX985" s="271"/>
      <c r="AY985" s="271"/>
    </row>
    <row r="986" spans="1:51" ht="15.75" customHeight="1" x14ac:dyDescent="0.25">
      <c r="A986" s="271"/>
      <c r="B986" s="271"/>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c r="AL986" s="271"/>
      <c r="AM986" s="271"/>
      <c r="AN986" s="271"/>
      <c r="AO986" s="271"/>
      <c r="AP986" s="271"/>
      <c r="AQ986" s="271"/>
      <c r="AR986" s="271"/>
      <c r="AS986" s="271"/>
      <c r="AT986" s="271"/>
      <c r="AU986" s="271"/>
      <c r="AV986" s="271"/>
      <c r="AW986" s="271"/>
      <c r="AX986" s="271"/>
      <c r="AY986" s="271"/>
    </row>
    <row r="987" spans="1:51" ht="15.75" customHeight="1" x14ac:dyDescent="0.25">
      <c r="A987" s="271"/>
      <c r="B987" s="271"/>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c r="AL987" s="271"/>
      <c r="AM987" s="271"/>
      <c r="AN987" s="271"/>
      <c r="AO987" s="271"/>
      <c r="AP987" s="271"/>
      <c r="AQ987" s="271"/>
      <c r="AR987" s="271"/>
      <c r="AS987" s="271"/>
      <c r="AT987" s="271"/>
      <c r="AU987" s="271"/>
      <c r="AV987" s="271"/>
      <c r="AW987" s="271"/>
      <c r="AX987" s="271"/>
      <c r="AY987" s="271"/>
    </row>
    <row r="988" spans="1:51" ht="15.75" customHeight="1" x14ac:dyDescent="0.25">
      <c r="A988" s="271"/>
      <c r="B988" s="271"/>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c r="AL988" s="271"/>
      <c r="AM988" s="271"/>
      <c r="AN988" s="271"/>
      <c r="AO988" s="271"/>
      <c r="AP988" s="271"/>
      <c r="AQ988" s="271"/>
      <c r="AR988" s="271"/>
      <c r="AS988" s="271"/>
      <c r="AT988" s="271"/>
      <c r="AU988" s="271"/>
      <c r="AV988" s="271"/>
      <c r="AW988" s="271"/>
      <c r="AX988" s="271"/>
      <c r="AY988" s="271"/>
    </row>
    <row r="989" spans="1:51" ht="15.75" customHeight="1" x14ac:dyDescent="0.25">
      <c r="A989" s="271"/>
      <c r="B989" s="271"/>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c r="AL989" s="271"/>
      <c r="AM989" s="271"/>
      <c r="AN989" s="271"/>
      <c r="AO989" s="271"/>
      <c r="AP989" s="271"/>
      <c r="AQ989" s="271"/>
      <c r="AR989" s="271"/>
      <c r="AS989" s="271"/>
      <c r="AT989" s="271"/>
      <c r="AU989" s="271"/>
      <c r="AV989" s="271"/>
      <c r="AW989" s="271"/>
      <c r="AX989" s="271"/>
      <c r="AY989" s="271"/>
    </row>
    <row r="990" spans="1:51" ht="15.75" customHeight="1" x14ac:dyDescent="0.25">
      <c r="A990" s="271"/>
      <c r="B990" s="271"/>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c r="AL990" s="271"/>
      <c r="AM990" s="271"/>
      <c r="AN990" s="271"/>
      <c r="AO990" s="271"/>
      <c r="AP990" s="271"/>
      <c r="AQ990" s="271"/>
      <c r="AR990" s="271"/>
      <c r="AS990" s="271"/>
      <c r="AT990" s="271"/>
      <c r="AU990" s="271"/>
      <c r="AV990" s="271"/>
      <c r="AW990" s="271"/>
      <c r="AX990" s="271"/>
      <c r="AY990" s="271"/>
    </row>
    <row r="991" spans="1:51" ht="15.75" customHeight="1" x14ac:dyDescent="0.25">
      <c r="A991" s="271"/>
      <c r="B991" s="271"/>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c r="AL991" s="271"/>
      <c r="AM991" s="271"/>
      <c r="AN991" s="271"/>
      <c r="AO991" s="271"/>
      <c r="AP991" s="271"/>
      <c r="AQ991" s="271"/>
      <c r="AR991" s="271"/>
      <c r="AS991" s="271"/>
      <c r="AT991" s="271"/>
      <c r="AU991" s="271"/>
      <c r="AV991" s="271"/>
      <c r="AW991" s="271"/>
      <c r="AX991" s="271"/>
      <c r="AY991" s="271"/>
    </row>
    <row r="992" spans="1:51" ht="15.75" customHeight="1" x14ac:dyDescent="0.25">
      <c r="A992" s="271"/>
      <c r="B992" s="271"/>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c r="AL992" s="271"/>
      <c r="AM992" s="271"/>
      <c r="AN992" s="271"/>
      <c r="AO992" s="271"/>
      <c r="AP992" s="271"/>
      <c r="AQ992" s="271"/>
      <c r="AR992" s="271"/>
      <c r="AS992" s="271"/>
      <c r="AT992" s="271"/>
      <c r="AU992" s="271"/>
      <c r="AV992" s="271"/>
      <c r="AW992" s="271"/>
      <c r="AX992" s="271"/>
      <c r="AY992" s="271"/>
    </row>
    <row r="993" spans="1:51" ht="15.75" customHeight="1" x14ac:dyDescent="0.25">
      <c r="A993" s="271"/>
      <c r="B993" s="271"/>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c r="AL993" s="271"/>
      <c r="AM993" s="271"/>
      <c r="AN993" s="271"/>
      <c r="AO993" s="271"/>
      <c r="AP993" s="271"/>
      <c r="AQ993" s="271"/>
      <c r="AR993" s="271"/>
      <c r="AS993" s="271"/>
      <c r="AT993" s="271"/>
      <c r="AU993" s="271"/>
      <c r="AV993" s="271"/>
      <c r="AW993" s="271"/>
      <c r="AX993" s="271"/>
      <c r="AY993" s="271"/>
    </row>
    <row r="994" spans="1:51" ht="15.75" customHeight="1" x14ac:dyDescent="0.25">
      <c r="A994" s="271"/>
      <c r="B994" s="271"/>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c r="AL994" s="271"/>
      <c r="AM994" s="271"/>
      <c r="AN994" s="271"/>
      <c r="AO994" s="271"/>
      <c r="AP994" s="271"/>
      <c r="AQ994" s="271"/>
      <c r="AR994" s="271"/>
      <c r="AS994" s="271"/>
      <c r="AT994" s="271"/>
      <c r="AU994" s="271"/>
      <c r="AV994" s="271"/>
      <c r="AW994" s="271"/>
      <c r="AX994" s="271"/>
      <c r="AY994" s="271"/>
    </row>
    <row r="995" spans="1:51" ht="15.75" customHeight="1" x14ac:dyDescent="0.25">
      <c r="A995" s="271"/>
      <c r="B995" s="271"/>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c r="AL995" s="271"/>
      <c r="AM995" s="271"/>
      <c r="AN995" s="271"/>
      <c r="AO995" s="271"/>
      <c r="AP995" s="271"/>
      <c r="AQ995" s="271"/>
      <c r="AR995" s="271"/>
      <c r="AS995" s="271"/>
      <c r="AT995" s="271"/>
      <c r="AU995" s="271"/>
      <c r="AV995" s="271"/>
      <c r="AW995" s="271"/>
      <c r="AX995" s="271"/>
      <c r="AY995" s="271"/>
    </row>
    <row r="996" spans="1:51" ht="15.75" customHeight="1" x14ac:dyDescent="0.25">
      <c r="A996" s="271"/>
      <c r="B996" s="271"/>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c r="AL996" s="271"/>
      <c r="AM996" s="271"/>
      <c r="AN996" s="271"/>
      <c r="AO996" s="271"/>
      <c r="AP996" s="271"/>
      <c r="AQ996" s="271"/>
      <c r="AR996" s="271"/>
      <c r="AS996" s="271"/>
      <c r="AT996" s="271"/>
      <c r="AU996" s="271"/>
      <c r="AV996" s="271"/>
      <c r="AW996" s="271"/>
      <c r="AX996" s="271"/>
      <c r="AY996" s="271"/>
    </row>
    <row r="997" spans="1:51" ht="15.75" customHeight="1" x14ac:dyDescent="0.25">
      <c r="A997" s="271"/>
      <c r="B997" s="271"/>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c r="AL997" s="271"/>
      <c r="AM997" s="271"/>
      <c r="AN997" s="271"/>
      <c r="AO997" s="271"/>
      <c r="AP997" s="271"/>
      <c r="AQ997" s="271"/>
      <c r="AR997" s="271"/>
      <c r="AS997" s="271"/>
      <c r="AT997" s="271"/>
      <c r="AU997" s="271"/>
      <c r="AV997" s="271"/>
      <c r="AW997" s="271"/>
      <c r="AX997" s="271"/>
      <c r="AY997" s="271"/>
    </row>
    <row r="998" spans="1:51" ht="15.75" customHeight="1" x14ac:dyDescent="0.25">
      <c r="A998" s="271"/>
      <c r="B998" s="271"/>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c r="AL998" s="271"/>
      <c r="AM998" s="271"/>
      <c r="AN998" s="271"/>
      <c r="AO998" s="271"/>
      <c r="AP998" s="271"/>
      <c r="AQ998" s="271"/>
      <c r="AR998" s="271"/>
      <c r="AS998" s="271"/>
      <c r="AT998" s="271"/>
      <c r="AU998" s="271"/>
      <c r="AV998" s="271"/>
      <c r="AW998" s="271"/>
      <c r="AX998" s="271"/>
      <c r="AY998" s="271"/>
    </row>
    <row r="999" spans="1:51" ht="15.75" customHeight="1" x14ac:dyDescent="0.25">
      <c r="A999" s="271"/>
      <c r="B999" s="271"/>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c r="AL999" s="271"/>
      <c r="AM999" s="271"/>
      <c r="AN999" s="271"/>
      <c r="AO999" s="271"/>
      <c r="AP999" s="271"/>
      <c r="AQ999" s="271"/>
      <c r="AR999" s="271"/>
      <c r="AS999" s="271"/>
      <c r="AT999" s="271"/>
      <c r="AU999" s="271"/>
      <c r="AV999" s="271"/>
      <c r="AW999" s="271"/>
      <c r="AX999" s="271"/>
      <c r="AY999" s="271"/>
    </row>
    <row r="1000" spans="1:51" ht="15.75" customHeight="1" x14ac:dyDescent="0.25">
      <c r="A1000" s="271"/>
      <c r="B1000" s="271"/>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c r="AL1000" s="271"/>
      <c r="AM1000" s="271"/>
      <c r="AN1000" s="271"/>
      <c r="AO1000" s="271"/>
      <c r="AP1000" s="271"/>
      <c r="AQ1000" s="271"/>
      <c r="AR1000" s="271"/>
      <c r="AS1000" s="271"/>
      <c r="AT1000" s="271"/>
      <c r="AU1000" s="271"/>
      <c r="AV1000" s="271"/>
      <c r="AW1000" s="271"/>
      <c r="AX1000" s="271"/>
      <c r="AY1000" s="271"/>
    </row>
  </sheetData>
  <mergeCells count="1">
    <mergeCell ref="P1:AO1"/>
  </mergeCells>
  <pageMargins left="0.7" right="0.7" top="0.75" bottom="0.75" header="0" footer="0"/>
  <pageSetup orientation="portrait"/>
  <headerFooter>
    <oddFooter>&amp;C000000000000&amp;P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Y998"/>
  <sheetViews>
    <sheetView showGridLines="0" topLeftCell="H44" workbookViewId="0">
      <selection sqref="A1:T67"/>
    </sheetView>
  </sheetViews>
  <sheetFormatPr baseColWidth="10" defaultColWidth="12.5703125" defaultRowHeight="15" customHeight="1" x14ac:dyDescent="0.2"/>
  <cols>
    <col min="1" max="1" width="41" customWidth="1"/>
    <col min="2" max="25" width="14.42578125" customWidth="1"/>
  </cols>
  <sheetData>
    <row r="1" spans="1:25" ht="13.5" customHeight="1" x14ac:dyDescent="0.25">
      <c r="A1" s="501" t="s">
        <v>223</v>
      </c>
      <c r="B1" s="501" t="s">
        <v>136</v>
      </c>
      <c r="C1" s="501" t="s">
        <v>40</v>
      </c>
      <c r="D1" s="501" t="s">
        <v>146</v>
      </c>
      <c r="E1" s="501" t="s">
        <v>40</v>
      </c>
      <c r="F1" s="501" t="s">
        <v>148</v>
      </c>
      <c r="G1" s="501" t="s">
        <v>40</v>
      </c>
      <c r="H1" s="501" t="s">
        <v>150</v>
      </c>
      <c r="I1" s="501" t="s">
        <v>40</v>
      </c>
      <c r="J1" s="501" t="s">
        <v>151</v>
      </c>
      <c r="K1" s="501" t="s">
        <v>40</v>
      </c>
      <c r="L1" s="501" t="s">
        <v>224</v>
      </c>
      <c r="M1" s="501" t="s">
        <v>40</v>
      </c>
      <c r="N1" s="501" t="s">
        <v>225</v>
      </c>
      <c r="O1" s="501" t="s">
        <v>40</v>
      </c>
      <c r="P1" s="501" t="s">
        <v>226</v>
      </c>
      <c r="Q1" s="501" t="s">
        <v>40</v>
      </c>
      <c r="R1" s="501" t="s">
        <v>227</v>
      </c>
      <c r="S1" s="501" t="s">
        <v>40</v>
      </c>
      <c r="T1" s="501" t="s">
        <v>228</v>
      </c>
      <c r="U1" s="271"/>
      <c r="V1" s="271"/>
      <c r="W1" s="271"/>
      <c r="X1" s="271"/>
      <c r="Y1" s="271"/>
    </row>
    <row r="2" spans="1:25" ht="13.5" customHeight="1" x14ac:dyDescent="0.25">
      <c r="A2" s="214"/>
      <c r="B2" s="214"/>
      <c r="C2" s="214"/>
      <c r="D2" s="214"/>
      <c r="E2" s="214"/>
      <c r="F2" s="214"/>
      <c r="G2" s="214"/>
      <c r="H2" s="214"/>
      <c r="I2" s="214"/>
      <c r="J2" s="214"/>
      <c r="K2" s="214"/>
      <c r="L2" s="214"/>
      <c r="M2" s="214"/>
      <c r="N2" s="214"/>
      <c r="O2" s="214"/>
      <c r="P2" s="214"/>
      <c r="Q2" s="214"/>
      <c r="R2" s="214"/>
      <c r="S2" s="214"/>
      <c r="T2" s="214"/>
      <c r="U2" s="271"/>
      <c r="V2" s="271"/>
      <c r="W2" s="271"/>
      <c r="X2" s="271"/>
      <c r="Y2" s="271"/>
    </row>
    <row r="3" spans="1:25" ht="13.5" customHeight="1" x14ac:dyDescent="0.25">
      <c r="A3" s="502" t="s">
        <v>229</v>
      </c>
      <c r="B3" s="503">
        <f>SUM(B4:B11)</f>
        <v>150000</v>
      </c>
      <c r="C3" s="504">
        <f>B3/$B$58</f>
        <v>0.27297543221110099</v>
      </c>
      <c r="D3" s="503">
        <f>SUM(D4:D11)</f>
        <v>240000</v>
      </c>
      <c r="E3" s="504">
        <f>D3/$D$58</f>
        <v>0.17155110793423875</v>
      </c>
      <c r="F3" s="503">
        <f>SUM(F4:F11)</f>
        <v>327000</v>
      </c>
      <c r="G3" s="504">
        <f>F3/$F$58</f>
        <v>0.18836405529953917</v>
      </c>
      <c r="H3" s="503">
        <f>SUM(H4:H11)</f>
        <v>293500</v>
      </c>
      <c r="I3" s="504">
        <f>H3/$F$58</f>
        <v>0.16906682027649769</v>
      </c>
      <c r="J3" s="505"/>
      <c r="K3" s="505"/>
      <c r="L3" s="505"/>
      <c r="M3" s="505"/>
      <c r="N3" s="505"/>
      <c r="O3" s="505"/>
      <c r="P3" s="505"/>
      <c r="Q3" s="505"/>
      <c r="R3" s="505"/>
      <c r="S3" s="505"/>
      <c r="T3" s="505"/>
      <c r="U3" s="271"/>
      <c r="V3" s="271"/>
      <c r="W3" s="271"/>
      <c r="X3" s="271"/>
      <c r="Y3" s="271"/>
    </row>
    <row r="4" spans="1:25" ht="13.5" customHeight="1" x14ac:dyDescent="0.25">
      <c r="A4" s="506" t="s">
        <v>230</v>
      </c>
      <c r="B4" s="215">
        <f t="shared" ref="B4:B6" si="0">20000+10000</f>
        <v>30000</v>
      </c>
      <c r="C4" s="215"/>
      <c r="D4" s="215">
        <v>60000</v>
      </c>
      <c r="E4" s="214"/>
      <c r="F4" s="215">
        <f>60000+10000</f>
        <v>70000</v>
      </c>
      <c r="G4" s="214"/>
      <c r="H4" s="215">
        <f>60000+10000</f>
        <v>70000</v>
      </c>
      <c r="I4" s="214"/>
      <c r="J4" s="214"/>
      <c r="K4" s="214"/>
      <c r="L4" s="214"/>
      <c r="M4" s="214"/>
      <c r="N4" s="214"/>
      <c r="O4" s="214"/>
      <c r="P4" s="214"/>
      <c r="Q4" s="214"/>
      <c r="R4" s="214"/>
      <c r="S4" s="214"/>
      <c r="T4" s="214"/>
      <c r="U4" s="271"/>
      <c r="V4" s="271"/>
      <c r="W4" s="271"/>
      <c r="X4" s="271"/>
      <c r="Y4" s="271"/>
    </row>
    <row r="5" spans="1:25" ht="13.5" customHeight="1" x14ac:dyDescent="0.25">
      <c r="A5" s="506" t="s">
        <v>231</v>
      </c>
      <c r="B5" s="215">
        <f t="shared" si="0"/>
        <v>30000</v>
      </c>
      <c r="C5" s="507"/>
      <c r="D5" s="508" t="s">
        <v>232</v>
      </c>
      <c r="E5" s="214"/>
      <c r="F5" s="508" t="s">
        <v>232</v>
      </c>
      <c r="G5" s="214"/>
      <c r="H5" s="508" t="s">
        <v>232</v>
      </c>
      <c r="I5" s="214"/>
      <c r="J5" s="214"/>
      <c r="K5" s="214"/>
      <c r="L5" s="214"/>
      <c r="M5" s="214"/>
      <c r="N5" s="214"/>
      <c r="O5" s="214"/>
      <c r="P5" s="214"/>
      <c r="Q5" s="214"/>
      <c r="R5" s="214"/>
      <c r="S5" s="214"/>
      <c r="T5" s="214"/>
      <c r="U5" s="271"/>
      <c r="V5" s="271"/>
      <c r="W5" s="271"/>
      <c r="X5" s="271"/>
      <c r="Y5" s="271"/>
    </row>
    <row r="6" spans="1:25" ht="13.5" customHeight="1" x14ac:dyDescent="0.25">
      <c r="A6" s="506" t="s">
        <v>233</v>
      </c>
      <c r="B6" s="215">
        <f t="shared" si="0"/>
        <v>30000</v>
      </c>
      <c r="C6" s="215"/>
      <c r="D6" s="215">
        <v>60000</v>
      </c>
      <c r="E6" s="214"/>
      <c r="F6" s="215">
        <f>60000+10000</f>
        <v>70000</v>
      </c>
      <c r="G6" s="214"/>
      <c r="H6" s="215">
        <v>60000</v>
      </c>
      <c r="I6" s="214"/>
      <c r="J6" s="214"/>
      <c r="K6" s="214"/>
      <c r="L6" s="214"/>
      <c r="M6" s="214"/>
      <c r="N6" s="214"/>
      <c r="O6" s="214"/>
      <c r="P6" s="214"/>
      <c r="Q6" s="214"/>
      <c r="R6" s="214"/>
      <c r="S6" s="214"/>
      <c r="T6" s="214"/>
      <c r="U6" s="271"/>
      <c r="V6" s="271"/>
      <c r="W6" s="271"/>
      <c r="X6" s="271"/>
      <c r="Y6" s="271"/>
    </row>
    <row r="7" spans="1:25" ht="13.5" customHeight="1" x14ac:dyDescent="0.25">
      <c r="A7" s="506" t="s">
        <v>234</v>
      </c>
      <c r="B7" s="215"/>
      <c r="C7" s="215"/>
      <c r="D7" s="215"/>
      <c r="E7" s="214"/>
      <c r="F7" s="215">
        <f>40000+7000</f>
        <v>47000</v>
      </c>
      <c r="G7" s="214"/>
      <c r="H7" s="508" t="s">
        <v>232</v>
      </c>
      <c r="I7" s="214"/>
      <c r="J7" s="214"/>
      <c r="K7" s="214"/>
      <c r="L7" s="214"/>
      <c r="M7" s="214"/>
      <c r="N7" s="214"/>
      <c r="O7" s="214"/>
      <c r="P7" s="214"/>
      <c r="Q7" s="214"/>
      <c r="R7" s="214"/>
      <c r="S7" s="214"/>
      <c r="T7" s="214"/>
      <c r="U7" s="271"/>
      <c r="V7" s="271"/>
      <c r="W7" s="271"/>
      <c r="X7" s="271"/>
      <c r="Y7" s="271"/>
    </row>
    <row r="8" spans="1:25" ht="13.5" customHeight="1" x14ac:dyDescent="0.25">
      <c r="A8" s="506" t="s">
        <v>235</v>
      </c>
      <c r="B8" s="215"/>
      <c r="C8" s="215"/>
      <c r="D8" s="215"/>
      <c r="E8" s="214"/>
      <c r="F8" s="215"/>
      <c r="G8" s="214"/>
      <c r="H8" s="215">
        <f>23500</f>
        <v>23500</v>
      </c>
      <c r="I8" s="214"/>
      <c r="J8" s="214"/>
      <c r="K8" s="214"/>
      <c r="L8" s="214"/>
      <c r="M8" s="214"/>
      <c r="N8" s="214"/>
      <c r="O8" s="214"/>
      <c r="P8" s="214"/>
      <c r="Q8" s="214"/>
      <c r="R8" s="214"/>
      <c r="S8" s="214"/>
      <c r="T8" s="214"/>
      <c r="U8" s="271"/>
      <c r="V8" s="271"/>
      <c r="W8" s="271"/>
      <c r="X8" s="271"/>
      <c r="Y8" s="271"/>
    </row>
    <row r="9" spans="1:25" ht="13.5" customHeight="1" x14ac:dyDescent="0.25">
      <c r="A9" s="214"/>
      <c r="B9" s="215"/>
      <c r="C9" s="215"/>
      <c r="D9" s="215"/>
      <c r="E9" s="214"/>
      <c r="F9" s="215"/>
      <c r="G9" s="214"/>
      <c r="H9" s="214"/>
      <c r="I9" s="214"/>
      <c r="J9" s="214"/>
      <c r="K9" s="214"/>
      <c r="L9" s="214"/>
      <c r="M9" s="214"/>
      <c r="N9" s="214"/>
      <c r="O9" s="214"/>
      <c r="P9" s="214"/>
      <c r="Q9" s="214"/>
      <c r="R9" s="214"/>
      <c r="S9" s="214"/>
      <c r="T9" s="214"/>
      <c r="U9" s="271"/>
      <c r="V9" s="271"/>
      <c r="W9" s="271"/>
      <c r="X9" s="271"/>
      <c r="Y9" s="271"/>
    </row>
    <row r="10" spans="1:25" ht="13.5" customHeight="1" x14ac:dyDescent="0.25">
      <c r="A10" s="509" t="s">
        <v>236</v>
      </c>
      <c r="B10" s="215">
        <f t="shared" ref="B10:B11" si="1">20000+10000</f>
        <v>30000</v>
      </c>
      <c r="C10" s="215"/>
      <c r="D10" s="215">
        <v>60000</v>
      </c>
      <c r="E10" s="214"/>
      <c r="F10" s="215">
        <f t="shared" ref="F10:F11" si="2">60000+10000</f>
        <v>70000</v>
      </c>
      <c r="G10" s="214"/>
      <c r="H10" s="215">
        <f t="shared" ref="H10:H11" si="3">F10</f>
        <v>70000</v>
      </c>
      <c r="I10" s="214"/>
      <c r="J10" s="214"/>
      <c r="K10" s="214"/>
      <c r="L10" s="214"/>
      <c r="M10" s="214"/>
      <c r="N10" s="214"/>
      <c r="O10" s="214"/>
      <c r="P10" s="214"/>
      <c r="Q10" s="214"/>
      <c r="R10" s="214"/>
      <c r="S10" s="214"/>
      <c r="T10" s="214"/>
      <c r="U10" s="271"/>
      <c r="V10" s="271"/>
      <c r="W10" s="271"/>
      <c r="X10" s="271"/>
      <c r="Y10" s="271"/>
    </row>
    <row r="11" spans="1:25" ht="13.5" customHeight="1" x14ac:dyDescent="0.25">
      <c r="A11" s="509" t="s">
        <v>237</v>
      </c>
      <c r="B11" s="215">
        <f t="shared" si="1"/>
        <v>30000</v>
      </c>
      <c r="C11" s="215"/>
      <c r="D11" s="215">
        <v>60000</v>
      </c>
      <c r="E11" s="214"/>
      <c r="F11" s="215">
        <f t="shared" si="2"/>
        <v>70000</v>
      </c>
      <c r="G11" s="214"/>
      <c r="H11" s="215">
        <f t="shared" si="3"/>
        <v>70000</v>
      </c>
      <c r="I11" s="214"/>
      <c r="J11" s="214"/>
      <c r="K11" s="214"/>
      <c r="L11" s="214"/>
      <c r="M11" s="214"/>
      <c r="N11" s="214"/>
      <c r="O11" s="214"/>
      <c r="P11" s="214"/>
      <c r="Q11" s="214"/>
      <c r="R11" s="214"/>
      <c r="S11" s="214"/>
      <c r="T11" s="214"/>
      <c r="U11" s="271"/>
      <c r="V11" s="271"/>
      <c r="W11" s="271"/>
      <c r="X11" s="271"/>
      <c r="Y11" s="271"/>
    </row>
    <row r="12" spans="1:25" ht="13.5" customHeight="1" x14ac:dyDescent="0.25">
      <c r="A12" s="214"/>
      <c r="B12" s="215"/>
      <c r="C12" s="215"/>
      <c r="D12" s="215"/>
      <c r="E12" s="214"/>
      <c r="F12" s="214"/>
      <c r="G12" s="214"/>
      <c r="H12" s="214"/>
      <c r="I12" s="214"/>
      <c r="J12" s="214"/>
      <c r="K12" s="214"/>
      <c r="L12" s="214"/>
      <c r="M12" s="214"/>
      <c r="N12" s="214"/>
      <c r="O12" s="214"/>
      <c r="P12" s="214"/>
      <c r="Q12" s="214"/>
      <c r="R12" s="214"/>
      <c r="S12" s="214"/>
      <c r="T12" s="214"/>
      <c r="U12" s="271"/>
      <c r="V12" s="271"/>
      <c r="W12" s="271"/>
      <c r="X12" s="271"/>
      <c r="Y12" s="271"/>
    </row>
    <row r="13" spans="1:25" ht="13.5" customHeight="1" x14ac:dyDescent="0.25">
      <c r="A13" s="502" t="s">
        <v>238</v>
      </c>
      <c r="B13" s="503">
        <f>SUM(B14:B18)</f>
        <v>7000</v>
      </c>
      <c r="C13" s="504">
        <f>B13/$B$58</f>
        <v>1.2738853503184714E-2</v>
      </c>
      <c r="D13" s="503">
        <f>SUM(D14:D18)</f>
        <v>36000</v>
      </c>
      <c r="E13" s="504">
        <f>D13/$D$58</f>
        <v>2.5732666190135811E-2</v>
      </c>
      <c r="F13" s="503">
        <f>SUM(F14:F18)</f>
        <v>86000</v>
      </c>
      <c r="G13" s="504">
        <f>F13/$F$58</f>
        <v>4.9539170506912443E-2</v>
      </c>
      <c r="H13" s="503">
        <f>SUM(H14:H18)</f>
        <v>121000</v>
      </c>
      <c r="I13" s="504">
        <f>H13/$F$58</f>
        <v>6.9700460829493091E-2</v>
      </c>
      <c r="J13" s="505"/>
      <c r="K13" s="505"/>
      <c r="L13" s="505"/>
      <c r="M13" s="505"/>
      <c r="N13" s="505"/>
      <c r="O13" s="505"/>
      <c r="P13" s="505"/>
      <c r="Q13" s="505"/>
      <c r="R13" s="505"/>
      <c r="S13" s="505"/>
      <c r="T13" s="505"/>
      <c r="U13" s="271"/>
      <c r="V13" s="271"/>
      <c r="W13" s="271"/>
      <c r="X13" s="271"/>
      <c r="Y13" s="271"/>
    </row>
    <row r="14" spans="1:25" ht="13.5" customHeight="1" x14ac:dyDescent="0.25">
      <c r="A14" s="509" t="s">
        <v>239</v>
      </c>
      <c r="B14" s="215">
        <v>3500</v>
      </c>
      <c r="C14" s="215"/>
      <c r="D14" s="215">
        <v>10000</v>
      </c>
      <c r="E14" s="214"/>
      <c r="F14" s="215">
        <f t="shared" ref="F14:F15" si="4">10000+2500</f>
        <v>12500</v>
      </c>
      <c r="G14" s="214"/>
      <c r="H14" s="215">
        <v>10000</v>
      </c>
      <c r="I14" s="214"/>
      <c r="J14" s="214"/>
      <c r="K14" s="214"/>
      <c r="L14" s="214"/>
      <c r="M14" s="214"/>
      <c r="N14" s="214"/>
      <c r="O14" s="214"/>
      <c r="P14" s="214"/>
      <c r="Q14" s="214"/>
      <c r="R14" s="214"/>
      <c r="S14" s="214"/>
      <c r="T14" s="214"/>
      <c r="U14" s="271"/>
      <c r="V14" s="271"/>
      <c r="W14" s="271"/>
      <c r="X14" s="271"/>
      <c r="Y14" s="271"/>
    </row>
    <row r="15" spans="1:25" ht="13.5" customHeight="1" x14ac:dyDescent="0.25">
      <c r="A15" s="509" t="s">
        <v>240</v>
      </c>
      <c r="B15" s="215">
        <v>3500</v>
      </c>
      <c r="C15" s="215"/>
      <c r="D15" s="215">
        <v>10000</v>
      </c>
      <c r="E15" s="214"/>
      <c r="F15" s="215">
        <f t="shared" si="4"/>
        <v>12500</v>
      </c>
      <c r="G15" s="214"/>
      <c r="H15" s="215">
        <v>10000</v>
      </c>
      <c r="I15" s="214"/>
      <c r="J15" s="214"/>
      <c r="K15" s="214"/>
      <c r="L15" s="214"/>
      <c r="M15" s="214"/>
      <c r="N15" s="214"/>
      <c r="O15" s="214"/>
      <c r="P15" s="214"/>
      <c r="Q15" s="214"/>
      <c r="R15" s="214"/>
      <c r="S15" s="214"/>
      <c r="T15" s="214"/>
      <c r="U15" s="271"/>
      <c r="V15" s="271"/>
      <c r="W15" s="271"/>
      <c r="X15" s="271"/>
      <c r="Y15" s="271"/>
    </row>
    <row r="16" spans="1:25" ht="13.5" customHeight="1" x14ac:dyDescent="0.25">
      <c r="A16" s="509" t="s">
        <v>241</v>
      </c>
      <c r="B16" s="215"/>
      <c r="C16" s="215"/>
      <c r="D16" s="215"/>
      <c r="E16" s="214"/>
      <c r="F16" s="215">
        <f>70000*50%+5000</f>
        <v>40000</v>
      </c>
      <c r="G16" s="214"/>
      <c r="H16" s="215">
        <f>70000+10000</f>
        <v>80000</v>
      </c>
      <c r="I16" s="214"/>
      <c r="J16" s="214"/>
      <c r="K16" s="214"/>
      <c r="L16" s="214"/>
      <c r="M16" s="214"/>
      <c r="N16" s="214"/>
      <c r="O16" s="214"/>
      <c r="P16" s="214"/>
      <c r="Q16" s="214"/>
      <c r="R16" s="214"/>
      <c r="S16" s="214"/>
      <c r="T16" s="214"/>
      <c r="U16" s="271"/>
      <c r="V16" s="271"/>
      <c r="W16" s="271"/>
      <c r="X16" s="271"/>
      <c r="Y16" s="271"/>
    </row>
    <row r="17" spans="1:25" ht="13.5" customHeight="1" x14ac:dyDescent="0.25">
      <c r="A17" s="509" t="s">
        <v>242</v>
      </c>
      <c r="B17" s="215"/>
      <c r="C17" s="215"/>
      <c r="D17" s="215">
        <v>16000</v>
      </c>
      <c r="E17" s="214"/>
      <c r="F17" s="215">
        <v>21000</v>
      </c>
      <c r="G17" s="214"/>
      <c r="H17" s="215">
        <f>F17</f>
        <v>21000</v>
      </c>
      <c r="I17" s="214"/>
      <c r="J17" s="214"/>
      <c r="K17" s="214"/>
      <c r="L17" s="214"/>
      <c r="M17" s="214"/>
      <c r="N17" s="214"/>
      <c r="O17" s="214"/>
      <c r="P17" s="214"/>
      <c r="Q17" s="214"/>
      <c r="R17" s="214"/>
      <c r="S17" s="214"/>
      <c r="T17" s="214"/>
      <c r="U17" s="271"/>
      <c r="V17" s="271"/>
      <c r="W17" s="271"/>
      <c r="X17" s="271"/>
      <c r="Y17" s="271"/>
    </row>
    <row r="18" spans="1:25" ht="13.5" customHeight="1" x14ac:dyDescent="0.25">
      <c r="A18" s="510"/>
      <c r="B18" s="215"/>
      <c r="C18" s="215"/>
      <c r="D18" s="215"/>
      <c r="E18" s="214"/>
      <c r="F18" s="214"/>
      <c r="G18" s="214"/>
      <c r="H18" s="214"/>
      <c r="I18" s="214"/>
      <c r="J18" s="214"/>
      <c r="K18" s="214"/>
      <c r="L18" s="214"/>
      <c r="M18" s="214"/>
      <c r="N18" s="214"/>
      <c r="O18" s="214"/>
      <c r="P18" s="214"/>
      <c r="Q18" s="214"/>
      <c r="R18" s="214"/>
      <c r="S18" s="214"/>
      <c r="T18" s="214"/>
      <c r="U18" s="271"/>
      <c r="V18" s="271"/>
      <c r="W18" s="271"/>
      <c r="X18" s="271"/>
      <c r="Y18" s="271"/>
    </row>
    <row r="19" spans="1:25" ht="13.5" customHeight="1" x14ac:dyDescent="0.25">
      <c r="A19" s="502" t="s">
        <v>243</v>
      </c>
      <c r="B19" s="503">
        <f>SUM(B20:B22)</f>
        <v>24000</v>
      </c>
      <c r="C19" s="504">
        <f>B19/$B$58</f>
        <v>4.3676069153776163E-2</v>
      </c>
      <c r="D19" s="503">
        <f>SUM(D20:D22)</f>
        <v>84000</v>
      </c>
      <c r="E19" s="504">
        <f>D19/$D$58</f>
        <v>6.0042887776983557E-2</v>
      </c>
      <c r="F19" s="503">
        <f>SUM(F20:F22)</f>
        <v>98000</v>
      </c>
      <c r="G19" s="504">
        <f>F19/$F$58</f>
        <v>5.6451612903225805E-2</v>
      </c>
      <c r="H19" s="503">
        <f>SUM(H20:H22)</f>
        <v>98000</v>
      </c>
      <c r="I19" s="504">
        <f>H19/$F$58</f>
        <v>5.6451612903225805E-2</v>
      </c>
      <c r="J19" s="505"/>
      <c r="K19" s="505"/>
      <c r="L19" s="505"/>
      <c r="M19" s="505"/>
      <c r="N19" s="505"/>
      <c r="O19" s="505"/>
      <c r="P19" s="505"/>
      <c r="Q19" s="505"/>
      <c r="R19" s="505"/>
      <c r="S19" s="505"/>
      <c r="T19" s="505"/>
      <c r="U19" s="271"/>
      <c r="V19" s="271"/>
      <c r="W19" s="271"/>
      <c r="X19" s="271"/>
      <c r="Y19" s="271"/>
    </row>
    <row r="20" spans="1:25" ht="13.5" customHeight="1" x14ac:dyDescent="0.25">
      <c r="A20" s="509" t="s">
        <v>244</v>
      </c>
      <c r="B20" s="215">
        <v>20000</v>
      </c>
      <c r="C20" s="215"/>
      <c r="D20" s="215">
        <v>60000</v>
      </c>
      <c r="E20" s="214"/>
      <c r="F20" s="215">
        <f>60000+10000</f>
        <v>70000</v>
      </c>
      <c r="G20" s="214"/>
      <c r="H20" s="215">
        <f t="shared" ref="H20:H21" si="5">F20</f>
        <v>70000</v>
      </c>
      <c r="I20" s="214"/>
      <c r="J20" s="214"/>
      <c r="K20" s="214"/>
      <c r="L20" s="214"/>
      <c r="M20" s="214"/>
      <c r="N20" s="214"/>
      <c r="O20" s="214"/>
      <c r="P20" s="214"/>
      <c r="Q20" s="214"/>
      <c r="R20" s="214"/>
      <c r="S20" s="214"/>
      <c r="T20" s="214"/>
      <c r="U20" s="271"/>
      <c r="V20" s="271"/>
      <c r="W20" s="271"/>
      <c r="X20" s="271"/>
      <c r="Y20" s="271"/>
    </row>
    <row r="21" spans="1:25" ht="13.5" customHeight="1" x14ac:dyDescent="0.25">
      <c r="A21" s="509" t="s">
        <v>245</v>
      </c>
      <c r="B21" s="215">
        <v>4000</v>
      </c>
      <c r="C21" s="215"/>
      <c r="D21" s="215">
        <f>12000*2</f>
        <v>24000</v>
      </c>
      <c r="E21" s="214"/>
      <c r="F21" s="215">
        <f>12000*2+4000</f>
        <v>28000</v>
      </c>
      <c r="G21" s="214"/>
      <c r="H21" s="215">
        <f t="shared" si="5"/>
        <v>28000</v>
      </c>
      <c r="I21" s="214"/>
      <c r="J21" s="214"/>
      <c r="K21" s="214"/>
      <c r="L21" s="214"/>
      <c r="M21" s="214"/>
      <c r="N21" s="214"/>
      <c r="O21" s="214"/>
      <c r="P21" s="214"/>
      <c r="Q21" s="214"/>
      <c r="R21" s="214"/>
      <c r="S21" s="214"/>
      <c r="T21" s="214"/>
      <c r="U21" s="271"/>
      <c r="V21" s="271"/>
      <c r="W21" s="271"/>
      <c r="X21" s="271"/>
      <c r="Y21" s="271"/>
    </row>
    <row r="22" spans="1:25" ht="13.5" customHeight="1" x14ac:dyDescent="0.25">
      <c r="A22" s="214"/>
      <c r="B22" s="215"/>
      <c r="C22" s="215"/>
      <c r="D22" s="215"/>
      <c r="E22" s="214"/>
      <c r="F22" s="214"/>
      <c r="G22" s="214"/>
      <c r="H22" s="214"/>
      <c r="I22" s="214"/>
      <c r="J22" s="214"/>
      <c r="K22" s="214"/>
      <c r="L22" s="214"/>
      <c r="M22" s="214"/>
      <c r="N22" s="214"/>
      <c r="O22" s="214"/>
      <c r="P22" s="214"/>
      <c r="Q22" s="214"/>
      <c r="R22" s="214"/>
      <c r="S22" s="214"/>
      <c r="T22" s="214"/>
      <c r="U22" s="271"/>
      <c r="V22" s="271"/>
      <c r="W22" s="271"/>
      <c r="X22" s="271"/>
      <c r="Y22" s="271"/>
    </row>
    <row r="23" spans="1:25" ht="13.5" customHeight="1" x14ac:dyDescent="0.25">
      <c r="A23" s="502" t="s">
        <v>246</v>
      </c>
      <c r="B23" s="503">
        <f>SUM(B24:B26)</f>
        <v>70500</v>
      </c>
      <c r="C23" s="504">
        <f>B23/$B$58</f>
        <v>0.12829845313921748</v>
      </c>
      <c r="D23" s="503">
        <f>SUM(D24:D26)</f>
        <v>150000</v>
      </c>
      <c r="E23" s="504">
        <f>D23/$D$58</f>
        <v>0.10721944245889921</v>
      </c>
      <c r="F23" s="503">
        <f>SUM(F24:F26)</f>
        <v>170000</v>
      </c>
      <c r="G23" s="504">
        <f>F23/$F$58</f>
        <v>9.7926267281105997E-2</v>
      </c>
      <c r="H23" s="503">
        <f>SUM(H24:H26)</f>
        <v>170000</v>
      </c>
      <c r="I23" s="505"/>
      <c r="J23" s="505"/>
      <c r="K23" s="505"/>
      <c r="L23" s="505"/>
      <c r="M23" s="505"/>
      <c r="N23" s="505"/>
      <c r="O23" s="505"/>
      <c r="P23" s="505"/>
      <c r="Q23" s="505"/>
      <c r="R23" s="505"/>
      <c r="S23" s="505"/>
      <c r="T23" s="505"/>
      <c r="U23" s="271"/>
      <c r="V23" s="271"/>
      <c r="W23" s="271"/>
      <c r="X23" s="271"/>
      <c r="Y23" s="271"/>
    </row>
    <row r="24" spans="1:25" ht="13.5" customHeight="1" x14ac:dyDescent="0.25">
      <c r="A24" s="509" t="s">
        <v>247</v>
      </c>
      <c r="B24" s="215">
        <v>37000</v>
      </c>
      <c r="C24" s="215"/>
      <c r="D24" s="215">
        <v>80000</v>
      </c>
      <c r="E24" s="214"/>
      <c r="F24" s="215">
        <f>80000+10000</f>
        <v>90000</v>
      </c>
      <c r="G24" s="214"/>
      <c r="H24" s="215">
        <f t="shared" ref="H24:H25" si="6">F24</f>
        <v>90000</v>
      </c>
      <c r="I24" s="214"/>
      <c r="J24" s="214"/>
      <c r="K24" s="214"/>
      <c r="L24" s="214"/>
      <c r="M24" s="214"/>
      <c r="N24" s="214"/>
      <c r="O24" s="214"/>
      <c r="P24" s="214"/>
      <c r="Q24" s="214"/>
      <c r="R24" s="214"/>
      <c r="S24" s="214"/>
      <c r="T24" s="214"/>
      <c r="U24" s="271"/>
      <c r="V24" s="271"/>
      <c r="W24" s="271"/>
      <c r="X24" s="271"/>
      <c r="Y24" s="271"/>
    </row>
    <row r="25" spans="1:25" ht="13.5" customHeight="1" x14ac:dyDescent="0.25">
      <c r="A25" s="509" t="s">
        <v>248</v>
      </c>
      <c r="B25" s="215">
        <v>33500</v>
      </c>
      <c r="C25" s="215"/>
      <c r="D25" s="215">
        <v>70000</v>
      </c>
      <c r="E25" s="214"/>
      <c r="F25" s="215">
        <f>70000+10000</f>
        <v>80000</v>
      </c>
      <c r="G25" s="214"/>
      <c r="H25" s="215">
        <f t="shared" si="6"/>
        <v>80000</v>
      </c>
      <c r="I25" s="214"/>
      <c r="J25" s="214"/>
      <c r="K25" s="214"/>
      <c r="L25" s="214"/>
      <c r="M25" s="214"/>
      <c r="N25" s="214"/>
      <c r="O25" s="214"/>
      <c r="P25" s="214"/>
      <c r="Q25" s="214"/>
      <c r="R25" s="214"/>
      <c r="S25" s="214"/>
      <c r="T25" s="214"/>
      <c r="U25" s="271"/>
      <c r="V25" s="271"/>
      <c r="W25" s="271"/>
      <c r="X25" s="271"/>
      <c r="Y25" s="271"/>
    </row>
    <row r="26" spans="1:25" ht="13.5" customHeight="1" x14ac:dyDescent="0.25">
      <c r="A26" s="214"/>
      <c r="B26" s="215"/>
      <c r="C26" s="215"/>
      <c r="D26" s="215"/>
      <c r="E26" s="214"/>
      <c r="F26" s="214"/>
      <c r="G26" s="214"/>
      <c r="H26" s="214"/>
      <c r="I26" s="214"/>
      <c r="J26" s="214"/>
      <c r="K26" s="214"/>
      <c r="L26" s="214"/>
      <c r="M26" s="214"/>
      <c r="N26" s="214"/>
      <c r="O26" s="214"/>
      <c r="P26" s="214"/>
      <c r="Q26" s="214"/>
      <c r="R26" s="214"/>
      <c r="S26" s="214"/>
      <c r="T26" s="214"/>
      <c r="U26" s="271"/>
      <c r="V26" s="271"/>
      <c r="W26" s="271"/>
      <c r="X26" s="271"/>
      <c r="Y26" s="271"/>
    </row>
    <row r="27" spans="1:25" ht="13.5" customHeight="1" x14ac:dyDescent="0.25">
      <c r="A27" s="502" t="s">
        <v>249</v>
      </c>
      <c r="B27" s="503">
        <f>SUM(B28:B33)</f>
        <v>133500</v>
      </c>
      <c r="C27" s="504">
        <f>B27/$B$58</f>
        <v>0.2429481346678799</v>
      </c>
      <c r="D27" s="503">
        <f>SUM(D28:D33)</f>
        <v>280000</v>
      </c>
      <c r="E27" s="504">
        <f>D27/$D$58</f>
        <v>0.20014295925661185</v>
      </c>
      <c r="F27" s="503">
        <f>SUM(F28:F33)</f>
        <v>315000</v>
      </c>
      <c r="G27" s="504">
        <f>F27/$F$58</f>
        <v>0.18145161290322581</v>
      </c>
      <c r="H27" s="503">
        <f>SUM(H28:H33)</f>
        <v>300000</v>
      </c>
      <c r="I27" s="504">
        <f>H27/$F$58</f>
        <v>0.1728110599078341</v>
      </c>
      <c r="J27" s="505"/>
      <c r="K27" s="505"/>
      <c r="L27" s="505"/>
      <c r="M27" s="505"/>
      <c r="N27" s="505"/>
      <c r="O27" s="505"/>
      <c r="P27" s="505"/>
      <c r="Q27" s="505"/>
      <c r="R27" s="505"/>
      <c r="S27" s="505"/>
      <c r="T27" s="505"/>
      <c r="U27" s="271"/>
      <c r="V27" s="271"/>
      <c r="W27" s="271"/>
      <c r="X27" s="271"/>
      <c r="Y27" s="271"/>
    </row>
    <row r="28" spans="1:25" ht="13.5" customHeight="1" x14ac:dyDescent="0.25">
      <c r="A28" s="509" t="s">
        <v>250</v>
      </c>
      <c r="B28" s="215">
        <v>28500</v>
      </c>
      <c r="C28" s="215"/>
      <c r="D28" s="215">
        <v>55000</v>
      </c>
      <c r="E28" s="214"/>
      <c r="F28" s="215">
        <f>55000</f>
        <v>55000</v>
      </c>
      <c r="G28" s="214"/>
      <c r="H28" s="508" t="s">
        <v>251</v>
      </c>
      <c r="I28" s="214"/>
      <c r="J28" s="214"/>
      <c r="K28" s="214"/>
      <c r="L28" s="214"/>
      <c r="M28" s="214"/>
      <c r="N28" s="214"/>
      <c r="O28" s="214"/>
      <c r="P28" s="214"/>
      <c r="Q28" s="214"/>
      <c r="R28" s="214"/>
      <c r="S28" s="214"/>
      <c r="T28" s="214"/>
      <c r="U28" s="271"/>
      <c r="V28" s="271"/>
      <c r="W28" s="271"/>
      <c r="X28" s="271"/>
      <c r="Y28" s="271"/>
    </row>
    <row r="29" spans="1:25" ht="13.5" customHeight="1" x14ac:dyDescent="0.25">
      <c r="A29" s="509" t="s">
        <v>252</v>
      </c>
      <c r="B29" s="215">
        <v>30000</v>
      </c>
      <c r="C29" s="215"/>
      <c r="D29" s="215">
        <v>60000</v>
      </c>
      <c r="E29" s="214"/>
      <c r="F29" s="215">
        <f>60000+10000</f>
        <v>70000</v>
      </c>
      <c r="G29" s="214"/>
      <c r="H29" s="215">
        <f t="shared" ref="H29:H30" si="7">F29</f>
        <v>70000</v>
      </c>
      <c r="I29" s="214"/>
      <c r="J29" s="214"/>
      <c r="K29" s="214"/>
      <c r="L29" s="214"/>
      <c r="M29" s="214"/>
      <c r="N29" s="214"/>
      <c r="O29" s="214"/>
      <c r="P29" s="214"/>
      <c r="Q29" s="214"/>
      <c r="R29" s="214"/>
      <c r="S29" s="214"/>
      <c r="T29" s="214"/>
      <c r="U29" s="271"/>
      <c r="V29" s="271"/>
      <c r="W29" s="271"/>
      <c r="X29" s="271"/>
      <c r="Y29" s="271"/>
    </row>
    <row r="30" spans="1:25" ht="13.5" customHeight="1" x14ac:dyDescent="0.25">
      <c r="A30" s="509" t="s">
        <v>253</v>
      </c>
      <c r="B30" s="215">
        <v>35000</v>
      </c>
      <c r="C30" s="215"/>
      <c r="D30" s="215">
        <v>75000</v>
      </c>
      <c r="E30" s="214"/>
      <c r="F30" s="215">
        <f>75000+10000</f>
        <v>85000</v>
      </c>
      <c r="G30" s="214"/>
      <c r="H30" s="215">
        <f t="shared" si="7"/>
        <v>85000</v>
      </c>
      <c r="I30" s="214"/>
      <c r="J30" s="214"/>
      <c r="K30" s="214"/>
      <c r="L30" s="214"/>
      <c r="M30" s="214"/>
      <c r="N30" s="214"/>
      <c r="O30" s="214"/>
      <c r="P30" s="214"/>
      <c r="Q30" s="214"/>
      <c r="R30" s="214"/>
      <c r="S30" s="214"/>
      <c r="T30" s="214"/>
      <c r="U30" s="271"/>
      <c r="V30" s="271"/>
      <c r="W30" s="271"/>
      <c r="X30" s="271"/>
      <c r="Y30" s="271"/>
    </row>
    <row r="31" spans="1:25" ht="13.5" customHeight="1" x14ac:dyDescent="0.25">
      <c r="A31" s="509" t="s">
        <v>254</v>
      </c>
      <c r="B31" s="215">
        <v>40000</v>
      </c>
      <c r="C31" s="215"/>
      <c r="D31" s="215">
        <v>90000</v>
      </c>
      <c r="E31" s="214"/>
      <c r="F31" s="215">
        <f>90000+15000</f>
        <v>105000</v>
      </c>
      <c r="G31" s="214"/>
      <c r="H31" s="215">
        <v>100000</v>
      </c>
      <c r="I31" s="214"/>
      <c r="J31" s="214"/>
      <c r="K31" s="214"/>
      <c r="L31" s="214"/>
      <c r="M31" s="214"/>
      <c r="N31" s="214"/>
      <c r="O31" s="214"/>
      <c r="P31" s="214"/>
      <c r="Q31" s="214"/>
      <c r="R31" s="214"/>
      <c r="S31" s="214"/>
      <c r="T31" s="214"/>
      <c r="U31" s="271"/>
      <c r="V31" s="271"/>
      <c r="W31" s="271"/>
      <c r="X31" s="271"/>
      <c r="Y31" s="271"/>
    </row>
    <row r="32" spans="1:25" ht="13.5" customHeight="1" x14ac:dyDescent="0.25">
      <c r="A32" s="506" t="s">
        <v>255</v>
      </c>
      <c r="B32" s="215"/>
      <c r="C32" s="215"/>
      <c r="D32" s="215"/>
      <c r="E32" s="214"/>
      <c r="F32" s="214"/>
      <c r="G32" s="214"/>
      <c r="H32" s="215">
        <v>45000</v>
      </c>
      <c r="I32" s="214"/>
      <c r="J32" s="214"/>
      <c r="K32" s="214"/>
      <c r="L32" s="214"/>
      <c r="M32" s="214"/>
      <c r="N32" s="214"/>
      <c r="O32" s="214"/>
      <c r="P32" s="214"/>
      <c r="Q32" s="214"/>
      <c r="R32" s="214"/>
      <c r="S32" s="214"/>
      <c r="T32" s="214"/>
      <c r="U32" s="271"/>
      <c r="V32" s="271"/>
      <c r="W32" s="271"/>
      <c r="X32" s="271"/>
      <c r="Y32" s="271"/>
    </row>
    <row r="33" spans="1:25" ht="13.5" customHeight="1" x14ac:dyDescent="0.25">
      <c r="A33" s="510"/>
      <c r="B33" s="215"/>
      <c r="C33" s="215"/>
      <c r="D33" s="215"/>
      <c r="E33" s="214"/>
      <c r="F33" s="214"/>
      <c r="G33" s="214"/>
      <c r="H33" s="215"/>
      <c r="I33" s="214"/>
      <c r="J33" s="214"/>
      <c r="K33" s="214"/>
      <c r="L33" s="214"/>
      <c r="M33" s="214"/>
      <c r="N33" s="214"/>
      <c r="O33" s="214"/>
      <c r="P33" s="214"/>
      <c r="Q33" s="214"/>
      <c r="R33" s="214"/>
      <c r="S33" s="214"/>
      <c r="T33" s="214"/>
      <c r="U33" s="271"/>
      <c r="V33" s="271"/>
      <c r="W33" s="271"/>
      <c r="X33" s="271"/>
      <c r="Y33" s="271"/>
    </row>
    <row r="34" spans="1:25" ht="13.5" customHeight="1" x14ac:dyDescent="0.25">
      <c r="A34" s="502" t="s">
        <v>256</v>
      </c>
      <c r="B34" s="503">
        <f>SUM(B35:B37)</f>
        <v>45000</v>
      </c>
      <c r="C34" s="504">
        <f>B34/$B$58</f>
        <v>8.1892629663330302E-2</v>
      </c>
      <c r="D34" s="503">
        <f>SUM(D35:D37)</f>
        <v>104000</v>
      </c>
      <c r="E34" s="504">
        <f>D34/$D$58</f>
        <v>7.4338813438170115E-2</v>
      </c>
      <c r="F34" s="503">
        <f>SUM(F35:F37)</f>
        <v>125000</v>
      </c>
      <c r="G34" s="504">
        <f>F34/$F$58</f>
        <v>7.2004608294930869E-2</v>
      </c>
      <c r="H34" s="503">
        <f>SUM(H35:H37)</f>
        <v>125000</v>
      </c>
      <c r="I34" s="504">
        <f>H34/$F$58</f>
        <v>7.2004608294930869E-2</v>
      </c>
      <c r="J34" s="505"/>
      <c r="K34" s="505"/>
      <c r="L34" s="505"/>
      <c r="M34" s="505"/>
      <c r="N34" s="505"/>
      <c r="O34" s="505"/>
      <c r="P34" s="505"/>
      <c r="Q34" s="505"/>
      <c r="R34" s="505"/>
      <c r="S34" s="505"/>
      <c r="T34" s="505"/>
      <c r="U34" s="271"/>
      <c r="V34" s="271"/>
      <c r="W34" s="271"/>
      <c r="X34" s="271"/>
      <c r="Y34" s="271"/>
    </row>
    <row r="35" spans="1:25" ht="13.5" customHeight="1" x14ac:dyDescent="0.25">
      <c r="A35" s="509" t="s">
        <v>257</v>
      </c>
      <c r="B35" s="215">
        <v>37000</v>
      </c>
      <c r="C35" s="215"/>
      <c r="D35" s="215">
        <v>80000</v>
      </c>
      <c r="E35" s="214"/>
      <c r="F35" s="215">
        <f>80000+15000</f>
        <v>95000</v>
      </c>
      <c r="G35" s="214"/>
      <c r="H35" s="215">
        <f t="shared" ref="H35:H36" si="8">F35</f>
        <v>95000</v>
      </c>
      <c r="I35" s="214"/>
      <c r="J35" s="214"/>
      <c r="K35" s="214"/>
      <c r="L35" s="214"/>
      <c r="M35" s="214"/>
      <c r="N35" s="214"/>
      <c r="O35" s="214"/>
      <c r="P35" s="214"/>
      <c r="Q35" s="214"/>
      <c r="R35" s="214"/>
      <c r="S35" s="214"/>
      <c r="T35" s="214"/>
      <c r="U35" s="271"/>
      <c r="V35" s="271"/>
      <c r="W35" s="271"/>
      <c r="X35" s="271"/>
      <c r="Y35" s="271"/>
    </row>
    <row r="36" spans="1:25" ht="13.5" customHeight="1" x14ac:dyDescent="0.25">
      <c r="A36" s="509" t="s">
        <v>258</v>
      </c>
      <c r="B36" s="215">
        <v>8000</v>
      </c>
      <c r="C36" s="215"/>
      <c r="D36" s="215">
        <v>24000</v>
      </c>
      <c r="E36" s="214"/>
      <c r="F36" s="215">
        <f>24000+6000</f>
        <v>30000</v>
      </c>
      <c r="G36" s="214"/>
      <c r="H36" s="215">
        <f t="shared" si="8"/>
        <v>30000</v>
      </c>
      <c r="I36" s="214"/>
      <c r="J36" s="214"/>
      <c r="K36" s="214"/>
      <c r="L36" s="214"/>
      <c r="M36" s="214"/>
      <c r="N36" s="214"/>
      <c r="O36" s="214"/>
      <c r="P36" s="214"/>
      <c r="Q36" s="214"/>
      <c r="R36" s="214"/>
      <c r="S36" s="214"/>
      <c r="T36" s="214"/>
      <c r="U36" s="271"/>
      <c r="V36" s="271"/>
      <c r="W36" s="271"/>
      <c r="X36" s="271"/>
      <c r="Y36" s="271"/>
    </row>
    <row r="37" spans="1:25" ht="13.5" customHeight="1" x14ac:dyDescent="0.25">
      <c r="A37" s="214"/>
      <c r="B37" s="215"/>
      <c r="C37" s="215"/>
      <c r="D37" s="215"/>
      <c r="E37" s="214"/>
      <c r="F37" s="214"/>
      <c r="G37" s="214"/>
      <c r="H37" s="511"/>
      <c r="I37" s="214"/>
      <c r="J37" s="214"/>
      <c r="K37" s="214"/>
      <c r="L37" s="214"/>
      <c r="M37" s="214"/>
      <c r="N37" s="214"/>
      <c r="O37" s="214"/>
      <c r="P37" s="214"/>
      <c r="Q37" s="214"/>
      <c r="R37" s="214"/>
      <c r="S37" s="214"/>
      <c r="T37" s="214"/>
      <c r="U37" s="271"/>
      <c r="V37" s="271"/>
      <c r="W37" s="271"/>
      <c r="X37" s="271"/>
      <c r="Y37" s="271"/>
    </row>
    <row r="38" spans="1:25" ht="13.5" customHeight="1" x14ac:dyDescent="0.25">
      <c r="A38" s="502" t="s">
        <v>259</v>
      </c>
      <c r="B38" s="503">
        <f>SUM(B39:B42)</f>
        <v>40000</v>
      </c>
      <c r="C38" s="504">
        <f>B38/$B$58</f>
        <v>7.2793448589626927E-2</v>
      </c>
      <c r="D38" s="503">
        <f>SUM(D39:D42)</f>
        <v>120000</v>
      </c>
      <c r="E38" s="504">
        <f>D38/$D$58</f>
        <v>8.5775553967119375E-2</v>
      </c>
      <c r="F38" s="503">
        <f>SUM(F39:F42)</f>
        <v>140000</v>
      </c>
      <c r="G38" s="504">
        <f>F38/$F$58</f>
        <v>8.0645161290322578E-2</v>
      </c>
      <c r="H38" s="503">
        <f>SUM(H39:H41)</f>
        <v>140000</v>
      </c>
      <c r="I38" s="504">
        <f>H38/$F$58</f>
        <v>8.0645161290322578E-2</v>
      </c>
      <c r="J38" s="505"/>
      <c r="K38" s="505"/>
      <c r="L38" s="505"/>
      <c r="M38" s="505"/>
      <c r="N38" s="505"/>
      <c r="O38" s="505"/>
      <c r="P38" s="505"/>
      <c r="Q38" s="505"/>
      <c r="R38" s="505"/>
      <c r="S38" s="505"/>
      <c r="T38" s="505"/>
      <c r="U38" s="271"/>
      <c r="V38" s="271"/>
      <c r="W38" s="271"/>
      <c r="X38" s="271"/>
      <c r="Y38" s="271"/>
    </row>
    <row r="39" spans="1:25" ht="13.5" customHeight="1" x14ac:dyDescent="0.25">
      <c r="A39" s="509" t="s">
        <v>260</v>
      </c>
      <c r="B39" s="215">
        <v>30000</v>
      </c>
      <c r="C39" s="215"/>
      <c r="D39" s="215">
        <v>90000</v>
      </c>
      <c r="E39" s="214"/>
      <c r="F39" s="215">
        <f>90000+10000</f>
        <v>100000</v>
      </c>
      <c r="G39" s="214"/>
      <c r="H39" s="215">
        <v>75000</v>
      </c>
      <c r="I39" s="214"/>
      <c r="J39" s="214"/>
      <c r="K39" s="214"/>
      <c r="L39" s="214"/>
      <c r="M39" s="214"/>
      <c r="N39" s="214"/>
      <c r="O39" s="214"/>
      <c r="P39" s="214"/>
      <c r="Q39" s="214"/>
      <c r="R39" s="214"/>
      <c r="S39" s="214"/>
      <c r="T39" s="214"/>
      <c r="U39" s="271"/>
      <c r="V39" s="271"/>
      <c r="W39" s="271"/>
      <c r="X39" s="271"/>
      <c r="Y39" s="271"/>
    </row>
    <row r="40" spans="1:25" ht="13.5" customHeight="1" x14ac:dyDescent="0.25">
      <c r="A40" s="509" t="s">
        <v>202</v>
      </c>
      <c r="B40" s="215">
        <v>10000</v>
      </c>
      <c r="C40" s="215"/>
      <c r="D40" s="215">
        <v>30000</v>
      </c>
      <c r="E40" s="214"/>
      <c r="F40" s="215">
        <f>30000+10000</f>
        <v>40000</v>
      </c>
      <c r="G40" s="214"/>
      <c r="H40" s="215">
        <f>F40</f>
        <v>40000</v>
      </c>
      <c r="I40" s="214"/>
      <c r="J40" s="214"/>
      <c r="K40" s="214"/>
      <c r="L40" s="214"/>
      <c r="M40" s="214"/>
      <c r="N40" s="214"/>
      <c r="O40" s="214"/>
      <c r="P40" s="214"/>
      <c r="Q40" s="214"/>
      <c r="R40" s="214"/>
      <c r="S40" s="214"/>
      <c r="T40" s="214"/>
      <c r="U40" s="271"/>
      <c r="V40" s="271"/>
      <c r="W40" s="271"/>
      <c r="X40" s="271"/>
      <c r="Y40" s="271"/>
    </row>
    <row r="41" spans="1:25" ht="13.5" customHeight="1" x14ac:dyDescent="0.25">
      <c r="A41" s="509" t="s">
        <v>210</v>
      </c>
      <c r="B41" s="215"/>
      <c r="C41" s="215"/>
      <c r="D41" s="215"/>
      <c r="E41" s="214"/>
      <c r="F41" s="214"/>
      <c r="G41" s="214"/>
      <c r="H41" s="215">
        <v>25000</v>
      </c>
      <c r="I41" s="214"/>
      <c r="J41" s="214"/>
      <c r="K41" s="214"/>
      <c r="L41" s="214"/>
      <c r="M41" s="214"/>
      <c r="N41" s="214"/>
      <c r="O41" s="214"/>
      <c r="P41" s="214"/>
      <c r="Q41" s="214"/>
      <c r="R41" s="214"/>
      <c r="S41" s="214"/>
      <c r="T41" s="214"/>
      <c r="U41" s="271"/>
      <c r="V41" s="271"/>
      <c r="W41" s="271"/>
      <c r="X41" s="271"/>
      <c r="Y41" s="271"/>
    </row>
    <row r="42" spans="1:25" ht="13.5" customHeight="1" x14ac:dyDescent="0.25">
      <c r="A42" s="214"/>
      <c r="B42" s="215"/>
      <c r="C42" s="215"/>
      <c r="D42" s="215"/>
      <c r="E42" s="214"/>
      <c r="F42" s="214"/>
      <c r="G42" s="214"/>
      <c r="H42" s="214"/>
      <c r="I42" s="214"/>
      <c r="J42" s="214"/>
      <c r="K42" s="214"/>
      <c r="L42" s="214"/>
      <c r="M42" s="214"/>
      <c r="N42" s="214"/>
      <c r="O42" s="214"/>
      <c r="P42" s="214"/>
      <c r="Q42" s="214"/>
      <c r="R42" s="214"/>
      <c r="S42" s="214"/>
      <c r="T42" s="214"/>
      <c r="U42" s="271"/>
      <c r="V42" s="271"/>
      <c r="W42" s="271"/>
      <c r="X42" s="271"/>
      <c r="Y42" s="271"/>
    </row>
    <row r="43" spans="1:25" ht="13.5" customHeight="1" x14ac:dyDescent="0.25">
      <c r="A43" s="502" t="s">
        <v>261</v>
      </c>
      <c r="B43" s="503">
        <f>SUM(B44:B46)</f>
        <v>60000</v>
      </c>
      <c r="C43" s="504">
        <f>B43/$B$58</f>
        <v>0.1091901728844404</v>
      </c>
      <c r="D43" s="503">
        <f>SUM(D44:D46)</f>
        <v>250000</v>
      </c>
      <c r="E43" s="504">
        <f>D43/$D$58</f>
        <v>0.17869907076483202</v>
      </c>
      <c r="F43" s="503">
        <f>SUM(F44:F46)</f>
        <v>255000</v>
      </c>
      <c r="G43" s="504">
        <f>F43/$F$58</f>
        <v>0.14688940092165897</v>
      </c>
      <c r="H43" s="503">
        <f>SUM(H44:H46)</f>
        <v>310000</v>
      </c>
      <c r="I43" s="504">
        <f>H43/$F$58</f>
        <v>0.17857142857142858</v>
      </c>
      <c r="J43" s="505"/>
      <c r="K43" s="505"/>
      <c r="L43" s="505"/>
      <c r="M43" s="505"/>
      <c r="N43" s="505"/>
      <c r="O43" s="505"/>
      <c r="P43" s="505"/>
      <c r="Q43" s="505"/>
      <c r="R43" s="505"/>
      <c r="S43" s="505"/>
      <c r="T43" s="505"/>
      <c r="U43" s="271"/>
      <c r="V43" s="271"/>
      <c r="W43" s="271"/>
      <c r="X43" s="271"/>
      <c r="Y43" s="271"/>
    </row>
    <row r="44" spans="1:25" ht="13.5" customHeight="1" x14ac:dyDescent="0.25">
      <c r="A44" s="509" t="s">
        <v>262</v>
      </c>
      <c r="B44" s="215">
        <v>60000</v>
      </c>
      <c r="C44" s="215"/>
      <c r="D44" s="215">
        <f>150000+50000</f>
        <v>200000</v>
      </c>
      <c r="E44" s="214"/>
      <c r="F44" s="215">
        <f>150000+50000+30000</f>
        <v>230000</v>
      </c>
      <c r="G44" s="214"/>
      <c r="H44" s="215">
        <f>F44+10000</f>
        <v>240000</v>
      </c>
      <c r="I44" s="214"/>
      <c r="J44" s="214"/>
      <c r="K44" s="214"/>
      <c r="L44" s="214"/>
      <c r="M44" s="214"/>
      <c r="N44" s="214"/>
      <c r="O44" s="214"/>
      <c r="P44" s="214"/>
      <c r="Q44" s="214"/>
      <c r="R44" s="214"/>
      <c r="S44" s="214"/>
      <c r="T44" s="214"/>
      <c r="U44" s="271"/>
      <c r="V44" s="271"/>
      <c r="W44" s="271"/>
      <c r="X44" s="271"/>
      <c r="Y44" s="271"/>
    </row>
    <row r="45" spans="1:25" ht="13.5" customHeight="1" x14ac:dyDescent="0.25">
      <c r="A45" s="506" t="s">
        <v>263</v>
      </c>
      <c r="B45" s="215"/>
      <c r="C45" s="215"/>
      <c r="D45" s="215">
        <v>50000</v>
      </c>
      <c r="E45" s="214"/>
      <c r="F45" s="215">
        <v>25000</v>
      </c>
      <c r="G45" s="214"/>
      <c r="H45" s="215">
        <f>50000+20000</f>
        <v>70000</v>
      </c>
      <c r="I45" s="214"/>
      <c r="J45" s="214"/>
      <c r="K45" s="214"/>
      <c r="L45" s="214"/>
      <c r="M45" s="214"/>
      <c r="N45" s="214"/>
      <c r="O45" s="214"/>
      <c r="P45" s="214"/>
      <c r="Q45" s="214"/>
      <c r="R45" s="214"/>
      <c r="S45" s="214"/>
      <c r="T45" s="214"/>
      <c r="U45" s="271"/>
      <c r="V45" s="271"/>
      <c r="W45" s="271"/>
      <c r="X45" s="271"/>
      <c r="Y45" s="271"/>
    </row>
    <row r="46" spans="1:25" ht="13.5" customHeight="1" x14ac:dyDescent="0.25">
      <c r="A46" s="214"/>
      <c r="B46" s="215"/>
      <c r="C46" s="215"/>
      <c r="D46" s="215"/>
      <c r="E46" s="214"/>
      <c r="F46" s="214"/>
      <c r="G46" s="214"/>
      <c r="H46" s="214"/>
      <c r="I46" s="214"/>
      <c r="J46" s="214"/>
      <c r="K46" s="214"/>
      <c r="L46" s="214"/>
      <c r="M46" s="214"/>
      <c r="N46" s="214"/>
      <c r="O46" s="214"/>
      <c r="P46" s="214"/>
      <c r="Q46" s="214"/>
      <c r="R46" s="214"/>
      <c r="S46" s="214"/>
      <c r="T46" s="214"/>
      <c r="U46" s="271"/>
      <c r="V46" s="271"/>
      <c r="W46" s="271"/>
      <c r="X46" s="271"/>
      <c r="Y46" s="271"/>
    </row>
    <row r="47" spans="1:25" ht="13.5" customHeight="1" x14ac:dyDescent="0.25">
      <c r="A47" s="502" t="s">
        <v>130</v>
      </c>
      <c r="B47" s="503"/>
      <c r="C47" s="504"/>
      <c r="D47" s="503">
        <f>SUM(D48:D50)</f>
        <v>50000</v>
      </c>
      <c r="E47" s="504"/>
      <c r="F47" s="503">
        <f>SUM(F48:F50)</f>
        <v>100000</v>
      </c>
      <c r="G47" s="504">
        <f>F47/$F$58</f>
        <v>5.7603686635944701E-2</v>
      </c>
      <c r="H47" s="503">
        <f>SUM(H48:H50)</f>
        <v>124000</v>
      </c>
      <c r="I47" s="504">
        <f>H47/$F$58</f>
        <v>7.1428571428571425E-2</v>
      </c>
      <c r="J47" s="505"/>
      <c r="K47" s="505"/>
      <c r="L47" s="505"/>
      <c r="M47" s="505"/>
      <c r="N47" s="505"/>
      <c r="O47" s="505"/>
      <c r="P47" s="505"/>
      <c r="Q47" s="505"/>
      <c r="R47" s="505"/>
      <c r="S47" s="505"/>
      <c r="T47" s="505"/>
      <c r="U47" s="271"/>
      <c r="V47" s="271"/>
      <c r="W47" s="271"/>
      <c r="X47" s="271"/>
      <c r="Y47" s="271"/>
    </row>
    <row r="48" spans="1:25" ht="13.5" customHeight="1" x14ac:dyDescent="0.25">
      <c r="A48" s="509" t="s">
        <v>264</v>
      </c>
      <c r="B48" s="215"/>
      <c r="C48" s="215"/>
      <c r="D48" s="215">
        <v>50000</v>
      </c>
      <c r="E48" s="214"/>
      <c r="F48" s="215">
        <v>100000</v>
      </c>
      <c r="G48" s="214"/>
      <c r="H48" s="215">
        <f>F48</f>
        <v>100000</v>
      </c>
      <c r="I48" s="214"/>
      <c r="J48" s="214"/>
      <c r="K48" s="214"/>
      <c r="L48" s="214"/>
      <c r="M48" s="214"/>
      <c r="N48" s="214"/>
      <c r="O48" s="214"/>
      <c r="P48" s="214"/>
      <c r="Q48" s="214"/>
      <c r="R48" s="214"/>
      <c r="S48" s="214"/>
      <c r="T48" s="214"/>
      <c r="U48" s="271"/>
      <c r="V48" s="271"/>
      <c r="W48" s="271"/>
      <c r="X48" s="271"/>
      <c r="Y48" s="271"/>
    </row>
    <row r="49" spans="1:25" ht="13.5" customHeight="1" x14ac:dyDescent="0.25">
      <c r="A49" s="509" t="s">
        <v>265</v>
      </c>
      <c r="B49" s="215"/>
      <c r="C49" s="215"/>
      <c r="D49" s="215"/>
      <c r="E49" s="214"/>
      <c r="F49" s="214"/>
      <c r="G49" s="214"/>
      <c r="H49" s="215">
        <v>24000</v>
      </c>
      <c r="I49" s="214"/>
      <c r="J49" s="214"/>
      <c r="K49" s="214"/>
      <c r="L49" s="214"/>
      <c r="M49" s="214"/>
      <c r="N49" s="214"/>
      <c r="O49" s="214"/>
      <c r="P49" s="214"/>
      <c r="Q49" s="214"/>
      <c r="R49" s="214"/>
      <c r="S49" s="214"/>
      <c r="T49" s="214"/>
      <c r="U49" s="271"/>
      <c r="V49" s="271"/>
      <c r="W49" s="271"/>
      <c r="X49" s="271"/>
      <c r="Y49" s="271"/>
    </row>
    <row r="50" spans="1:25" ht="13.5" customHeight="1" x14ac:dyDescent="0.25">
      <c r="A50" s="214"/>
      <c r="B50" s="215"/>
      <c r="C50" s="215"/>
      <c r="D50" s="215"/>
      <c r="E50" s="214"/>
      <c r="F50" s="214"/>
      <c r="G50" s="214"/>
      <c r="H50" s="215"/>
      <c r="I50" s="214"/>
      <c r="J50" s="214"/>
      <c r="K50" s="214"/>
      <c r="L50" s="214"/>
      <c r="M50" s="214"/>
      <c r="N50" s="214"/>
      <c r="O50" s="214"/>
      <c r="P50" s="214"/>
      <c r="Q50" s="214"/>
      <c r="R50" s="214"/>
      <c r="S50" s="214"/>
      <c r="T50" s="214"/>
      <c r="U50" s="271"/>
      <c r="V50" s="271"/>
      <c r="W50" s="271"/>
      <c r="X50" s="271"/>
      <c r="Y50" s="271"/>
    </row>
    <row r="51" spans="1:25" ht="13.5" customHeight="1" x14ac:dyDescent="0.25">
      <c r="A51" s="214"/>
      <c r="B51" s="215"/>
      <c r="C51" s="215"/>
      <c r="D51" s="215"/>
      <c r="E51" s="214"/>
      <c r="F51" s="214"/>
      <c r="G51" s="214"/>
      <c r="H51" s="215"/>
      <c r="I51" s="214"/>
      <c r="J51" s="214"/>
      <c r="K51" s="214"/>
      <c r="L51" s="214"/>
      <c r="M51" s="214"/>
      <c r="N51" s="214"/>
      <c r="O51" s="214"/>
      <c r="P51" s="214"/>
      <c r="Q51" s="214"/>
      <c r="R51" s="214"/>
      <c r="S51" s="214"/>
      <c r="T51" s="214"/>
      <c r="U51" s="271"/>
      <c r="V51" s="271"/>
      <c r="W51" s="271"/>
      <c r="X51" s="271"/>
      <c r="Y51" s="271"/>
    </row>
    <row r="52" spans="1:25" ht="13.5" customHeight="1" x14ac:dyDescent="0.25">
      <c r="A52" s="502" t="s">
        <v>266</v>
      </c>
      <c r="B52" s="503">
        <f>SUM(B53:B57)</f>
        <v>19500</v>
      </c>
      <c r="C52" s="504">
        <f>B52/$B$58</f>
        <v>3.5486806187443133E-2</v>
      </c>
      <c r="D52" s="503">
        <f>SUM(D53:D57)</f>
        <v>85000</v>
      </c>
      <c r="E52" s="504">
        <f>D52/$D$58</f>
        <v>6.0757684060042887E-2</v>
      </c>
      <c r="F52" s="503">
        <f>SUM(F53:F57)</f>
        <v>120000</v>
      </c>
      <c r="G52" s="504">
        <f>F52/$F$58</f>
        <v>6.9124423963133647E-2</v>
      </c>
      <c r="H52" s="503">
        <f>SUM(H53:H57)</f>
        <v>128000</v>
      </c>
      <c r="I52" s="504">
        <f>H52/$F$58</f>
        <v>7.3732718894009217E-2</v>
      </c>
      <c r="J52" s="505"/>
      <c r="K52" s="505"/>
      <c r="L52" s="505"/>
      <c r="M52" s="505"/>
      <c r="N52" s="505"/>
      <c r="O52" s="505"/>
      <c r="P52" s="505"/>
      <c r="Q52" s="505"/>
      <c r="R52" s="505"/>
      <c r="S52" s="505"/>
      <c r="T52" s="505"/>
      <c r="U52" s="271"/>
      <c r="V52" s="271"/>
      <c r="W52" s="271"/>
      <c r="X52" s="271"/>
      <c r="Y52" s="271"/>
    </row>
    <row r="53" spans="1:25" ht="13.5" customHeight="1" x14ac:dyDescent="0.25">
      <c r="A53" s="509" t="s">
        <v>267</v>
      </c>
      <c r="B53" s="215">
        <v>10000</v>
      </c>
      <c r="C53" s="507"/>
      <c r="D53" s="508" t="s">
        <v>268</v>
      </c>
      <c r="E53" s="214"/>
      <c r="F53" s="507"/>
      <c r="G53" s="214"/>
      <c r="H53" s="214"/>
      <c r="I53" s="214"/>
      <c r="J53" s="214"/>
      <c r="K53" s="214"/>
      <c r="L53" s="214"/>
      <c r="M53" s="214"/>
      <c r="N53" s="214"/>
      <c r="O53" s="214"/>
      <c r="P53" s="214"/>
      <c r="Q53" s="214"/>
      <c r="R53" s="214"/>
      <c r="S53" s="214"/>
      <c r="T53" s="214"/>
      <c r="U53" s="271"/>
      <c r="V53" s="271"/>
      <c r="W53" s="271"/>
      <c r="X53" s="271"/>
      <c r="Y53" s="271"/>
    </row>
    <row r="54" spans="1:25" ht="13.5" customHeight="1" x14ac:dyDescent="0.25">
      <c r="A54" s="509" t="s">
        <v>269</v>
      </c>
      <c r="B54" s="215"/>
      <c r="C54" s="215"/>
      <c r="D54" s="215"/>
      <c r="E54" s="214"/>
      <c r="F54" s="215">
        <f>60000-8000</f>
        <v>52000</v>
      </c>
      <c r="G54" s="214"/>
      <c r="H54" s="215">
        <v>60000</v>
      </c>
      <c r="I54" s="214"/>
      <c r="J54" s="214"/>
      <c r="K54" s="214"/>
      <c r="L54" s="214"/>
      <c r="M54" s="214"/>
      <c r="N54" s="214"/>
      <c r="O54" s="214"/>
      <c r="P54" s="214"/>
      <c r="Q54" s="214"/>
      <c r="R54" s="214"/>
      <c r="S54" s="214"/>
      <c r="T54" s="214"/>
      <c r="U54" s="271"/>
      <c r="V54" s="271"/>
      <c r="W54" s="271"/>
      <c r="X54" s="271"/>
      <c r="Y54" s="271"/>
    </row>
    <row r="55" spans="1:25" ht="13.5" customHeight="1" x14ac:dyDescent="0.25">
      <c r="A55" s="509" t="s">
        <v>270</v>
      </c>
      <c r="B55" s="215">
        <v>9500</v>
      </c>
      <c r="C55" s="215"/>
      <c r="D55" s="215">
        <v>30000</v>
      </c>
      <c r="E55" s="214"/>
      <c r="F55" s="215">
        <v>28000</v>
      </c>
      <c r="G55" s="214"/>
      <c r="H55" s="215">
        <f>F55</f>
        <v>28000</v>
      </c>
      <c r="I55" s="214"/>
      <c r="J55" s="214"/>
      <c r="K55" s="214"/>
      <c r="L55" s="214"/>
      <c r="M55" s="214"/>
      <c r="N55" s="214"/>
      <c r="O55" s="214"/>
      <c r="P55" s="214"/>
      <c r="Q55" s="214"/>
      <c r="R55" s="214"/>
      <c r="S55" s="214"/>
      <c r="T55" s="214"/>
      <c r="U55" s="271"/>
      <c r="V55" s="271"/>
      <c r="W55" s="271"/>
      <c r="X55" s="271"/>
      <c r="Y55" s="271"/>
    </row>
    <row r="56" spans="1:25" ht="13.5" customHeight="1" x14ac:dyDescent="0.25">
      <c r="A56" s="509" t="s">
        <v>271</v>
      </c>
      <c r="B56" s="214"/>
      <c r="C56" s="215"/>
      <c r="D56" s="215">
        <f>40000+15000</f>
        <v>55000</v>
      </c>
      <c r="E56" s="214"/>
      <c r="F56" s="215">
        <v>40000</v>
      </c>
      <c r="G56" s="214"/>
      <c r="H56" s="215">
        <v>40000</v>
      </c>
      <c r="I56" s="214"/>
      <c r="J56" s="214"/>
      <c r="K56" s="214"/>
      <c r="L56" s="214"/>
      <c r="M56" s="214"/>
      <c r="N56" s="214"/>
      <c r="O56" s="214"/>
      <c r="P56" s="214"/>
      <c r="Q56" s="214"/>
      <c r="R56" s="214"/>
      <c r="S56" s="214"/>
      <c r="T56" s="214"/>
      <c r="U56" s="271"/>
      <c r="V56" s="271"/>
      <c r="W56" s="271"/>
      <c r="X56" s="271"/>
      <c r="Y56" s="271"/>
    </row>
    <row r="57" spans="1:25" ht="13.5" customHeight="1" x14ac:dyDescent="0.25">
      <c r="A57" s="214"/>
      <c r="B57" s="214"/>
      <c r="C57" s="214"/>
      <c r="D57" s="214"/>
      <c r="E57" s="214"/>
      <c r="F57" s="214"/>
      <c r="G57" s="214"/>
      <c r="H57" s="214"/>
      <c r="I57" s="214"/>
      <c r="J57" s="214"/>
      <c r="K57" s="214"/>
      <c r="L57" s="214"/>
      <c r="M57" s="214"/>
      <c r="N57" s="214"/>
      <c r="O57" s="214"/>
      <c r="P57" s="214"/>
      <c r="Q57" s="214"/>
      <c r="R57" s="214"/>
      <c r="S57" s="214"/>
      <c r="T57" s="214"/>
      <c r="U57" s="271"/>
      <c r="V57" s="271"/>
      <c r="W57" s="271"/>
      <c r="X57" s="271"/>
      <c r="Y57" s="271"/>
    </row>
    <row r="58" spans="1:25" ht="15" customHeight="1" x14ac:dyDescent="0.25">
      <c r="A58" s="512" t="s">
        <v>272</v>
      </c>
      <c r="B58" s="513">
        <f>B3+B13+B19+B23+B27+B34+B38+B43+B52+B47</f>
        <v>549500</v>
      </c>
      <c r="C58" s="513"/>
      <c r="D58" s="513">
        <f>D3+D13+D19+D23+D27+D34+D38+D43+D52+D47</f>
        <v>1399000</v>
      </c>
      <c r="E58" s="514"/>
      <c r="F58" s="513">
        <f>F3+F13+F19+F23+F27+F34+F38+F43+F52+F47</f>
        <v>1736000</v>
      </c>
      <c r="G58" s="514"/>
      <c r="H58" s="513">
        <f>H3+H13+H19+H23+H27+H34+H38+H43+H52+H47</f>
        <v>1809500</v>
      </c>
      <c r="I58" s="514"/>
      <c r="J58" s="513">
        <f>J3+J13+J19+J23+J27+J34+J38+J43+J52+J47</f>
        <v>0</v>
      </c>
      <c r="K58" s="514"/>
      <c r="L58" s="513">
        <f>L3+L13+L19+L23+L27+L34+L38+L43+L52+L47</f>
        <v>0</v>
      </c>
      <c r="M58" s="514"/>
      <c r="N58" s="513">
        <f>N3+N13+N19+N23+N27+N34+N38+N43+N52+N47</f>
        <v>0</v>
      </c>
      <c r="O58" s="514"/>
      <c r="P58" s="513">
        <f>P3+P13+P19+P23+P27+P34+P38+P43+P52+P47</f>
        <v>0</v>
      </c>
      <c r="Q58" s="514"/>
      <c r="R58" s="513">
        <f>R3+R13+R19+R23+R27+R34+R38+R43+R52+R47</f>
        <v>0</v>
      </c>
      <c r="S58" s="514"/>
      <c r="T58" s="513">
        <f>T3+T13+T19+T23+T27+T34+T38+T43+T52+T47</f>
        <v>0</v>
      </c>
      <c r="U58" s="271"/>
      <c r="V58" s="271"/>
      <c r="W58" s="271"/>
      <c r="X58" s="271"/>
      <c r="Y58" s="271"/>
    </row>
    <row r="59" spans="1:25" ht="15" customHeight="1" x14ac:dyDescent="0.25">
      <c r="A59" s="515" t="s">
        <v>273</v>
      </c>
      <c r="B59" s="516"/>
      <c r="C59" s="516"/>
      <c r="D59" s="516">
        <f>D58/B58-1</f>
        <v>1.5459508644222022</v>
      </c>
      <c r="E59" s="214"/>
      <c r="F59" s="516">
        <f>F58/D58-1</f>
        <v>0.24088634739099346</v>
      </c>
      <c r="G59" s="214"/>
      <c r="H59" s="516">
        <f>H58/F58-1</f>
        <v>4.2338709677419262E-2</v>
      </c>
      <c r="I59" s="214"/>
      <c r="J59" s="214"/>
      <c r="K59" s="214"/>
      <c r="L59" s="214"/>
      <c r="M59" s="214"/>
      <c r="N59" s="214"/>
      <c r="O59" s="214"/>
      <c r="P59" s="214"/>
      <c r="Q59" s="214"/>
      <c r="R59" s="214"/>
      <c r="S59" s="214"/>
      <c r="T59" s="214"/>
      <c r="U59" s="271"/>
      <c r="V59" s="271"/>
      <c r="W59" s="271"/>
      <c r="X59" s="271"/>
      <c r="Y59" s="271"/>
    </row>
    <row r="60" spans="1:25" ht="15" customHeight="1" x14ac:dyDescent="0.25">
      <c r="A60" s="515" t="s">
        <v>274</v>
      </c>
      <c r="B60" s="516">
        <f>B58/'AVRIL 23'!G13</f>
        <v>0.1557848779519746</v>
      </c>
      <c r="C60" s="516"/>
      <c r="D60" s="516">
        <f>D58/'MAI 23'!G34</f>
        <v>0.11443715976621772</v>
      </c>
      <c r="E60" s="214"/>
      <c r="F60" s="516">
        <f>F58/'JUIN 23'!C33</f>
        <v>8.4802891895852675E-2</v>
      </c>
      <c r="G60" s="214"/>
      <c r="H60" s="516">
        <f>H58/'JUILLET 23'!C34</f>
        <v>6.2782447283735374E-2</v>
      </c>
      <c r="I60" s="214"/>
      <c r="J60" s="214"/>
      <c r="K60" s="214"/>
      <c r="L60" s="214"/>
      <c r="M60" s="214"/>
      <c r="N60" s="214"/>
      <c r="O60" s="214"/>
      <c r="P60" s="214"/>
      <c r="Q60" s="214"/>
      <c r="R60" s="214"/>
      <c r="S60" s="214"/>
      <c r="T60" s="214"/>
      <c r="U60" s="271"/>
      <c r="V60" s="271"/>
      <c r="W60" s="271"/>
      <c r="X60" s="271"/>
      <c r="Y60" s="271"/>
    </row>
    <row r="61" spans="1:25" ht="15" customHeight="1" x14ac:dyDescent="0.25">
      <c r="A61" s="517" t="s">
        <v>275</v>
      </c>
      <c r="B61" s="215">
        <f>(B58-B23-B27-B19)</f>
        <v>321500</v>
      </c>
      <c r="C61" s="214"/>
      <c r="D61" s="215">
        <f>(D58-D23-D27-D19)</f>
        <v>885000</v>
      </c>
      <c r="E61" s="214"/>
      <c r="F61" s="215">
        <f>(F58-F23-F27-F19)</f>
        <v>1153000</v>
      </c>
      <c r="G61" s="214"/>
      <c r="H61" s="215">
        <f>(H58-H23-H27-H19)</f>
        <v>1241500</v>
      </c>
      <c r="I61" s="214"/>
      <c r="J61" s="214"/>
      <c r="K61" s="214"/>
      <c r="L61" s="214"/>
      <c r="M61" s="214"/>
      <c r="N61" s="214"/>
      <c r="O61" s="214"/>
      <c r="P61" s="214"/>
      <c r="Q61" s="214"/>
      <c r="R61" s="214"/>
      <c r="S61" s="214"/>
      <c r="T61" s="214"/>
      <c r="U61" s="271"/>
      <c r="V61" s="271"/>
      <c r="W61" s="271"/>
      <c r="X61" s="271"/>
      <c r="Y61" s="271"/>
    </row>
    <row r="62" spans="1:25" ht="15" customHeight="1" x14ac:dyDescent="0.25">
      <c r="A62" s="518">
        <v>0.4</v>
      </c>
      <c r="B62" s="215">
        <f>B61*$A$62</f>
        <v>128600</v>
      </c>
      <c r="C62" s="214"/>
      <c r="D62" s="215">
        <f>D61*$A$62</f>
        <v>354000</v>
      </c>
      <c r="E62" s="214"/>
      <c r="F62" s="215">
        <f>F61*$A$62</f>
        <v>461200</v>
      </c>
      <c r="G62" s="214"/>
      <c r="H62" s="215">
        <f>H61*$A$62</f>
        <v>496600</v>
      </c>
      <c r="I62" s="214"/>
      <c r="J62" s="214"/>
      <c r="K62" s="214"/>
      <c r="L62" s="214"/>
      <c r="M62" s="214"/>
      <c r="N62" s="214"/>
      <c r="O62" s="214"/>
      <c r="P62" s="214"/>
      <c r="Q62" s="214"/>
      <c r="R62" s="214"/>
      <c r="S62" s="214"/>
      <c r="T62" s="214"/>
      <c r="U62" s="271"/>
      <c r="V62" s="271"/>
      <c r="W62" s="271"/>
      <c r="X62" s="271"/>
      <c r="Y62" s="271"/>
    </row>
    <row r="63" spans="1:25" ht="15" customHeight="1" x14ac:dyDescent="0.25">
      <c r="A63" s="518">
        <v>0.2</v>
      </c>
      <c r="B63" s="215">
        <f>B61*$A$63</f>
        <v>64300</v>
      </c>
      <c r="C63" s="214"/>
      <c r="D63" s="215">
        <f>D61*$A$63</f>
        <v>177000</v>
      </c>
      <c r="E63" s="214"/>
      <c r="F63" s="215">
        <f>F61*$A$63</f>
        <v>230600</v>
      </c>
      <c r="G63" s="214"/>
      <c r="H63" s="215">
        <f>H61*$A$63</f>
        <v>248300</v>
      </c>
      <c r="I63" s="214"/>
      <c r="J63" s="214"/>
      <c r="K63" s="214"/>
      <c r="L63" s="214"/>
      <c r="M63" s="214"/>
      <c r="N63" s="214"/>
      <c r="O63" s="214"/>
      <c r="P63" s="214"/>
      <c r="Q63" s="214"/>
      <c r="R63" s="214"/>
      <c r="S63" s="214"/>
      <c r="T63" s="214"/>
      <c r="U63" s="271"/>
      <c r="V63" s="271"/>
      <c r="W63" s="271"/>
      <c r="X63" s="271"/>
      <c r="Y63" s="271"/>
    </row>
    <row r="64" spans="1:25" ht="15" customHeight="1" x14ac:dyDescent="0.25">
      <c r="A64" s="515" t="s">
        <v>276</v>
      </c>
      <c r="B64" s="214"/>
      <c r="C64" s="214"/>
      <c r="D64" s="214"/>
      <c r="E64" s="214"/>
      <c r="F64" s="214"/>
      <c r="G64" s="214"/>
      <c r="H64" s="214"/>
      <c r="I64" s="214"/>
      <c r="J64" s="214"/>
      <c r="K64" s="214"/>
      <c r="L64" s="214"/>
      <c r="M64" s="214"/>
      <c r="N64" s="214"/>
      <c r="O64" s="214"/>
      <c r="P64" s="214"/>
      <c r="Q64" s="214"/>
      <c r="R64" s="214"/>
      <c r="S64" s="214"/>
      <c r="T64" s="214"/>
      <c r="U64" s="271"/>
      <c r="V64" s="271"/>
      <c r="W64" s="271"/>
      <c r="X64" s="271"/>
      <c r="Y64" s="271"/>
    </row>
    <row r="65" spans="1:25" ht="13.5" customHeight="1" x14ac:dyDescent="0.25">
      <c r="A65" s="519" t="s">
        <v>277</v>
      </c>
      <c r="B65" s="215">
        <f>B62+B23</f>
        <v>199100</v>
      </c>
      <c r="C65" s="520">
        <f>B65/B58</f>
        <v>0.36232939035486805</v>
      </c>
      <c r="D65" s="215">
        <f>D62+D23</f>
        <v>504000</v>
      </c>
      <c r="E65" s="520">
        <f>D65/D58</f>
        <v>0.36025732666190136</v>
      </c>
      <c r="F65" s="215">
        <f>F62+F23</f>
        <v>631200</v>
      </c>
      <c r="G65" s="520">
        <f>F65/F58</f>
        <v>0.36359447004608297</v>
      </c>
      <c r="H65" s="215">
        <f t="shared" ref="H65:T65" si="9">H61+H3</f>
        <v>1535000</v>
      </c>
      <c r="I65" s="378">
        <f t="shared" si="9"/>
        <v>0.16906682027649769</v>
      </c>
      <c r="J65" s="214">
        <f t="shared" si="9"/>
        <v>0</v>
      </c>
      <c r="K65" s="214">
        <f t="shared" si="9"/>
        <v>0</v>
      </c>
      <c r="L65" s="214">
        <f t="shared" si="9"/>
        <v>0</v>
      </c>
      <c r="M65" s="214">
        <f t="shared" si="9"/>
        <v>0</v>
      </c>
      <c r="N65" s="214">
        <f t="shared" si="9"/>
        <v>0</v>
      </c>
      <c r="O65" s="214">
        <f t="shared" si="9"/>
        <v>0</v>
      </c>
      <c r="P65" s="214">
        <f t="shared" si="9"/>
        <v>0</v>
      </c>
      <c r="Q65" s="214">
        <f t="shared" si="9"/>
        <v>0</v>
      </c>
      <c r="R65" s="214">
        <f t="shared" si="9"/>
        <v>0</v>
      </c>
      <c r="S65" s="214">
        <f t="shared" si="9"/>
        <v>0</v>
      </c>
      <c r="T65" s="214">
        <f t="shared" si="9"/>
        <v>0</v>
      </c>
      <c r="U65" s="271"/>
      <c r="V65" s="271"/>
      <c r="W65" s="271"/>
      <c r="X65" s="271"/>
      <c r="Y65" s="271"/>
    </row>
    <row r="66" spans="1:25" ht="13.5" customHeight="1" x14ac:dyDescent="0.25">
      <c r="A66" s="519" t="s">
        <v>42</v>
      </c>
      <c r="B66" s="215">
        <f>B62+B27</f>
        <v>262100</v>
      </c>
      <c r="C66" s="520">
        <f t="shared" ref="C66:C67" si="10">B66/$B$58</f>
        <v>0.4769790718835305</v>
      </c>
      <c r="D66" s="215">
        <f>D62+D27</f>
        <v>634000</v>
      </c>
      <c r="E66" s="520">
        <f t="shared" ref="E66:E67" si="11">D66/$D$58</f>
        <v>0.45318084345961401</v>
      </c>
      <c r="F66" s="215">
        <f>F62+F27</f>
        <v>776200</v>
      </c>
      <c r="G66" s="520">
        <f t="shared" ref="G66:G67" si="12">F66/$F$58</f>
        <v>0.44711981566820275</v>
      </c>
      <c r="H66" s="215">
        <f>H62+H27</f>
        <v>796600</v>
      </c>
      <c r="I66" s="520">
        <f t="shared" ref="I66:I67" si="13">H66/$H$58</f>
        <v>0.44023210831721471</v>
      </c>
      <c r="J66" s="214"/>
      <c r="K66" s="214"/>
      <c r="L66" s="214"/>
      <c r="M66" s="214"/>
      <c r="N66" s="214"/>
      <c r="O66" s="214"/>
      <c r="P66" s="214"/>
      <c r="Q66" s="214"/>
      <c r="R66" s="214"/>
      <c r="S66" s="214"/>
      <c r="T66" s="214"/>
      <c r="U66" s="271"/>
      <c r="V66" s="271"/>
      <c r="W66" s="271"/>
      <c r="X66" s="271"/>
      <c r="Y66" s="271"/>
    </row>
    <row r="67" spans="1:25" ht="13.5" customHeight="1" x14ac:dyDescent="0.25">
      <c r="A67" s="519" t="s">
        <v>43</v>
      </c>
      <c r="B67" s="215">
        <f>B63+B19</f>
        <v>88300</v>
      </c>
      <c r="C67" s="520">
        <f t="shared" si="10"/>
        <v>0.16069153776160144</v>
      </c>
      <c r="D67" s="215">
        <f>D63+D19</f>
        <v>261000</v>
      </c>
      <c r="E67" s="520">
        <f t="shared" si="11"/>
        <v>0.18656182987848463</v>
      </c>
      <c r="F67" s="215">
        <f>F63+F19</f>
        <v>328600</v>
      </c>
      <c r="G67" s="520">
        <f t="shared" si="12"/>
        <v>0.18928571428571428</v>
      </c>
      <c r="H67" s="215">
        <f>H63+H19</f>
        <v>346300</v>
      </c>
      <c r="I67" s="520">
        <f t="shared" si="13"/>
        <v>0.19137883393202543</v>
      </c>
      <c r="J67" s="214"/>
      <c r="K67" s="214"/>
      <c r="L67" s="214"/>
      <c r="M67" s="214"/>
      <c r="N67" s="214"/>
      <c r="O67" s="214"/>
      <c r="P67" s="214"/>
      <c r="Q67" s="214"/>
      <c r="R67" s="214"/>
      <c r="S67" s="214"/>
      <c r="T67" s="214"/>
      <c r="U67" s="271"/>
      <c r="V67" s="271"/>
      <c r="W67" s="271"/>
      <c r="X67" s="271"/>
      <c r="Y67" s="271"/>
    </row>
    <row r="68" spans="1:25" ht="15.75" customHeight="1" x14ac:dyDescent="0.25">
      <c r="A68" s="271"/>
      <c r="B68" s="271"/>
      <c r="C68" s="271"/>
      <c r="D68" s="271"/>
      <c r="E68" s="271"/>
      <c r="F68" s="271"/>
      <c r="G68" s="271"/>
      <c r="H68" s="271"/>
      <c r="I68" s="271"/>
      <c r="J68" s="271"/>
      <c r="K68" s="271"/>
      <c r="L68" s="271"/>
      <c r="M68" s="271"/>
      <c r="N68" s="271"/>
      <c r="O68" s="271"/>
      <c r="P68" s="271"/>
      <c r="Q68" s="271"/>
      <c r="R68" s="271"/>
      <c r="S68" s="271"/>
      <c r="T68" s="271"/>
      <c r="U68" s="271"/>
      <c r="V68" s="271"/>
      <c r="W68" s="271"/>
      <c r="X68" s="271"/>
      <c r="Y68" s="271"/>
    </row>
    <row r="69" spans="1:25" ht="15.75" customHeight="1" x14ac:dyDescent="0.25">
      <c r="A69" s="271"/>
      <c r="B69" s="271"/>
      <c r="C69" s="271"/>
      <c r="D69" s="271"/>
      <c r="E69" s="271"/>
      <c r="F69" s="271"/>
      <c r="G69" s="271"/>
      <c r="H69" s="271"/>
      <c r="I69" s="271"/>
      <c r="J69" s="271"/>
      <c r="K69" s="271"/>
      <c r="L69" s="271"/>
      <c r="M69" s="271"/>
      <c r="N69" s="271"/>
      <c r="O69" s="271"/>
      <c r="P69" s="271"/>
      <c r="Q69" s="271"/>
      <c r="R69" s="271"/>
      <c r="S69" s="271"/>
      <c r="T69" s="271"/>
      <c r="U69" s="271"/>
      <c r="V69" s="271"/>
      <c r="W69" s="271"/>
      <c r="X69" s="271"/>
      <c r="Y69" s="271"/>
    </row>
    <row r="70" spans="1:25" ht="15.75" customHeight="1" x14ac:dyDescent="0.25">
      <c r="A70" s="271"/>
      <c r="B70" s="271"/>
      <c r="C70" s="271"/>
      <c r="D70" s="271"/>
      <c r="E70" s="271"/>
      <c r="F70" s="271"/>
      <c r="G70" s="271"/>
      <c r="H70" s="271"/>
      <c r="I70" s="271"/>
      <c r="J70" s="271"/>
      <c r="K70" s="271"/>
      <c r="L70" s="271"/>
      <c r="M70" s="271"/>
      <c r="N70" s="271"/>
      <c r="O70" s="271"/>
      <c r="P70" s="271"/>
      <c r="Q70" s="271"/>
      <c r="R70" s="271"/>
      <c r="S70" s="271"/>
      <c r="T70" s="271"/>
      <c r="U70" s="271"/>
      <c r="V70" s="271"/>
      <c r="W70" s="271"/>
      <c r="X70" s="271"/>
      <c r="Y70" s="271"/>
    </row>
    <row r="71" spans="1:25" ht="15.75" customHeight="1" x14ac:dyDescent="0.25">
      <c r="A71" s="271"/>
      <c r="B71" s="271"/>
      <c r="C71" s="271"/>
      <c r="D71" s="271"/>
      <c r="E71" s="271"/>
      <c r="F71" s="271"/>
      <c r="G71" s="271"/>
      <c r="H71" s="271"/>
      <c r="I71" s="271"/>
      <c r="J71" s="271"/>
      <c r="K71" s="271"/>
      <c r="L71" s="271"/>
      <c r="M71" s="271"/>
      <c r="N71" s="271"/>
      <c r="O71" s="271"/>
      <c r="P71" s="271"/>
      <c r="Q71" s="271"/>
      <c r="R71" s="271"/>
      <c r="S71" s="271"/>
      <c r="T71" s="271"/>
      <c r="U71" s="271"/>
      <c r="V71" s="271"/>
      <c r="W71" s="271"/>
      <c r="X71" s="271"/>
      <c r="Y71" s="271"/>
    </row>
    <row r="72" spans="1:25" ht="15.75" customHeight="1" x14ac:dyDescent="0.25">
      <c r="A72" s="271"/>
      <c r="B72" s="271"/>
      <c r="C72" s="271"/>
      <c r="D72" s="271"/>
      <c r="E72" s="271"/>
      <c r="F72" s="271"/>
      <c r="G72" s="271"/>
      <c r="H72" s="271"/>
      <c r="I72" s="271"/>
      <c r="J72" s="271"/>
      <c r="K72" s="271"/>
      <c r="L72" s="271"/>
      <c r="M72" s="271"/>
      <c r="N72" s="271"/>
      <c r="O72" s="271"/>
      <c r="P72" s="271"/>
      <c r="Q72" s="271"/>
      <c r="R72" s="271"/>
      <c r="S72" s="271"/>
      <c r="T72" s="271"/>
      <c r="U72" s="271"/>
      <c r="V72" s="271"/>
      <c r="W72" s="271"/>
      <c r="X72" s="271"/>
      <c r="Y72" s="271"/>
    </row>
    <row r="73" spans="1:25" ht="15.75" customHeight="1" x14ac:dyDescent="0.25">
      <c r="A73" s="271"/>
      <c r="B73" s="271"/>
      <c r="C73" s="271"/>
      <c r="D73" s="271"/>
      <c r="E73" s="271"/>
      <c r="F73" s="271"/>
      <c r="G73" s="271"/>
      <c r="H73" s="271"/>
      <c r="I73" s="271"/>
      <c r="J73" s="271"/>
      <c r="K73" s="271"/>
      <c r="L73" s="271"/>
      <c r="M73" s="271"/>
      <c r="N73" s="271"/>
      <c r="O73" s="271"/>
      <c r="P73" s="271"/>
      <c r="Q73" s="271"/>
      <c r="R73" s="271"/>
      <c r="S73" s="271"/>
      <c r="T73" s="271"/>
      <c r="U73" s="271"/>
      <c r="V73" s="271"/>
      <c r="W73" s="271"/>
      <c r="X73" s="271"/>
      <c r="Y73" s="271"/>
    </row>
    <row r="74" spans="1:25" ht="15.75" customHeight="1" x14ac:dyDescent="0.25">
      <c r="A74" s="271"/>
      <c r="B74" s="271"/>
      <c r="C74" s="271"/>
      <c r="D74" s="271"/>
      <c r="E74" s="271"/>
      <c r="F74" s="271"/>
      <c r="G74" s="271"/>
      <c r="H74" s="271"/>
      <c r="I74" s="271"/>
      <c r="J74" s="271"/>
      <c r="K74" s="271"/>
      <c r="L74" s="271"/>
      <c r="M74" s="271"/>
      <c r="N74" s="271"/>
      <c r="O74" s="271"/>
      <c r="P74" s="271"/>
      <c r="Q74" s="271"/>
      <c r="R74" s="271"/>
      <c r="S74" s="271"/>
      <c r="T74" s="271"/>
      <c r="U74" s="271"/>
      <c r="V74" s="271"/>
      <c r="W74" s="271"/>
      <c r="X74" s="271"/>
      <c r="Y74" s="271"/>
    </row>
    <row r="75" spans="1:25" ht="15.75" customHeight="1" x14ac:dyDescent="0.25">
      <c r="A75" s="271"/>
      <c r="B75" s="271"/>
      <c r="C75" s="271"/>
      <c r="D75" s="271"/>
      <c r="E75" s="271"/>
      <c r="F75" s="271"/>
      <c r="G75" s="271"/>
      <c r="H75" s="271"/>
      <c r="I75" s="271"/>
      <c r="J75" s="271"/>
      <c r="K75" s="271"/>
      <c r="L75" s="271"/>
      <c r="M75" s="271"/>
      <c r="N75" s="271"/>
      <c r="O75" s="271"/>
      <c r="P75" s="271"/>
      <c r="Q75" s="271"/>
      <c r="R75" s="271"/>
      <c r="S75" s="271"/>
      <c r="T75" s="271"/>
      <c r="U75" s="271"/>
      <c r="V75" s="271"/>
      <c r="W75" s="271"/>
      <c r="X75" s="271"/>
      <c r="Y75" s="271"/>
    </row>
    <row r="76" spans="1:25" ht="15.75" customHeight="1" x14ac:dyDescent="0.25">
      <c r="A76" s="271"/>
      <c r="B76" s="271"/>
      <c r="C76" s="271"/>
      <c r="D76" s="271"/>
      <c r="E76" s="271"/>
      <c r="F76" s="271"/>
      <c r="G76" s="271"/>
      <c r="H76" s="271"/>
      <c r="I76" s="271"/>
      <c r="J76" s="271"/>
      <c r="K76" s="271"/>
      <c r="L76" s="271"/>
      <c r="M76" s="271"/>
      <c r="N76" s="271"/>
      <c r="O76" s="271"/>
      <c r="P76" s="271"/>
      <c r="Q76" s="271"/>
      <c r="R76" s="271"/>
      <c r="S76" s="271"/>
      <c r="T76" s="271"/>
      <c r="U76" s="271"/>
      <c r="V76" s="271"/>
      <c r="W76" s="271"/>
      <c r="X76" s="271"/>
      <c r="Y76" s="271"/>
    </row>
    <row r="77" spans="1:25" ht="15.75" customHeight="1" x14ac:dyDescent="0.25">
      <c r="A77" s="271"/>
      <c r="B77" s="271"/>
      <c r="C77" s="271"/>
      <c r="D77" s="271"/>
      <c r="E77" s="271"/>
      <c r="F77" s="271"/>
      <c r="G77" s="271"/>
      <c r="H77" s="271"/>
      <c r="I77" s="271"/>
      <c r="J77" s="271"/>
      <c r="K77" s="271"/>
      <c r="L77" s="271"/>
      <c r="M77" s="271"/>
      <c r="N77" s="271"/>
      <c r="O77" s="271"/>
      <c r="P77" s="271"/>
      <c r="Q77" s="271"/>
      <c r="R77" s="271"/>
      <c r="S77" s="271"/>
      <c r="T77" s="271"/>
      <c r="U77" s="271"/>
      <c r="V77" s="271"/>
      <c r="W77" s="271"/>
      <c r="X77" s="271"/>
      <c r="Y77" s="271"/>
    </row>
    <row r="78" spans="1:25" ht="15.75" customHeight="1" x14ac:dyDescent="0.25">
      <c r="A78" s="271"/>
      <c r="B78" s="271"/>
      <c r="C78" s="271"/>
      <c r="D78" s="271"/>
      <c r="E78" s="271"/>
      <c r="F78" s="271"/>
      <c r="G78" s="271"/>
      <c r="H78" s="271"/>
      <c r="I78" s="271"/>
      <c r="J78" s="271"/>
      <c r="K78" s="271"/>
      <c r="L78" s="271"/>
      <c r="M78" s="271"/>
      <c r="N78" s="271"/>
      <c r="O78" s="271"/>
      <c r="P78" s="271"/>
      <c r="Q78" s="271"/>
      <c r="R78" s="271"/>
      <c r="S78" s="271"/>
      <c r="T78" s="271"/>
      <c r="U78" s="271"/>
      <c r="V78" s="271"/>
      <c r="W78" s="271"/>
      <c r="X78" s="271"/>
      <c r="Y78" s="271"/>
    </row>
    <row r="79" spans="1:25" ht="15.75" customHeight="1" x14ac:dyDescent="0.25">
      <c r="A79" s="271"/>
      <c r="B79" s="271"/>
      <c r="C79" s="271"/>
      <c r="D79" s="271"/>
      <c r="E79" s="271"/>
      <c r="F79" s="271"/>
      <c r="G79" s="271"/>
      <c r="H79" s="271"/>
      <c r="I79" s="271"/>
      <c r="J79" s="271"/>
      <c r="K79" s="271"/>
      <c r="L79" s="271"/>
      <c r="M79" s="271"/>
      <c r="N79" s="271"/>
      <c r="O79" s="271"/>
      <c r="P79" s="271"/>
      <c r="Q79" s="271"/>
      <c r="R79" s="271"/>
      <c r="S79" s="271"/>
      <c r="T79" s="271"/>
      <c r="U79" s="271"/>
      <c r="V79" s="271"/>
      <c r="W79" s="271"/>
      <c r="X79" s="271"/>
      <c r="Y79" s="271"/>
    </row>
    <row r="80" spans="1:25" ht="15.75" customHeight="1" x14ac:dyDescent="0.25">
      <c r="A80" s="271"/>
      <c r="B80" s="271"/>
      <c r="C80" s="271"/>
      <c r="D80" s="271"/>
      <c r="E80" s="271"/>
      <c r="F80" s="271"/>
      <c r="G80" s="271"/>
      <c r="H80" s="271"/>
      <c r="I80" s="271"/>
      <c r="J80" s="271"/>
      <c r="K80" s="271"/>
      <c r="L80" s="271"/>
      <c r="M80" s="271"/>
      <c r="N80" s="271"/>
      <c r="O80" s="271"/>
      <c r="P80" s="271"/>
      <c r="Q80" s="271"/>
      <c r="R80" s="271"/>
      <c r="S80" s="271"/>
      <c r="T80" s="271"/>
      <c r="U80" s="271"/>
      <c r="V80" s="271"/>
      <c r="W80" s="271"/>
      <c r="X80" s="271"/>
      <c r="Y80" s="271"/>
    </row>
    <row r="81" spans="1:25" ht="15.75" customHeight="1" x14ac:dyDescent="0.25">
      <c r="A81" s="271"/>
      <c r="B81" s="271"/>
      <c r="C81" s="271"/>
      <c r="D81" s="271"/>
      <c r="E81" s="271"/>
      <c r="F81" s="271"/>
      <c r="G81" s="271"/>
      <c r="H81" s="271"/>
      <c r="I81" s="271"/>
      <c r="J81" s="271"/>
      <c r="K81" s="271"/>
      <c r="L81" s="271"/>
      <c r="M81" s="271"/>
      <c r="N81" s="271"/>
      <c r="O81" s="271"/>
      <c r="P81" s="271"/>
      <c r="Q81" s="271"/>
      <c r="R81" s="271"/>
      <c r="S81" s="271"/>
      <c r="T81" s="271"/>
      <c r="U81" s="271"/>
      <c r="V81" s="271"/>
      <c r="W81" s="271"/>
      <c r="X81" s="271"/>
      <c r="Y81" s="271"/>
    </row>
    <row r="82" spans="1:25" ht="15.75" customHeight="1" x14ac:dyDescent="0.25">
      <c r="A82" s="271"/>
      <c r="B82" s="271"/>
      <c r="C82" s="271"/>
      <c r="D82" s="271"/>
      <c r="E82" s="271"/>
      <c r="F82" s="271"/>
      <c r="G82" s="271"/>
      <c r="H82" s="271"/>
      <c r="I82" s="271"/>
      <c r="J82" s="271"/>
      <c r="K82" s="271"/>
      <c r="L82" s="271"/>
      <c r="M82" s="271"/>
      <c r="N82" s="271"/>
      <c r="O82" s="271"/>
      <c r="P82" s="271"/>
      <c r="Q82" s="271"/>
      <c r="R82" s="271"/>
      <c r="S82" s="271"/>
      <c r="T82" s="271"/>
      <c r="U82" s="271"/>
      <c r="V82" s="271"/>
      <c r="W82" s="271"/>
      <c r="X82" s="271"/>
      <c r="Y82" s="271"/>
    </row>
    <row r="83" spans="1:25" ht="15.75" customHeight="1" x14ac:dyDescent="0.25">
      <c r="A83" s="271"/>
      <c r="B83" s="271"/>
      <c r="C83" s="271"/>
      <c r="D83" s="271"/>
      <c r="E83" s="271"/>
      <c r="F83" s="271"/>
      <c r="G83" s="271"/>
      <c r="H83" s="271"/>
      <c r="I83" s="271"/>
      <c r="J83" s="271"/>
      <c r="K83" s="271"/>
      <c r="L83" s="271"/>
      <c r="M83" s="271"/>
      <c r="N83" s="271"/>
      <c r="O83" s="271"/>
      <c r="P83" s="271"/>
      <c r="Q83" s="271"/>
      <c r="R83" s="271"/>
      <c r="S83" s="271"/>
      <c r="T83" s="271"/>
      <c r="U83" s="271"/>
      <c r="V83" s="271"/>
      <c r="W83" s="271"/>
      <c r="X83" s="271"/>
      <c r="Y83" s="271"/>
    </row>
    <row r="84" spans="1:25" ht="15.75" customHeight="1" x14ac:dyDescent="0.25">
      <c r="A84" s="271"/>
      <c r="B84" s="271"/>
      <c r="C84" s="271"/>
      <c r="D84" s="271"/>
      <c r="E84" s="271"/>
      <c r="F84" s="271"/>
      <c r="G84" s="271"/>
      <c r="H84" s="271"/>
      <c r="I84" s="271"/>
      <c r="J84" s="271"/>
      <c r="K84" s="271"/>
      <c r="L84" s="271"/>
      <c r="M84" s="271"/>
      <c r="N84" s="271"/>
      <c r="O84" s="271"/>
      <c r="P84" s="271"/>
      <c r="Q84" s="271"/>
      <c r="R84" s="271"/>
      <c r="S84" s="271"/>
      <c r="T84" s="271"/>
      <c r="U84" s="271"/>
      <c r="V84" s="271"/>
      <c r="W84" s="271"/>
      <c r="X84" s="271"/>
      <c r="Y84" s="271"/>
    </row>
    <row r="85" spans="1:25" ht="15.75" customHeight="1" x14ac:dyDescent="0.25">
      <c r="A85" s="271"/>
      <c r="B85" s="271"/>
      <c r="C85" s="271"/>
      <c r="D85" s="271"/>
      <c r="E85" s="271"/>
      <c r="F85" s="271"/>
      <c r="G85" s="271"/>
      <c r="H85" s="271"/>
      <c r="I85" s="271"/>
      <c r="J85" s="271"/>
      <c r="K85" s="271"/>
      <c r="L85" s="271"/>
      <c r="M85" s="271"/>
      <c r="N85" s="271"/>
      <c r="O85" s="271"/>
      <c r="P85" s="271"/>
      <c r="Q85" s="271"/>
      <c r="R85" s="271"/>
      <c r="S85" s="271"/>
      <c r="T85" s="271"/>
      <c r="U85" s="271"/>
      <c r="V85" s="271"/>
      <c r="W85" s="271"/>
      <c r="X85" s="271"/>
      <c r="Y85" s="271"/>
    </row>
    <row r="86" spans="1:25" ht="15.75" customHeight="1" x14ac:dyDescent="0.25">
      <c r="A86" s="271"/>
      <c r="B86" s="271"/>
      <c r="C86" s="271"/>
      <c r="D86" s="271"/>
      <c r="E86" s="271"/>
      <c r="F86" s="271"/>
      <c r="G86" s="271"/>
      <c r="H86" s="271"/>
      <c r="I86" s="271"/>
      <c r="J86" s="271"/>
      <c r="K86" s="271"/>
      <c r="L86" s="271"/>
      <c r="M86" s="271"/>
      <c r="N86" s="271"/>
      <c r="O86" s="271"/>
      <c r="P86" s="271"/>
      <c r="Q86" s="271"/>
      <c r="R86" s="271"/>
      <c r="S86" s="271"/>
      <c r="T86" s="271"/>
      <c r="U86" s="271"/>
      <c r="V86" s="271"/>
      <c r="W86" s="271"/>
      <c r="X86" s="271"/>
      <c r="Y86" s="271"/>
    </row>
    <row r="87" spans="1:25" ht="15.75" customHeight="1" x14ac:dyDescent="0.25">
      <c r="A87" s="271"/>
      <c r="B87" s="271"/>
      <c r="C87" s="271"/>
      <c r="D87" s="271"/>
      <c r="E87" s="271"/>
      <c r="F87" s="271"/>
      <c r="G87" s="271"/>
      <c r="H87" s="271"/>
      <c r="I87" s="271"/>
      <c r="J87" s="271"/>
      <c r="K87" s="271"/>
      <c r="L87" s="271"/>
      <c r="M87" s="271"/>
      <c r="N87" s="271"/>
      <c r="O87" s="271"/>
      <c r="P87" s="271"/>
      <c r="Q87" s="271"/>
      <c r="R87" s="271"/>
      <c r="S87" s="271"/>
      <c r="T87" s="271"/>
      <c r="U87" s="271"/>
      <c r="V87" s="271"/>
      <c r="W87" s="271"/>
      <c r="X87" s="271"/>
      <c r="Y87" s="271"/>
    </row>
    <row r="88" spans="1:25" ht="15.75" customHeight="1" x14ac:dyDescent="0.25">
      <c r="A88" s="271"/>
      <c r="B88" s="271"/>
      <c r="C88" s="271"/>
      <c r="D88" s="271"/>
      <c r="E88" s="271"/>
      <c r="F88" s="271"/>
      <c r="G88" s="271"/>
      <c r="H88" s="271"/>
      <c r="I88" s="271"/>
      <c r="J88" s="271"/>
      <c r="K88" s="271"/>
      <c r="L88" s="271"/>
      <c r="M88" s="271"/>
      <c r="N88" s="271"/>
      <c r="O88" s="271"/>
      <c r="P88" s="271"/>
      <c r="Q88" s="271"/>
      <c r="R88" s="271"/>
      <c r="S88" s="271"/>
      <c r="T88" s="271"/>
      <c r="U88" s="271"/>
      <c r="V88" s="271"/>
      <c r="W88" s="271"/>
      <c r="X88" s="271"/>
      <c r="Y88" s="271"/>
    </row>
    <row r="89" spans="1:25" ht="15.75" customHeight="1" x14ac:dyDescent="0.25">
      <c r="A89" s="271"/>
      <c r="B89" s="271"/>
      <c r="C89" s="271"/>
      <c r="D89" s="271"/>
      <c r="E89" s="271"/>
      <c r="F89" s="271"/>
      <c r="G89" s="271"/>
      <c r="H89" s="271"/>
      <c r="I89" s="271"/>
      <c r="J89" s="271"/>
      <c r="K89" s="271"/>
      <c r="L89" s="271"/>
      <c r="M89" s="271"/>
      <c r="N89" s="271"/>
      <c r="O89" s="271"/>
      <c r="P89" s="271"/>
      <c r="Q89" s="271"/>
      <c r="R89" s="271"/>
      <c r="S89" s="271"/>
      <c r="T89" s="271"/>
      <c r="U89" s="271"/>
      <c r="V89" s="271"/>
      <c r="W89" s="271"/>
      <c r="X89" s="271"/>
      <c r="Y89" s="271"/>
    </row>
    <row r="90" spans="1:25" ht="15.75" customHeight="1" x14ac:dyDescent="0.25">
      <c r="A90" s="271"/>
      <c r="B90" s="271"/>
      <c r="C90" s="271"/>
      <c r="D90" s="271"/>
      <c r="E90" s="271"/>
      <c r="F90" s="271"/>
      <c r="G90" s="271"/>
      <c r="H90" s="271"/>
      <c r="I90" s="271"/>
      <c r="J90" s="271"/>
      <c r="K90" s="271"/>
      <c r="L90" s="271"/>
      <c r="M90" s="271"/>
      <c r="N90" s="271"/>
      <c r="O90" s="271"/>
      <c r="P90" s="271"/>
      <c r="Q90" s="271"/>
      <c r="R90" s="271"/>
      <c r="S90" s="271"/>
      <c r="T90" s="271"/>
      <c r="U90" s="271"/>
      <c r="V90" s="271"/>
      <c r="W90" s="271"/>
      <c r="X90" s="271"/>
      <c r="Y90" s="271"/>
    </row>
    <row r="91" spans="1:25" ht="15.75" customHeight="1" x14ac:dyDescent="0.25">
      <c r="A91" s="271"/>
      <c r="B91" s="271"/>
      <c r="C91" s="271"/>
      <c r="D91" s="271"/>
      <c r="E91" s="271"/>
      <c r="F91" s="271"/>
      <c r="G91" s="271"/>
      <c r="H91" s="271"/>
      <c r="I91" s="271"/>
      <c r="J91" s="271"/>
      <c r="K91" s="271"/>
      <c r="L91" s="271"/>
      <c r="M91" s="271"/>
      <c r="N91" s="271"/>
      <c r="O91" s="271"/>
      <c r="P91" s="271"/>
      <c r="Q91" s="271"/>
      <c r="R91" s="271"/>
      <c r="S91" s="271"/>
      <c r="T91" s="271"/>
      <c r="U91" s="271"/>
      <c r="V91" s="271"/>
      <c r="W91" s="271"/>
      <c r="X91" s="271"/>
      <c r="Y91" s="271"/>
    </row>
    <row r="92" spans="1:25" ht="15.75" customHeight="1" x14ac:dyDescent="0.25">
      <c r="A92" s="271"/>
      <c r="B92" s="271"/>
      <c r="C92" s="271"/>
      <c r="D92" s="271"/>
      <c r="E92" s="271"/>
      <c r="F92" s="271"/>
      <c r="G92" s="271"/>
      <c r="H92" s="271"/>
      <c r="I92" s="271"/>
      <c r="J92" s="271"/>
      <c r="K92" s="271"/>
      <c r="L92" s="271"/>
      <c r="M92" s="271"/>
      <c r="N92" s="271"/>
      <c r="O92" s="271"/>
      <c r="P92" s="271"/>
      <c r="Q92" s="271"/>
      <c r="R92" s="271"/>
      <c r="S92" s="271"/>
      <c r="T92" s="271"/>
      <c r="U92" s="271"/>
      <c r="V92" s="271"/>
      <c r="W92" s="271"/>
      <c r="X92" s="271"/>
      <c r="Y92" s="271"/>
    </row>
    <row r="93" spans="1:25" ht="15.75" customHeight="1" x14ac:dyDescent="0.25">
      <c r="A93" s="271"/>
      <c r="B93" s="271"/>
      <c r="C93" s="271"/>
      <c r="D93" s="271"/>
      <c r="E93" s="271"/>
      <c r="F93" s="271"/>
      <c r="G93" s="271"/>
      <c r="H93" s="271"/>
      <c r="I93" s="271"/>
      <c r="J93" s="271"/>
      <c r="K93" s="271"/>
      <c r="L93" s="271"/>
      <c r="M93" s="271"/>
      <c r="N93" s="271"/>
      <c r="O93" s="271"/>
      <c r="P93" s="271"/>
      <c r="Q93" s="271"/>
      <c r="R93" s="271"/>
      <c r="S93" s="271"/>
      <c r="T93" s="271"/>
      <c r="U93" s="271"/>
      <c r="V93" s="271"/>
      <c r="W93" s="271"/>
      <c r="X93" s="271"/>
      <c r="Y93" s="271"/>
    </row>
    <row r="94" spans="1:25" ht="15.75" customHeight="1" x14ac:dyDescent="0.25">
      <c r="A94" s="271"/>
      <c r="B94" s="271"/>
      <c r="C94" s="271"/>
      <c r="D94" s="271"/>
      <c r="E94" s="271"/>
      <c r="F94" s="271"/>
      <c r="G94" s="271"/>
      <c r="H94" s="271"/>
      <c r="I94" s="271"/>
      <c r="J94" s="271"/>
      <c r="K94" s="271"/>
      <c r="L94" s="271"/>
      <c r="M94" s="271"/>
      <c r="N94" s="271"/>
      <c r="O94" s="271"/>
      <c r="P94" s="271"/>
      <c r="Q94" s="271"/>
      <c r="R94" s="271"/>
      <c r="S94" s="271"/>
      <c r="T94" s="271"/>
      <c r="U94" s="271"/>
      <c r="V94" s="271"/>
      <c r="W94" s="271"/>
      <c r="X94" s="271"/>
      <c r="Y94" s="271"/>
    </row>
    <row r="95" spans="1:25" ht="15.75" customHeight="1" x14ac:dyDescent="0.25">
      <c r="A95" s="271"/>
      <c r="B95" s="271"/>
      <c r="C95" s="271"/>
      <c r="D95" s="271"/>
      <c r="E95" s="271"/>
      <c r="F95" s="271"/>
      <c r="G95" s="271"/>
      <c r="H95" s="271"/>
      <c r="I95" s="271"/>
      <c r="J95" s="271"/>
      <c r="K95" s="271"/>
      <c r="L95" s="271"/>
      <c r="M95" s="271"/>
      <c r="N95" s="271"/>
      <c r="O95" s="271"/>
      <c r="P95" s="271"/>
      <c r="Q95" s="271"/>
      <c r="R95" s="271"/>
      <c r="S95" s="271"/>
      <c r="T95" s="271"/>
      <c r="U95" s="271"/>
      <c r="V95" s="271"/>
      <c r="W95" s="271"/>
      <c r="X95" s="271"/>
      <c r="Y95" s="271"/>
    </row>
    <row r="96" spans="1:25" ht="15.75" customHeight="1" x14ac:dyDescent="0.25">
      <c r="A96" s="271"/>
      <c r="B96" s="271"/>
      <c r="C96" s="271"/>
      <c r="D96" s="271"/>
      <c r="E96" s="271"/>
      <c r="F96" s="271"/>
      <c r="G96" s="271"/>
      <c r="H96" s="271"/>
      <c r="I96" s="271"/>
      <c r="J96" s="271"/>
      <c r="K96" s="271"/>
      <c r="L96" s="271"/>
      <c r="M96" s="271"/>
      <c r="N96" s="271"/>
      <c r="O96" s="271"/>
      <c r="P96" s="271"/>
      <c r="Q96" s="271"/>
      <c r="R96" s="271"/>
      <c r="S96" s="271"/>
      <c r="T96" s="271"/>
      <c r="U96" s="271"/>
      <c r="V96" s="271"/>
      <c r="W96" s="271"/>
      <c r="X96" s="271"/>
      <c r="Y96" s="271"/>
    </row>
    <row r="97" spans="1:25" ht="15.75" customHeight="1" x14ac:dyDescent="0.25">
      <c r="A97" s="271"/>
      <c r="B97" s="271"/>
      <c r="C97" s="271"/>
      <c r="D97" s="271"/>
      <c r="E97" s="271"/>
      <c r="F97" s="271"/>
      <c r="G97" s="271"/>
      <c r="H97" s="271"/>
      <c r="I97" s="271"/>
      <c r="J97" s="271"/>
      <c r="K97" s="271"/>
      <c r="L97" s="271"/>
      <c r="M97" s="271"/>
      <c r="N97" s="271"/>
      <c r="O97" s="271"/>
      <c r="P97" s="271"/>
      <c r="Q97" s="271"/>
      <c r="R97" s="271"/>
      <c r="S97" s="271"/>
      <c r="T97" s="271"/>
      <c r="U97" s="271"/>
      <c r="V97" s="271"/>
      <c r="W97" s="271"/>
      <c r="X97" s="271"/>
      <c r="Y97" s="271"/>
    </row>
    <row r="98" spans="1:25" ht="15.75" customHeight="1" x14ac:dyDescent="0.25">
      <c r="A98" s="271"/>
      <c r="B98" s="271"/>
      <c r="C98" s="271"/>
      <c r="D98" s="271"/>
      <c r="E98" s="271"/>
      <c r="F98" s="271"/>
      <c r="G98" s="271"/>
      <c r="H98" s="271"/>
      <c r="I98" s="271"/>
      <c r="J98" s="271"/>
      <c r="K98" s="271"/>
      <c r="L98" s="271"/>
      <c r="M98" s="271"/>
      <c r="N98" s="271"/>
      <c r="O98" s="271"/>
      <c r="P98" s="271"/>
      <c r="Q98" s="271"/>
      <c r="R98" s="271"/>
      <c r="S98" s="271"/>
      <c r="T98" s="271"/>
      <c r="U98" s="271"/>
      <c r="V98" s="271"/>
      <c r="W98" s="271"/>
      <c r="X98" s="271"/>
      <c r="Y98" s="271"/>
    </row>
    <row r="99" spans="1:25" ht="15.75" customHeight="1" x14ac:dyDescent="0.25">
      <c r="A99" s="271"/>
      <c r="B99" s="271"/>
      <c r="C99" s="271"/>
      <c r="D99" s="271"/>
      <c r="E99" s="271"/>
      <c r="F99" s="271"/>
      <c r="G99" s="271"/>
      <c r="H99" s="271"/>
      <c r="I99" s="271"/>
      <c r="J99" s="271"/>
      <c r="K99" s="271"/>
      <c r="L99" s="271"/>
      <c r="M99" s="271"/>
      <c r="N99" s="271"/>
      <c r="O99" s="271"/>
      <c r="P99" s="271"/>
      <c r="Q99" s="271"/>
      <c r="R99" s="271"/>
      <c r="S99" s="271"/>
      <c r="T99" s="271"/>
      <c r="U99" s="271"/>
      <c r="V99" s="271"/>
      <c r="W99" s="271"/>
      <c r="X99" s="271"/>
      <c r="Y99" s="271"/>
    </row>
    <row r="100" spans="1:25" ht="15.75" customHeight="1" x14ac:dyDescent="0.25">
      <c r="A100" s="271"/>
      <c r="B100" s="271"/>
      <c r="C100" s="271"/>
      <c r="D100" s="271"/>
      <c r="E100" s="271"/>
      <c r="F100" s="271"/>
      <c r="G100" s="271"/>
      <c r="H100" s="271"/>
      <c r="I100" s="271"/>
      <c r="J100" s="271"/>
      <c r="K100" s="271"/>
      <c r="L100" s="271"/>
      <c r="M100" s="271"/>
      <c r="N100" s="271"/>
      <c r="O100" s="271"/>
      <c r="P100" s="271"/>
      <c r="Q100" s="271"/>
      <c r="R100" s="271"/>
      <c r="S100" s="271"/>
      <c r="T100" s="271"/>
      <c r="U100" s="271"/>
      <c r="V100" s="271"/>
      <c r="W100" s="271"/>
      <c r="X100" s="271"/>
      <c r="Y100" s="271"/>
    </row>
    <row r="101" spans="1:25" ht="15.75" customHeight="1" x14ac:dyDescent="0.25">
      <c r="A101" s="271"/>
      <c r="B101" s="271"/>
      <c r="C101" s="271"/>
      <c r="D101" s="271"/>
      <c r="E101" s="271"/>
      <c r="F101" s="271"/>
      <c r="G101" s="271"/>
      <c r="H101" s="271"/>
      <c r="I101" s="271"/>
      <c r="J101" s="271"/>
      <c r="K101" s="271"/>
      <c r="L101" s="271"/>
      <c r="M101" s="271"/>
      <c r="N101" s="271"/>
      <c r="O101" s="271"/>
      <c r="P101" s="271"/>
      <c r="Q101" s="271"/>
      <c r="R101" s="271"/>
      <c r="S101" s="271"/>
      <c r="T101" s="271"/>
      <c r="U101" s="271"/>
      <c r="V101" s="271"/>
      <c r="W101" s="271"/>
      <c r="X101" s="271"/>
      <c r="Y101" s="271"/>
    </row>
    <row r="102" spans="1:25" ht="15.75" customHeight="1" x14ac:dyDescent="0.25">
      <c r="A102" s="271"/>
      <c r="B102" s="271"/>
      <c r="C102" s="271"/>
      <c r="D102" s="271"/>
      <c r="E102" s="271"/>
      <c r="F102" s="271"/>
      <c r="G102" s="271"/>
      <c r="H102" s="271"/>
      <c r="I102" s="271"/>
      <c r="J102" s="271"/>
      <c r="K102" s="271"/>
      <c r="L102" s="271"/>
      <c r="M102" s="271"/>
      <c r="N102" s="271"/>
      <c r="O102" s="271"/>
      <c r="P102" s="271"/>
      <c r="Q102" s="271"/>
      <c r="R102" s="271"/>
      <c r="S102" s="271"/>
      <c r="T102" s="271"/>
      <c r="U102" s="271"/>
      <c r="V102" s="271"/>
      <c r="W102" s="271"/>
      <c r="X102" s="271"/>
      <c r="Y102" s="271"/>
    </row>
    <row r="103" spans="1:25" ht="15.75" customHeight="1" x14ac:dyDescent="0.25">
      <c r="A103" s="271"/>
      <c r="B103" s="271"/>
      <c r="C103" s="271"/>
      <c r="D103" s="271"/>
      <c r="E103" s="271"/>
      <c r="F103" s="271"/>
      <c r="G103" s="271"/>
      <c r="H103" s="271"/>
      <c r="I103" s="271"/>
      <c r="J103" s="271"/>
      <c r="K103" s="271"/>
      <c r="L103" s="271"/>
      <c r="M103" s="271"/>
      <c r="N103" s="271"/>
      <c r="O103" s="271"/>
      <c r="P103" s="271"/>
      <c r="Q103" s="271"/>
      <c r="R103" s="271"/>
      <c r="S103" s="271"/>
      <c r="T103" s="271"/>
      <c r="U103" s="271"/>
      <c r="V103" s="271"/>
      <c r="W103" s="271"/>
      <c r="X103" s="271"/>
      <c r="Y103" s="271"/>
    </row>
    <row r="104" spans="1:25" ht="15.75" customHeight="1" x14ac:dyDescent="0.25">
      <c r="A104" s="271"/>
      <c r="B104" s="271"/>
      <c r="C104" s="271"/>
      <c r="D104" s="271"/>
      <c r="E104" s="271"/>
      <c r="F104" s="271"/>
      <c r="G104" s="271"/>
      <c r="H104" s="271"/>
      <c r="I104" s="271"/>
      <c r="J104" s="271"/>
      <c r="K104" s="271"/>
      <c r="L104" s="271"/>
      <c r="M104" s="271"/>
      <c r="N104" s="271"/>
      <c r="O104" s="271"/>
      <c r="P104" s="271"/>
      <c r="Q104" s="271"/>
      <c r="R104" s="271"/>
      <c r="S104" s="271"/>
      <c r="T104" s="271"/>
      <c r="U104" s="271"/>
      <c r="V104" s="271"/>
      <c r="W104" s="271"/>
      <c r="X104" s="271"/>
      <c r="Y104" s="271"/>
    </row>
    <row r="105" spans="1:25" ht="15.75" customHeight="1" x14ac:dyDescent="0.25">
      <c r="A105" s="271"/>
      <c r="B105" s="271"/>
      <c r="C105" s="271"/>
      <c r="D105" s="271"/>
      <c r="E105" s="271"/>
      <c r="F105" s="271"/>
      <c r="G105" s="271"/>
      <c r="H105" s="271"/>
      <c r="I105" s="271"/>
      <c r="J105" s="271"/>
      <c r="K105" s="271"/>
      <c r="L105" s="271"/>
      <c r="M105" s="271"/>
      <c r="N105" s="271"/>
      <c r="O105" s="271"/>
      <c r="P105" s="271"/>
      <c r="Q105" s="271"/>
      <c r="R105" s="271"/>
      <c r="S105" s="271"/>
      <c r="T105" s="271"/>
      <c r="U105" s="271"/>
      <c r="V105" s="271"/>
      <c r="W105" s="271"/>
      <c r="X105" s="271"/>
      <c r="Y105" s="271"/>
    </row>
    <row r="106" spans="1:25" ht="15.75" customHeight="1" x14ac:dyDescent="0.25">
      <c r="A106" s="271"/>
      <c r="B106" s="271"/>
      <c r="C106" s="271"/>
      <c r="D106" s="271"/>
      <c r="E106" s="271"/>
      <c r="F106" s="271"/>
      <c r="G106" s="271"/>
      <c r="H106" s="271"/>
      <c r="I106" s="271"/>
      <c r="J106" s="271"/>
      <c r="K106" s="271"/>
      <c r="L106" s="271"/>
      <c r="M106" s="271"/>
      <c r="N106" s="271"/>
      <c r="O106" s="271"/>
      <c r="P106" s="271"/>
      <c r="Q106" s="271"/>
      <c r="R106" s="271"/>
      <c r="S106" s="271"/>
      <c r="T106" s="271"/>
      <c r="U106" s="271"/>
      <c r="V106" s="271"/>
      <c r="W106" s="271"/>
      <c r="X106" s="271"/>
      <c r="Y106" s="271"/>
    </row>
    <row r="107" spans="1:25" ht="15.75" customHeight="1" x14ac:dyDescent="0.25">
      <c r="A107" s="271"/>
      <c r="B107" s="271"/>
      <c r="C107" s="271"/>
      <c r="D107" s="271"/>
      <c r="E107" s="271"/>
      <c r="F107" s="271"/>
      <c r="G107" s="271"/>
      <c r="H107" s="271"/>
      <c r="I107" s="271"/>
      <c r="J107" s="271"/>
      <c r="K107" s="271"/>
      <c r="L107" s="271"/>
      <c r="M107" s="271"/>
      <c r="N107" s="271"/>
      <c r="O107" s="271"/>
      <c r="P107" s="271"/>
      <c r="Q107" s="271"/>
      <c r="R107" s="271"/>
      <c r="S107" s="271"/>
      <c r="T107" s="271"/>
      <c r="U107" s="271"/>
      <c r="V107" s="271"/>
      <c r="W107" s="271"/>
      <c r="X107" s="271"/>
      <c r="Y107" s="271"/>
    </row>
    <row r="108" spans="1:25" ht="15.75" customHeight="1" x14ac:dyDescent="0.25">
      <c r="A108" s="271"/>
      <c r="B108" s="271"/>
      <c r="C108" s="271"/>
      <c r="D108" s="271"/>
      <c r="E108" s="271"/>
      <c r="F108" s="271"/>
      <c r="G108" s="271"/>
      <c r="H108" s="271"/>
      <c r="I108" s="271"/>
      <c r="J108" s="271"/>
      <c r="K108" s="271"/>
      <c r="L108" s="271"/>
      <c r="M108" s="271"/>
      <c r="N108" s="271"/>
      <c r="O108" s="271"/>
      <c r="P108" s="271"/>
      <c r="Q108" s="271"/>
      <c r="R108" s="271"/>
      <c r="S108" s="271"/>
      <c r="T108" s="271"/>
      <c r="U108" s="271"/>
      <c r="V108" s="271"/>
      <c r="W108" s="271"/>
      <c r="X108" s="271"/>
      <c r="Y108" s="271"/>
    </row>
    <row r="109" spans="1:25" ht="15.75" customHeight="1" x14ac:dyDescent="0.25">
      <c r="A109" s="271"/>
      <c r="B109" s="271"/>
      <c r="C109" s="271"/>
      <c r="D109" s="271"/>
      <c r="E109" s="271"/>
      <c r="F109" s="271"/>
      <c r="G109" s="271"/>
      <c r="H109" s="271"/>
      <c r="I109" s="271"/>
      <c r="J109" s="271"/>
      <c r="K109" s="271"/>
      <c r="L109" s="271"/>
      <c r="M109" s="271"/>
      <c r="N109" s="271"/>
      <c r="O109" s="271"/>
      <c r="P109" s="271"/>
      <c r="Q109" s="271"/>
      <c r="R109" s="271"/>
      <c r="S109" s="271"/>
      <c r="T109" s="271"/>
      <c r="U109" s="271"/>
      <c r="V109" s="271"/>
      <c r="W109" s="271"/>
      <c r="X109" s="271"/>
      <c r="Y109" s="271"/>
    </row>
    <row r="110" spans="1:25" ht="15.75" customHeight="1" x14ac:dyDescent="0.25">
      <c r="A110" s="271"/>
      <c r="B110" s="271"/>
      <c r="C110" s="271"/>
      <c r="D110" s="271"/>
      <c r="E110" s="271"/>
      <c r="F110" s="271"/>
      <c r="G110" s="271"/>
      <c r="H110" s="271"/>
      <c r="I110" s="271"/>
      <c r="J110" s="271"/>
      <c r="K110" s="271"/>
      <c r="L110" s="271"/>
      <c r="M110" s="271"/>
      <c r="N110" s="271"/>
      <c r="O110" s="271"/>
      <c r="P110" s="271"/>
      <c r="Q110" s="271"/>
      <c r="R110" s="271"/>
      <c r="S110" s="271"/>
      <c r="T110" s="271"/>
      <c r="U110" s="271"/>
      <c r="V110" s="271"/>
      <c r="W110" s="271"/>
      <c r="X110" s="271"/>
      <c r="Y110" s="271"/>
    </row>
    <row r="111" spans="1:25" ht="15.75" customHeight="1" x14ac:dyDescent="0.25">
      <c r="A111" s="271"/>
      <c r="B111" s="271"/>
      <c r="C111" s="271"/>
      <c r="D111" s="271"/>
      <c r="E111" s="271"/>
      <c r="F111" s="271"/>
      <c r="G111" s="271"/>
      <c r="H111" s="271"/>
      <c r="I111" s="271"/>
      <c r="J111" s="271"/>
      <c r="K111" s="271"/>
      <c r="L111" s="271"/>
      <c r="M111" s="271"/>
      <c r="N111" s="271"/>
      <c r="O111" s="271"/>
      <c r="P111" s="271"/>
      <c r="Q111" s="271"/>
      <c r="R111" s="271"/>
      <c r="S111" s="271"/>
      <c r="T111" s="271"/>
      <c r="U111" s="271"/>
      <c r="V111" s="271"/>
      <c r="W111" s="271"/>
      <c r="X111" s="271"/>
      <c r="Y111" s="271"/>
    </row>
    <row r="112" spans="1:25" ht="15.75" customHeight="1" x14ac:dyDescent="0.25">
      <c r="A112" s="271"/>
      <c r="B112" s="271"/>
      <c r="C112" s="271"/>
      <c r="D112" s="271"/>
      <c r="E112" s="271"/>
      <c r="F112" s="271"/>
      <c r="G112" s="271"/>
      <c r="H112" s="271"/>
      <c r="I112" s="271"/>
      <c r="J112" s="271"/>
      <c r="K112" s="271"/>
      <c r="L112" s="271"/>
      <c r="M112" s="271"/>
      <c r="N112" s="271"/>
      <c r="O112" s="271"/>
      <c r="P112" s="271"/>
      <c r="Q112" s="271"/>
      <c r="R112" s="271"/>
      <c r="S112" s="271"/>
      <c r="T112" s="271"/>
      <c r="U112" s="271"/>
      <c r="V112" s="271"/>
      <c r="W112" s="271"/>
      <c r="X112" s="271"/>
      <c r="Y112" s="271"/>
    </row>
    <row r="113" spans="1:25" ht="15.75" customHeight="1" x14ac:dyDescent="0.25">
      <c r="A113" s="271"/>
      <c r="B113" s="271"/>
      <c r="C113" s="271"/>
      <c r="D113" s="271"/>
      <c r="E113" s="271"/>
      <c r="F113" s="271"/>
      <c r="G113" s="271"/>
      <c r="H113" s="271"/>
      <c r="I113" s="271"/>
      <c r="J113" s="271"/>
      <c r="K113" s="271"/>
      <c r="L113" s="271"/>
      <c r="M113" s="271"/>
      <c r="N113" s="271"/>
      <c r="O113" s="271"/>
      <c r="P113" s="271"/>
      <c r="Q113" s="271"/>
      <c r="R113" s="271"/>
      <c r="S113" s="271"/>
      <c r="T113" s="271"/>
      <c r="U113" s="271"/>
      <c r="V113" s="271"/>
      <c r="W113" s="271"/>
      <c r="X113" s="271"/>
      <c r="Y113" s="271"/>
    </row>
    <row r="114" spans="1:25" ht="15.75" customHeight="1" x14ac:dyDescent="0.25">
      <c r="A114" s="271"/>
      <c r="B114" s="271"/>
      <c r="C114" s="271"/>
      <c r="D114" s="271"/>
      <c r="E114" s="271"/>
      <c r="F114" s="271"/>
      <c r="G114" s="271"/>
      <c r="H114" s="271"/>
      <c r="I114" s="271"/>
      <c r="J114" s="271"/>
      <c r="K114" s="271"/>
      <c r="L114" s="271"/>
      <c r="M114" s="271"/>
      <c r="N114" s="271"/>
      <c r="O114" s="271"/>
      <c r="P114" s="271"/>
      <c r="Q114" s="271"/>
      <c r="R114" s="271"/>
      <c r="S114" s="271"/>
      <c r="T114" s="271"/>
      <c r="U114" s="271"/>
      <c r="V114" s="271"/>
      <c r="W114" s="271"/>
      <c r="X114" s="271"/>
      <c r="Y114" s="271"/>
    </row>
    <row r="115" spans="1:25" ht="15.75" customHeight="1" x14ac:dyDescent="0.25">
      <c r="A115" s="271"/>
      <c r="B115" s="271"/>
      <c r="C115" s="271"/>
      <c r="D115" s="271"/>
      <c r="E115" s="271"/>
      <c r="F115" s="271"/>
      <c r="G115" s="271"/>
      <c r="H115" s="271"/>
      <c r="I115" s="271"/>
      <c r="J115" s="271"/>
      <c r="K115" s="271"/>
      <c r="L115" s="271"/>
      <c r="M115" s="271"/>
      <c r="N115" s="271"/>
      <c r="O115" s="271"/>
      <c r="P115" s="271"/>
      <c r="Q115" s="271"/>
      <c r="R115" s="271"/>
      <c r="S115" s="271"/>
      <c r="T115" s="271"/>
      <c r="U115" s="271"/>
      <c r="V115" s="271"/>
      <c r="W115" s="271"/>
      <c r="X115" s="271"/>
      <c r="Y115" s="271"/>
    </row>
    <row r="116" spans="1:25" ht="15.75" customHeight="1" x14ac:dyDescent="0.25">
      <c r="A116" s="271"/>
      <c r="B116" s="271"/>
      <c r="C116" s="271"/>
      <c r="D116" s="271"/>
      <c r="E116" s="271"/>
      <c r="F116" s="271"/>
      <c r="G116" s="271"/>
      <c r="H116" s="271"/>
      <c r="I116" s="271"/>
      <c r="J116" s="271"/>
      <c r="K116" s="271"/>
      <c r="L116" s="271"/>
      <c r="M116" s="271"/>
      <c r="N116" s="271"/>
      <c r="O116" s="271"/>
      <c r="P116" s="271"/>
      <c r="Q116" s="271"/>
      <c r="R116" s="271"/>
      <c r="S116" s="271"/>
      <c r="T116" s="271"/>
      <c r="U116" s="271"/>
      <c r="V116" s="271"/>
      <c r="W116" s="271"/>
      <c r="X116" s="271"/>
      <c r="Y116" s="271"/>
    </row>
    <row r="117" spans="1:25" ht="15.75" customHeight="1" x14ac:dyDescent="0.25">
      <c r="A117" s="271"/>
      <c r="B117" s="271"/>
      <c r="C117" s="271"/>
      <c r="D117" s="271"/>
      <c r="E117" s="271"/>
      <c r="F117" s="271"/>
      <c r="G117" s="271"/>
      <c r="H117" s="271"/>
      <c r="I117" s="271"/>
      <c r="J117" s="271"/>
      <c r="K117" s="271"/>
      <c r="L117" s="271"/>
      <c r="M117" s="271"/>
      <c r="N117" s="271"/>
      <c r="O117" s="271"/>
      <c r="P117" s="271"/>
      <c r="Q117" s="271"/>
      <c r="R117" s="271"/>
      <c r="S117" s="271"/>
      <c r="T117" s="271"/>
      <c r="U117" s="271"/>
      <c r="V117" s="271"/>
      <c r="W117" s="271"/>
      <c r="X117" s="271"/>
      <c r="Y117" s="271"/>
    </row>
    <row r="118" spans="1:25" ht="15.75" customHeight="1" x14ac:dyDescent="0.25">
      <c r="A118" s="271"/>
      <c r="B118" s="271"/>
      <c r="C118" s="271"/>
      <c r="D118" s="271"/>
      <c r="E118" s="271"/>
      <c r="F118" s="271"/>
      <c r="G118" s="271"/>
      <c r="H118" s="271"/>
      <c r="I118" s="271"/>
      <c r="J118" s="271"/>
      <c r="K118" s="271"/>
      <c r="L118" s="271"/>
      <c r="M118" s="271"/>
      <c r="N118" s="271"/>
      <c r="O118" s="271"/>
      <c r="P118" s="271"/>
      <c r="Q118" s="271"/>
      <c r="R118" s="271"/>
      <c r="S118" s="271"/>
      <c r="T118" s="271"/>
      <c r="U118" s="271"/>
      <c r="V118" s="271"/>
      <c r="W118" s="271"/>
      <c r="X118" s="271"/>
      <c r="Y118" s="271"/>
    </row>
    <row r="119" spans="1:25" ht="15.75" customHeight="1" x14ac:dyDescent="0.25">
      <c r="A119" s="271"/>
      <c r="B119" s="271"/>
      <c r="C119" s="271"/>
      <c r="D119" s="271"/>
      <c r="E119" s="271"/>
      <c r="F119" s="271"/>
      <c r="G119" s="271"/>
      <c r="H119" s="271"/>
      <c r="I119" s="271"/>
      <c r="J119" s="271"/>
      <c r="K119" s="271"/>
      <c r="L119" s="271"/>
      <c r="M119" s="271"/>
      <c r="N119" s="271"/>
      <c r="O119" s="271"/>
      <c r="P119" s="271"/>
      <c r="Q119" s="271"/>
      <c r="R119" s="271"/>
      <c r="S119" s="271"/>
      <c r="T119" s="271"/>
      <c r="U119" s="271"/>
      <c r="V119" s="271"/>
      <c r="W119" s="271"/>
      <c r="X119" s="271"/>
      <c r="Y119" s="271"/>
    </row>
    <row r="120" spans="1:25" ht="15.75" customHeight="1" x14ac:dyDescent="0.25">
      <c r="A120" s="271"/>
      <c r="B120" s="271"/>
      <c r="C120" s="271"/>
      <c r="D120" s="271"/>
      <c r="E120" s="271"/>
      <c r="F120" s="271"/>
      <c r="G120" s="271"/>
      <c r="H120" s="271"/>
      <c r="I120" s="271"/>
      <c r="J120" s="271"/>
      <c r="K120" s="271"/>
      <c r="L120" s="271"/>
      <c r="M120" s="271"/>
      <c r="N120" s="271"/>
      <c r="O120" s="271"/>
      <c r="P120" s="271"/>
      <c r="Q120" s="271"/>
      <c r="R120" s="271"/>
      <c r="S120" s="271"/>
      <c r="T120" s="271"/>
      <c r="U120" s="271"/>
      <c r="V120" s="271"/>
      <c r="W120" s="271"/>
      <c r="X120" s="271"/>
      <c r="Y120" s="271"/>
    </row>
    <row r="121" spans="1:25" ht="15.75" customHeight="1" x14ac:dyDescent="0.25">
      <c r="A121" s="271"/>
      <c r="B121" s="271"/>
      <c r="C121" s="271"/>
      <c r="D121" s="271"/>
      <c r="E121" s="271"/>
      <c r="F121" s="271"/>
      <c r="G121" s="271"/>
      <c r="H121" s="271"/>
      <c r="I121" s="271"/>
      <c r="J121" s="271"/>
      <c r="K121" s="271"/>
      <c r="L121" s="271"/>
      <c r="M121" s="271"/>
      <c r="N121" s="271"/>
      <c r="O121" s="271"/>
      <c r="P121" s="271"/>
      <c r="Q121" s="271"/>
      <c r="R121" s="271"/>
      <c r="S121" s="271"/>
      <c r="T121" s="271"/>
      <c r="U121" s="271"/>
      <c r="V121" s="271"/>
      <c r="W121" s="271"/>
      <c r="X121" s="271"/>
      <c r="Y121" s="271"/>
    </row>
    <row r="122" spans="1:25" ht="15.75" customHeight="1" x14ac:dyDescent="0.25">
      <c r="A122" s="271"/>
      <c r="B122" s="271"/>
      <c r="C122" s="271"/>
      <c r="D122" s="271"/>
      <c r="E122" s="271"/>
      <c r="F122" s="271"/>
      <c r="G122" s="271"/>
      <c r="H122" s="271"/>
      <c r="I122" s="271"/>
      <c r="J122" s="271"/>
      <c r="K122" s="271"/>
      <c r="L122" s="271"/>
      <c r="M122" s="271"/>
      <c r="N122" s="271"/>
      <c r="O122" s="271"/>
      <c r="P122" s="271"/>
      <c r="Q122" s="271"/>
      <c r="R122" s="271"/>
      <c r="S122" s="271"/>
      <c r="T122" s="271"/>
      <c r="U122" s="271"/>
      <c r="V122" s="271"/>
      <c r="W122" s="271"/>
      <c r="X122" s="271"/>
      <c r="Y122" s="271"/>
    </row>
    <row r="123" spans="1:25" ht="15.75" customHeight="1" x14ac:dyDescent="0.25">
      <c r="A123" s="271"/>
      <c r="B123" s="271"/>
      <c r="C123" s="271"/>
      <c r="D123" s="271"/>
      <c r="E123" s="271"/>
      <c r="F123" s="271"/>
      <c r="G123" s="271"/>
      <c r="H123" s="271"/>
      <c r="I123" s="271"/>
      <c r="J123" s="271"/>
      <c r="K123" s="271"/>
      <c r="L123" s="271"/>
      <c r="M123" s="271"/>
      <c r="N123" s="271"/>
      <c r="O123" s="271"/>
      <c r="P123" s="271"/>
      <c r="Q123" s="271"/>
      <c r="R123" s="271"/>
      <c r="S123" s="271"/>
      <c r="T123" s="271"/>
      <c r="U123" s="271"/>
      <c r="V123" s="271"/>
      <c r="W123" s="271"/>
      <c r="X123" s="271"/>
      <c r="Y123" s="271"/>
    </row>
    <row r="124" spans="1:25" ht="15.75" customHeight="1" x14ac:dyDescent="0.25">
      <c r="A124" s="271"/>
      <c r="B124" s="271"/>
      <c r="C124" s="271"/>
      <c r="D124" s="271"/>
      <c r="E124" s="271"/>
      <c r="F124" s="271"/>
      <c r="G124" s="271"/>
      <c r="H124" s="271"/>
      <c r="I124" s="271"/>
      <c r="J124" s="271"/>
      <c r="K124" s="271"/>
      <c r="L124" s="271"/>
      <c r="M124" s="271"/>
      <c r="N124" s="271"/>
      <c r="O124" s="271"/>
      <c r="P124" s="271"/>
      <c r="Q124" s="271"/>
      <c r="R124" s="271"/>
      <c r="S124" s="271"/>
      <c r="T124" s="271"/>
      <c r="U124" s="271"/>
      <c r="V124" s="271"/>
      <c r="W124" s="271"/>
      <c r="X124" s="271"/>
      <c r="Y124" s="271"/>
    </row>
    <row r="125" spans="1:25" ht="15.75" customHeight="1" x14ac:dyDescent="0.25">
      <c r="A125" s="271"/>
      <c r="B125" s="271"/>
      <c r="C125" s="271"/>
      <c r="D125" s="271"/>
      <c r="E125" s="271"/>
      <c r="F125" s="271"/>
      <c r="G125" s="271"/>
      <c r="H125" s="271"/>
      <c r="I125" s="271"/>
      <c r="J125" s="271"/>
      <c r="K125" s="271"/>
      <c r="L125" s="271"/>
      <c r="M125" s="271"/>
      <c r="N125" s="271"/>
      <c r="O125" s="271"/>
      <c r="P125" s="271"/>
      <c r="Q125" s="271"/>
      <c r="R125" s="271"/>
      <c r="S125" s="271"/>
      <c r="T125" s="271"/>
      <c r="U125" s="271"/>
      <c r="V125" s="271"/>
      <c r="W125" s="271"/>
      <c r="X125" s="271"/>
      <c r="Y125" s="271"/>
    </row>
    <row r="126" spans="1:25" ht="15.75" customHeight="1" x14ac:dyDescent="0.25">
      <c r="A126" s="271"/>
      <c r="B126" s="271"/>
      <c r="C126" s="271"/>
      <c r="D126" s="271"/>
      <c r="E126" s="271"/>
      <c r="F126" s="271"/>
      <c r="G126" s="271"/>
      <c r="H126" s="271"/>
      <c r="I126" s="271"/>
      <c r="J126" s="271"/>
      <c r="K126" s="271"/>
      <c r="L126" s="271"/>
      <c r="M126" s="271"/>
      <c r="N126" s="271"/>
      <c r="O126" s="271"/>
      <c r="P126" s="271"/>
      <c r="Q126" s="271"/>
      <c r="R126" s="271"/>
      <c r="S126" s="271"/>
      <c r="T126" s="271"/>
      <c r="U126" s="271"/>
      <c r="V126" s="271"/>
      <c r="W126" s="271"/>
      <c r="X126" s="271"/>
      <c r="Y126" s="271"/>
    </row>
    <row r="127" spans="1:25" ht="15.75" customHeight="1" x14ac:dyDescent="0.25">
      <c r="A127" s="271"/>
      <c r="B127" s="271"/>
      <c r="C127" s="271"/>
      <c r="D127" s="271"/>
      <c r="E127" s="271"/>
      <c r="F127" s="271"/>
      <c r="G127" s="271"/>
      <c r="H127" s="271"/>
      <c r="I127" s="271"/>
      <c r="J127" s="271"/>
      <c r="K127" s="271"/>
      <c r="L127" s="271"/>
      <c r="M127" s="271"/>
      <c r="N127" s="271"/>
      <c r="O127" s="271"/>
      <c r="P127" s="271"/>
      <c r="Q127" s="271"/>
      <c r="R127" s="271"/>
      <c r="S127" s="271"/>
      <c r="T127" s="271"/>
      <c r="U127" s="271"/>
      <c r="V127" s="271"/>
      <c r="W127" s="271"/>
      <c r="X127" s="271"/>
      <c r="Y127" s="271"/>
    </row>
    <row r="128" spans="1:25" ht="15.75" customHeight="1" x14ac:dyDescent="0.25">
      <c r="A128" s="271"/>
      <c r="B128" s="271"/>
      <c r="C128" s="271"/>
      <c r="D128" s="271"/>
      <c r="E128" s="271"/>
      <c r="F128" s="271"/>
      <c r="G128" s="271"/>
      <c r="H128" s="271"/>
      <c r="I128" s="271"/>
      <c r="J128" s="271"/>
      <c r="K128" s="271"/>
      <c r="L128" s="271"/>
      <c r="M128" s="271"/>
      <c r="N128" s="271"/>
      <c r="O128" s="271"/>
      <c r="P128" s="271"/>
      <c r="Q128" s="271"/>
      <c r="R128" s="271"/>
      <c r="S128" s="271"/>
      <c r="T128" s="271"/>
      <c r="U128" s="271"/>
      <c r="V128" s="271"/>
      <c r="W128" s="271"/>
      <c r="X128" s="271"/>
      <c r="Y128" s="271"/>
    </row>
    <row r="129" spans="1:25" ht="15.75" customHeight="1" x14ac:dyDescent="0.25">
      <c r="A129" s="271"/>
      <c r="B129" s="271"/>
      <c r="C129" s="271"/>
      <c r="D129" s="271"/>
      <c r="E129" s="271"/>
      <c r="F129" s="271"/>
      <c r="G129" s="271"/>
      <c r="H129" s="271"/>
      <c r="I129" s="271"/>
      <c r="J129" s="271"/>
      <c r="K129" s="271"/>
      <c r="L129" s="271"/>
      <c r="M129" s="271"/>
      <c r="N129" s="271"/>
      <c r="O129" s="271"/>
      <c r="P129" s="271"/>
      <c r="Q129" s="271"/>
      <c r="R129" s="271"/>
      <c r="S129" s="271"/>
      <c r="T129" s="271"/>
      <c r="U129" s="271"/>
      <c r="V129" s="271"/>
      <c r="W129" s="271"/>
      <c r="X129" s="271"/>
      <c r="Y129" s="271"/>
    </row>
    <row r="130" spans="1:25" ht="15.75" customHeight="1" x14ac:dyDescent="0.25">
      <c r="A130" s="271"/>
      <c r="B130" s="271"/>
      <c r="C130" s="271"/>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row>
    <row r="131" spans="1:25" ht="15.75" customHeight="1" x14ac:dyDescent="0.25">
      <c r="A131" s="271"/>
      <c r="B131" s="271"/>
      <c r="C131" s="271"/>
      <c r="D131" s="271"/>
      <c r="E131" s="271"/>
      <c r="F131" s="271"/>
      <c r="G131" s="271"/>
      <c r="H131" s="271"/>
      <c r="I131" s="271"/>
      <c r="J131" s="271"/>
      <c r="K131" s="271"/>
      <c r="L131" s="271"/>
      <c r="M131" s="271"/>
      <c r="N131" s="271"/>
      <c r="O131" s="271"/>
      <c r="P131" s="271"/>
      <c r="Q131" s="271"/>
      <c r="R131" s="271"/>
      <c r="S131" s="271"/>
      <c r="T131" s="271"/>
      <c r="U131" s="271"/>
      <c r="V131" s="271"/>
      <c r="W131" s="271"/>
      <c r="X131" s="271"/>
      <c r="Y131" s="271"/>
    </row>
    <row r="132" spans="1:25" ht="15.75" customHeight="1" x14ac:dyDescent="0.25">
      <c r="A132" s="271"/>
      <c r="B132" s="271"/>
      <c r="C132" s="271"/>
      <c r="D132" s="271"/>
      <c r="E132" s="271"/>
      <c r="F132" s="271"/>
      <c r="G132" s="271"/>
      <c r="H132" s="271"/>
      <c r="I132" s="271"/>
      <c r="J132" s="271"/>
      <c r="K132" s="271"/>
      <c r="L132" s="271"/>
      <c r="M132" s="271"/>
      <c r="N132" s="271"/>
      <c r="O132" s="271"/>
      <c r="P132" s="271"/>
      <c r="Q132" s="271"/>
      <c r="R132" s="271"/>
      <c r="S132" s="271"/>
      <c r="T132" s="271"/>
      <c r="U132" s="271"/>
      <c r="V132" s="271"/>
      <c r="W132" s="271"/>
      <c r="X132" s="271"/>
      <c r="Y132" s="271"/>
    </row>
    <row r="133" spans="1:25" ht="15.75" customHeight="1" x14ac:dyDescent="0.25">
      <c r="A133" s="271"/>
      <c r="B133" s="271"/>
      <c r="C133" s="271"/>
      <c r="D133" s="271"/>
      <c r="E133" s="271"/>
      <c r="F133" s="271"/>
      <c r="G133" s="271"/>
      <c r="H133" s="271"/>
      <c r="I133" s="271"/>
      <c r="J133" s="271"/>
      <c r="K133" s="271"/>
      <c r="L133" s="271"/>
      <c r="M133" s="271"/>
      <c r="N133" s="271"/>
      <c r="O133" s="271"/>
      <c r="P133" s="271"/>
      <c r="Q133" s="271"/>
      <c r="R133" s="271"/>
      <c r="S133" s="271"/>
      <c r="T133" s="271"/>
      <c r="U133" s="271"/>
      <c r="V133" s="271"/>
      <c r="W133" s="271"/>
      <c r="X133" s="271"/>
      <c r="Y133" s="271"/>
    </row>
    <row r="134" spans="1:25" ht="15.75" customHeight="1" x14ac:dyDescent="0.25">
      <c r="A134" s="271"/>
      <c r="B134" s="271"/>
      <c r="C134" s="271"/>
      <c r="D134" s="271"/>
      <c r="E134" s="271"/>
      <c r="F134" s="271"/>
      <c r="G134" s="271"/>
      <c r="H134" s="271"/>
      <c r="I134" s="271"/>
      <c r="J134" s="271"/>
      <c r="K134" s="271"/>
      <c r="L134" s="271"/>
      <c r="M134" s="271"/>
      <c r="N134" s="271"/>
      <c r="O134" s="271"/>
      <c r="P134" s="271"/>
      <c r="Q134" s="271"/>
      <c r="R134" s="271"/>
      <c r="S134" s="271"/>
      <c r="T134" s="271"/>
      <c r="U134" s="271"/>
      <c r="V134" s="271"/>
      <c r="W134" s="271"/>
      <c r="X134" s="271"/>
      <c r="Y134" s="271"/>
    </row>
    <row r="135" spans="1:25" ht="15.75" customHeight="1" x14ac:dyDescent="0.25">
      <c r="A135" s="271"/>
      <c r="B135" s="271"/>
      <c r="C135" s="271"/>
      <c r="D135" s="271"/>
      <c r="E135" s="271"/>
      <c r="F135" s="271"/>
      <c r="G135" s="271"/>
      <c r="H135" s="271"/>
      <c r="I135" s="271"/>
      <c r="J135" s="271"/>
      <c r="K135" s="271"/>
      <c r="L135" s="271"/>
      <c r="M135" s="271"/>
      <c r="N135" s="271"/>
      <c r="O135" s="271"/>
      <c r="P135" s="271"/>
      <c r="Q135" s="271"/>
      <c r="R135" s="271"/>
      <c r="S135" s="271"/>
      <c r="T135" s="271"/>
      <c r="U135" s="271"/>
      <c r="V135" s="271"/>
      <c r="W135" s="271"/>
      <c r="X135" s="271"/>
      <c r="Y135" s="271"/>
    </row>
    <row r="136" spans="1:25" ht="15.75" customHeight="1" x14ac:dyDescent="0.25">
      <c r="A136" s="271"/>
      <c r="B136" s="271"/>
      <c r="C136" s="271"/>
      <c r="D136" s="271"/>
      <c r="E136" s="271"/>
      <c r="F136" s="271"/>
      <c r="G136" s="271"/>
      <c r="H136" s="271"/>
      <c r="I136" s="271"/>
      <c r="J136" s="271"/>
      <c r="K136" s="271"/>
      <c r="L136" s="271"/>
      <c r="M136" s="271"/>
      <c r="N136" s="271"/>
      <c r="O136" s="271"/>
      <c r="P136" s="271"/>
      <c r="Q136" s="271"/>
      <c r="R136" s="271"/>
      <c r="S136" s="271"/>
      <c r="T136" s="271"/>
      <c r="U136" s="271"/>
      <c r="V136" s="271"/>
      <c r="W136" s="271"/>
      <c r="X136" s="271"/>
      <c r="Y136" s="271"/>
    </row>
    <row r="137" spans="1:25" ht="15.75" customHeight="1" x14ac:dyDescent="0.25">
      <c r="A137" s="271"/>
      <c r="B137" s="271"/>
      <c r="C137" s="271"/>
      <c r="D137" s="271"/>
      <c r="E137" s="271"/>
      <c r="F137" s="271"/>
      <c r="G137" s="271"/>
      <c r="H137" s="271"/>
      <c r="I137" s="271"/>
      <c r="J137" s="271"/>
      <c r="K137" s="271"/>
      <c r="L137" s="271"/>
      <c r="M137" s="271"/>
      <c r="N137" s="271"/>
      <c r="O137" s="271"/>
      <c r="P137" s="271"/>
      <c r="Q137" s="271"/>
      <c r="R137" s="271"/>
      <c r="S137" s="271"/>
      <c r="T137" s="271"/>
      <c r="U137" s="271"/>
      <c r="V137" s="271"/>
      <c r="W137" s="271"/>
      <c r="X137" s="271"/>
      <c r="Y137" s="271"/>
    </row>
    <row r="138" spans="1:25" ht="15.75" customHeight="1" x14ac:dyDescent="0.25">
      <c r="A138" s="271"/>
      <c r="B138" s="271"/>
      <c r="C138" s="271"/>
      <c r="D138" s="271"/>
      <c r="E138" s="271"/>
      <c r="F138" s="271"/>
      <c r="G138" s="271"/>
      <c r="H138" s="271"/>
      <c r="I138" s="271"/>
      <c r="J138" s="271"/>
      <c r="K138" s="271"/>
      <c r="L138" s="271"/>
      <c r="M138" s="271"/>
      <c r="N138" s="271"/>
      <c r="O138" s="271"/>
      <c r="P138" s="271"/>
      <c r="Q138" s="271"/>
      <c r="R138" s="271"/>
      <c r="S138" s="271"/>
      <c r="T138" s="271"/>
      <c r="U138" s="271"/>
      <c r="V138" s="271"/>
      <c r="W138" s="271"/>
      <c r="X138" s="271"/>
      <c r="Y138" s="271"/>
    </row>
    <row r="139" spans="1:25" ht="15.75" customHeight="1" x14ac:dyDescent="0.25">
      <c r="A139" s="271"/>
      <c r="B139" s="271"/>
      <c r="C139" s="271"/>
      <c r="D139" s="271"/>
      <c r="E139" s="271"/>
      <c r="F139" s="271"/>
      <c r="G139" s="271"/>
      <c r="H139" s="271"/>
      <c r="I139" s="271"/>
      <c r="J139" s="271"/>
      <c r="K139" s="271"/>
      <c r="L139" s="271"/>
      <c r="M139" s="271"/>
      <c r="N139" s="271"/>
      <c r="O139" s="271"/>
      <c r="P139" s="271"/>
      <c r="Q139" s="271"/>
      <c r="R139" s="271"/>
      <c r="S139" s="271"/>
      <c r="T139" s="271"/>
      <c r="U139" s="271"/>
      <c r="V139" s="271"/>
      <c r="W139" s="271"/>
      <c r="X139" s="271"/>
      <c r="Y139" s="271"/>
    </row>
    <row r="140" spans="1:25" ht="15.75" customHeight="1" x14ac:dyDescent="0.25">
      <c r="A140" s="271"/>
      <c r="B140" s="271"/>
      <c r="C140" s="271"/>
      <c r="D140" s="271"/>
      <c r="E140" s="271"/>
      <c r="F140" s="271"/>
      <c r="G140" s="271"/>
      <c r="H140" s="271"/>
      <c r="I140" s="271"/>
      <c r="J140" s="271"/>
      <c r="K140" s="271"/>
      <c r="L140" s="271"/>
      <c r="M140" s="271"/>
      <c r="N140" s="271"/>
      <c r="O140" s="271"/>
      <c r="P140" s="271"/>
      <c r="Q140" s="271"/>
      <c r="R140" s="271"/>
      <c r="S140" s="271"/>
      <c r="T140" s="271"/>
      <c r="U140" s="271"/>
      <c r="V140" s="271"/>
      <c r="W140" s="271"/>
      <c r="X140" s="271"/>
      <c r="Y140" s="271"/>
    </row>
    <row r="141" spans="1:25" ht="15.75" customHeight="1" x14ac:dyDescent="0.25">
      <c r="A141" s="271"/>
      <c r="B141" s="271"/>
      <c r="C141" s="271"/>
      <c r="D141" s="271"/>
      <c r="E141" s="271"/>
      <c r="F141" s="271"/>
      <c r="G141" s="271"/>
      <c r="H141" s="271"/>
      <c r="I141" s="271"/>
      <c r="J141" s="271"/>
      <c r="K141" s="271"/>
      <c r="L141" s="271"/>
      <c r="M141" s="271"/>
      <c r="N141" s="271"/>
      <c r="O141" s="271"/>
      <c r="P141" s="271"/>
      <c r="Q141" s="271"/>
      <c r="R141" s="271"/>
      <c r="S141" s="271"/>
      <c r="T141" s="271"/>
      <c r="U141" s="271"/>
      <c r="V141" s="271"/>
      <c r="W141" s="271"/>
      <c r="X141" s="271"/>
      <c r="Y141" s="271"/>
    </row>
    <row r="142" spans="1:25" ht="15.75" customHeight="1" x14ac:dyDescent="0.25">
      <c r="A142" s="271"/>
      <c r="B142" s="271"/>
      <c r="C142" s="271"/>
      <c r="D142" s="271"/>
      <c r="E142" s="271"/>
      <c r="F142" s="271"/>
      <c r="G142" s="271"/>
      <c r="H142" s="271"/>
      <c r="I142" s="271"/>
      <c r="J142" s="271"/>
      <c r="K142" s="271"/>
      <c r="L142" s="271"/>
      <c r="M142" s="271"/>
      <c r="N142" s="271"/>
      <c r="O142" s="271"/>
      <c r="P142" s="271"/>
      <c r="Q142" s="271"/>
      <c r="R142" s="271"/>
      <c r="S142" s="271"/>
      <c r="T142" s="271"/>
      <c r="U142" s="271"/>
      <c r="V142" s="271"/>
      <c r="W142" s="271"/>
      <c r="X142" s="271"/>
      <c r="Y142" s="271"/>
    </row>
    <row r="143" spans="1:25" ht="15.75" customHeight="1" x14ac:dyDescent="0.25">
      <c r="A143" s="271"/>
      <c r="B143" s="271"/>
      <c r="C143" s="271"/>
      <c r="D143" s="271"/>
      <c r="E143" s="271"/>
      <c r="F143" s="271"/>
      <c r="G143" s="271"/>
      <c r="H143" s="271"/>
      <c r="I143" s="271"/>
      <c r="J143" s="271"/>
      <c r="K143" s="271"/>
      <c r="L143" s="271"/>
      <c r="M143" s="271"/>
      <c r="N143" s="271"/>
      <c r="O143" s="271"/>
      <c r="P143" s="271"/>
      <c r="Q143" s="271"/>
      <c r="R143" s="271"/>
      <c r="S143" s="271"/>
      <c r="T143" s="271"/>
      <c r="U143" s="271"/>
      <c r="V143" s="271"/>
      <c r="W143" s="271"/>
      <c r="X143" s="271"/>
      <c r="Y143" s="271"/>
    </row>
    <row r="144" spans="1:25" ht="15.75" customHeight="1" x14ac:dyDescent="0.25">
      <c r="A144" s="271"/>
      <c r="B144" s="271"/>
      <c r="C144" s="271"/>
      <c r="D144" s="271"/>
      <c r="E144" s="271"/>
      <c r="F144" s="271"/>
      <c r="G144" s="271"/>
      <c r="H144" s="271"/>
      <c r="I144" s="271"/>
      <c r="J144" s="271"/>
      <c r="K144" s="271"/>
      <c r="L144" s="271"/>
      <c r="M144" s="271"/>
      <c r="N144" s="271"/>
      <c r="O144" s="271"/>
      <c r="P144" s="271"/>
      <c r="Q144" s="271"/>
      <c r="R144" s="271"/>
      <c r="S144" s="271"/>
      <c r="T144" s="271"/>
      <c r="U144" s="271"/>
      <c r="V144" s="271"/>
      <c r="W144" s="271"/>
      <c r="X144" s="271"/>
      <c r="Y144" s="271"/>
    </row>
    <row r="145" spans="1:25" ht="15.75" customHeight="1" x14ac:dyDescent="0.25">
      <c r="A145" s="271"/>
      <c r="B145" s="271"/>
      <c r="C145" s="271"/>
      <c r="D145" s="271"/>
      <c r="E145" s="271"/>
      <c r="F145" s="271"/>
      <c r="G145" s="271"/>
      <c r="H145" s="271"/>
      <c r="I145" s="271"/>
      <c r="J145" s="271"/>
      <c r="K145" s="271"/>
      <c r="L145" s="271"/>
      <c r="M145" s="271"/>
      <c r="N145" s="271"/>
      <c r="O145" s="271"/>
      <c r="P145" s="271"/>
      <c r="Q145" s="271"/>
      <c r="R145" s="271"/>
      <c r="S145" s="271"/>
      <c r="T145" s="271"/>
      <c r="U145" s="271"/>
      <c r="V145" s="271"/>
      <c r="W145" s="271"/>
      <c r="X145" s="271"/>
      <c r="Y145" s="271"/>
    </row>
    <row r="146" spans="1:25" ht="15.75" customHeight="1" x14ac:dyDescent="0.25">
      <c r="A146" s="271"/>
      <c r="B146" s="271"/>
      <c r="C146" s="271"/>
      <c r="D146" s="271"/>
      <c r="E146" s="271"/>
      <c r="F146" s="271"/>
      <c r="G146" s="271"/>
      <c r="H146" s="271"/>
      <c r="I146" s="271"/>
      <c r="J146" s="271"/>
      <c r="K146" s="271"/>
      <c r="L146" s="271"/>
      <c r="M146" s="271"/>
      <c r="N146" s="271"/>
      <c r="O146" s="271"/>
      <c r="P146" s="271"/>
      <c r="Q146" s="271"/>
      <c r="R146" s="271"/>
      <c r="S146" s="271"/>
      <c r="T146" s="271"/>
      <c r="U146" s="271"/>
      <c r="V146" s="271"/>
      <c r="W146" s="271"/>
      <c r="X146" s="271"/>
      <c r="Y146" s="271"/>
    </row>
    <row r="147" spans="1:25" ht="15.75" customHeight="1" x14ac:dyDescent="0.25">
      <c r="A147" s="271"/>
      <c r="B147" s="271"/>
      <c r="C147" s="271"/>
      <c r="D147" s="271"/>
      <c r="E147" s="271"/>
      <c r="F147" s="271"/>
      <c r="G147" s="271"/>
      <c r="H147" s="271"/>
      <c r="I147" s="271"/>
      <c r="J147" s="271"/>
      <c r="K147" s="271"/>
      <c r="L147" s="271"/>
      <c r="M147" s="271"/>
      <c r="N147" s="271"/>
      <c r="O147" s="271"/>
      <c r="P147" s="271"/>
      <c r="Q147" s="271"/>
      <c r="R147" s="271"/>
      <c r="S147" s="271"/>
      <c r="T147" s="271"/>
      <c r="U147" s="271"/>
      <c r="V147" s="271"/>
      <c r="W147" s="271"/>
      <c r="X147" s="271"/>
      <c r="Y147" s="271"/>
    </row>
    <row r="148" spans="1:25" ht="15.75" customHeight="1" x14ac:dyDescent="0.25">
      <c r="A148" s="271"/>
      <c r="B148" s="271"/>
      <c r="C148" s="271"/>
      <c r="D148" s="271"/>
      <c r="E148" s="271"/>
      <c r="F148" s="271"/>
      <c r="G148" s="271"/>
      <c r="H148" s="271"/>
      <c r="I148" s="271"/>
      <c r="J148" s="271"/>
      <c r="K148" s="271"/>
      <c r="L148" s="271"/>
      <c r="M148" s="271"/>
      <c r="N148" s="271"/>
      <c r="O148" s="271"/>
      <c r="P148" s="271"/>
      <c r="Q148" s="271"/>
      <c r="R148" s="271"/>
      <c r="S148" s="271"/>
      <c r="T148" s="271"/>
      <c r="U148" s="271"/>
      <c r="V148" s="271"/>
      <c r="W148" s="271"/>
      <c r="X148" s="271"/>
      <c r="Y148" s="271"/>
    </row>
    <row r="149" spans="1:25" ht="15.75" customHeight="1" x14ac:dyDescent="0.25">
      <c r="A149" s="271"/>
      <c r="B149" s="271"/>
      <c r="C149" s="271"/>
      <c r="D149" s="271"/>
      <c r="E149" s="271"/>
      <c r="F149" s="271"/>
      <c r="G149" s="271"/>
      <c r="H149" s="271"/>
      <c r="I149" s="271"/>
      <c r="J149" s="271"/>
      <c r="K149" s="271"/>
      <c r="L149" s="271"/>
      <c r="M149" s="271"/>
      <c r="N149" s="271"/>
      <c r="O149" s="271"/>
      <c r="P149" s="271"/>
      <c r="Q149" s="271"/>
      <c r="R149" s="271"/>
      <c r="S149" s="271"/>
      <c r="T149" s="271"/>
      <c r="U149" s="271"/>
      <c r="V149" s="271"/>
      <c r="W149" s="271"/>
      <c r="X149" s="271"/>
      <c r="Y149" s="271"/>
    </row>
    <row r="150" spans="1:25" ht="15.75" customHeight="1" x14ac:dyDescent="0.25">
      <c r="A150" s="271"/>
      <c r="B150" s="271"/>
      <c r="C150" s="271"/>
      <c r="D150" s="271"/>
      <c r="E150" s="271"/>
      <c r="F150" s="271"/>
      <c r="G150" s="271"/>
      <c r="H150" s="271"/>
      <c r="I150" s="271"/>
      <c r="J150" s="271"/>
      <c r="K150" s="271"/>
      <c r="L150" s="271"/>
      <c r="M150" s="271"/>
      <c r="N150" s="271"/>
      <c r="O150" s="271"/>
      <c r="P150" s="271"/>
      <c r="Q150" s="271"/>
      <c r="R150" s="271"/>
      <c r="S150" s="271"/>
      <c r="T150" s="271"/>
      <c r="U150" s="271"/>
      <c r="V150" s="271"/>
      <c r="W150" s="271"/>
      <c r="X150" s="271"/>
      <c r="Y150" s="271"/>
    </row>
    <row r="151" spans="1:25" ht="15.75" customHeight="1" x14ac:dyDescent="0.25">
      <c r="A151" s="271"/>
      <c r="B151" s="271"/>
      <c r="C151" s="271"/>
      <c r="D151" s="271"/>
      <c r="E151" s="271"/>
      <c r="F151" s="271"/>
      <c r="G151" s="271"/>
      <c r="H151" s="271"/>
      <c r="I151" s="271"/>
      <c r="J151" s="271"/>
      <c r="K151" s="271"/>
      <c r="L151" s="271"/>
      <c r="M151" s="271"/>
      <c r="N151" s="271"/>
      <c r="O151" s="271"/>
      <c r="P151" s="271"/>
      <c r="Q151" s="271"/>
      <c r="R151" s="271"/>
      <c r="S151" s="271"/>
      <c r="T151" s="271"/>
      <c r="U151" s="271"/>
      <c r="V151" s="271"/>
      <c r="W151" s="271"/>
      <c r="X151" s="271"/>
      <c r="Y151" s="271"/>
    </row>
    <row r="152" spans="1:25" ht="15.75" customHeight="1" x14ac:dyDescent="0.25">
      <c r="A152" s="271"/>
      <c r="B152" s="271"/>
      <c r="C152" s="271"/>
      <c r="D152" s="271"/>
      <c r="E152" s="271"/>
      <c r="F152" s="271"/>
      <c r="G152" s="271"/>
      <c r="H152" s="271"/>
      <c r="I152" s="271"/>
      <c r="J152" s="271"/>
      <c r="K152" s="271"/>
      <c r="L152" s="271"/>
      <c r="M152" s="271"/>
      <c r="N152" s="271"/>
      <c r="O152" s="271"/>
      <c r="P152" s="271"/>
      <c r="Q152" s="271"/>
      <c r="R152" s="271"/>
      <c r="S152" s="271"/>
      <c r="T152" s="271"/>
      <c r="U152" s="271"/>
      <c r="V152" s="271"/>
      <c r="W152" s="271"/>
      <c r="X152" s="271"/>
      <c r="Y152" s="271"/>
    </row>
    <row r="153" spans="1:25" ht="15.75" customHeight="1" x14ac:dyDescent="0.25">
      <c r="A153" s="271"/>
      <c r="B153" s="271"/>
      <c r="C153" s="271"/>
      <c r="D153" s="271"/>
      <c r="E153" s="271"/>
      <c r="F153" s="271"/>
      <c r="G153" s="271"/>
      <c r="H153" s="271"/>
      <c r="I153" s="271"/>
      <c r="J153" s="271"/>
      <c r="K153" s="271"/>
      <c r="L153" s="271"/>
      <c r="M153" s="271"/>
      <c r="N153" s="271"/>
      <c r="O153" s="271"/>
      <c r="P153" s="271"/>
      <c r="Q153" s="271"/>
      <c r="R153" s="271"/>
      <c r="S153" s="271"/>
      <c r="T153" s="271"/>
      <c r="U153" s="271"/>
      <c r="V153" s="271"/>
      <c r="W153" s="271"/>
      <c r="X153" s="271"/>
      <c r="Y153" s="271"/>
    </row>
    <row r="154" spans="1:25" ht="15.75" customHeight="1" x14ac:dyDescent="0.25">
      <c r="A154" s="271"/>
      <c r="B154" s="271"/>
      <c r="C154" s="271"/>
      <c r="D154" s="271"/>
      <c r="E154" s="271"/>
      <c r="F154" s="271"/>
      <c r="G154" s="271"/>
      <c r="H154" s="271"/>
      <c r="I154" s="271"/>
      <c r="J154" s="271"/>
      <c r="K154" s="271"/>
      <c r="L154" s="271"/>
      <c r="M154" s="271"/>
      <c r="N154" s="271"/>
      <c r="O154" s="271"/>
      <c r="P154" s="271"/>
      <c r="Q154" s="271"/>
      <c r="R154" s="271"/>
      <c r="S154" s="271"/>
      <c r="T154" s="271"/>
      <c r="U154" s="271"/>
      <c r="V154" s="271"/>
      <c r="W154" s="271"/>
      <c r="X154" s="271"/>
      <c r="Y154" s="271"/>
    </row>
    <row r="155" spans="1:25" ht="15.75" customHeight="1" x14ac:dyDescent="0.25">
      <c r="A155" s="271"/>
      <c r="B155" s="271"/>
      <c r="C155" s="271"/>
      <c r="D155" s="271"/>
      <c r="E155" s="271"/>
      <c r="F155" s="271"/>
      <c r="G155" s="271"/>
      <c r="H155" s="271"/>
      <c r="I155" s="271"/>
      <c r="J155" s="271"/>
      <c r="K155" s="271"/>
      <c r="L155" s="271"/>
      <c r="M155" s="271"/>
      <c r="N155" s="271"/>
      <c r="O155" s="271"/>
      <c r="P155" s="271"/>
      <c r="Q155" s="271"/>
      <c r="R155" s="271"/>
      <c r="S155" s="271"/>
      <c r="T155" s="271"/>
      <c r="U155" s="271"/>
      <c r="V155" s="271"/>
      <c r="W155" s="271"/>
      <c r="X155" s="271"/>
      <c r="Y155" s="271"/>
    </row>
    <row r="156" spans="1:25" ht="15.75" customHeight="1" x14ac:dyDescent="0.25">
      <c r="A156" s="271"/>
      <c r="B156" s="271"/>
      <c r="C156" s="271"/>
      <c r="D156" s="271"/>
      <c r="E156" s="271"/>
      <c r="F156" s="271"/>
      <c r="G156" s="271"/>
      <c r="H156" s="271"/>
      <c r="I156" s="271"/>
      <c r="J156" s="271"/>
      <c r="K156" s="271"/>
      <c r="L156" s="271"/>
      <c r="M156" s="271"/>
      <c r="N156" s="271"/>
      <c r="O156" s="271"/>
      <c r="P156" s="271"/>
      <c r="Q156" s="271"/>
      <c r="R156" s="271"/>
      <c r="S156" s="271"/>
      <c r="T156" s="271"/>
      <c r="U156" s="271"/>
      <c r="V156" s="271"/>
      <c r="W156" s="271"/>
      <c r="X156" s="271"/>
      <c r="Y156" s="271"/>
    </row>
    <row r="157" spans="1:25" ht="15.75" customHeight="1" x14ac:dyDescent="0.25">
      <c r="A157" s="271"/>
      <c r="B157" s="271"/>
      <c r="C157" s="271"/>
      <c r="D157" s="271"/>
      <c r="E157" s="271"/>
      <c r="F157" s="271"/>
      <c r="G157" s="271"/>
      <c r="H157" s="271"/>
      <c r="I157" s="271"/>
      <c r="J157" s="271"/>
      <c r="K157" s="271"/>
      <c r="L157" s="271"/>
      <c r="M157" s="271"/>
      <c r="N157" s="271"/>
      <c r="O157" s="271"/>
      <c r="P157" s="271"/>
      <c r="Q157" s="271"/>
      <c r="R157" s="271"/>
      <c r="S157" s="271"/>
      <c r="T157" s="271"/>
      <c r="U157" s="271"/>
      <c r="V157" s="271"/>
      <c r="W157" s="271"/>
      <c r="X157" s="271"/>
      <c r="Y157" s="271"/>
    </row>
    <row r="158" spans="1:25" ht="15.75" customHeight="1" x14ac:dyDescent="0.25">
      <c r="A158" s="271"/>
      <c r="B158" s="271"/>
      <c r="C158" s="271"/>
      <c r="D158" s="271"/>
      <c r="E158" s="271"/>
      <c r="F158" s="271"/>
      <c r="G158" s="271"/>
      <c r="H158" s="271"/>
      <c r="I158" s="271"/>
      <c r="J158" s="271"/>
      <c r="K158" s="271"/>
      <c r="L158" s="271"/>
      <c r="M158" s="271"/>
      <c r="N158" s="271"/>
      <c r="O158" s="271"/>
      <c r="P158" s="271"/>
      <c r="Q158" s="271"/>
      <c r="R158" s="271"/>
      <c r="S158" s="271"/>
      <c r="T158" s="271"/>
      <c r="U158" s="271"/>
      <c r="V158" s="271"/>
      <c r="W158" s="271"/>
      <c r="X158" s="271"/>
      <c r="Y158" s="271"/>
    </row>
    <row r="159" spans="1:25" ht="15.75" customHeight="1" x14ac:dyDescent="0.25">
      <c r="A159" s="271"/>
      <c r="B159" s="271"/>
      <c r="C159" s="271"/>
      <c r="D159" s="271"/>
      <c r="E159" s="271"/>
      <c r="F159" s="271"/>
      <c r="G159" s="271"/>
      <c r="H159" s="271"/>
      <c r="I159" s="271"/>
      <c r="J159" s="271"/>
      <c r="K159" s="271"/>
      <c r="L159" s="271"/>
      <c r="M159" s="271"/>
      <c r="N159" s="271"/>
      <c r="O159" s="271"/>
      <c r="P159" s="271"/>
      <c r="Q159" s="271"/>
      <c r="R159" s="271"/>
      <c r="S159" s="271"/>
      <c r="T159" s="271"/>
      <c r="U159" s="271"/>
      <c r="V159" s="271"/>
      <c r="W159" s="271"/>
      <c r="X159" s="271"/>
      <c r="Y159" s="271"/>
    </row>
    <row r="160" spans="1:25" ht="15.75" customHeight="1" x14ac:dyDescent="0.25">
      <c r="A160" s="271"/>
      <c r="B160" s="271"/>
      <c r="C160" s="271"/>
      <c r="D160" s="271"/>
      <c r="E160" s="271"/>
      <c r="F160" s="271"/>
      <c r="G160" s="271"/>
      <c r="H160" s="271"/>
      <c r="I160" s="271"/>
      <c r="J160" s="271"/>
      <c r="K160" s="271"/>
      <c r="L160" s="271"/>
      <c r="M160" s="271"/>
      <c r="N160" s="271"/>
      <c r="O160" s="271"/>
      <c r="P160" s="271"/>
      <c r="Q160" s="271"/>
      <c r="R160" s="271"/>
      <c r="S160" s="271"/>
      <c r="T160" s="271"/>
      <c r="U160" s="271"/>
      <c r="V160" s="271"/>
      <c r="W160" s="271"/>
      <c r="X160" s="271"/>
      <c r="Y160" s="271"/>
    </row>
    <row r="161" spans="1:25" ht="15.75" customHeight="1" x14ac:dyDescent="0.25">
      <c r="A161" s="271"/>
      <c r="B161" s="271"/>
      <c r="C161" s="271"/>
      <c r="D161" s="271"/>
      <c r="E161" s="271"/>
      <c r="F161" s="271"/>
      <c r="G161" s="271"/>
      <c r="H161" s="271"/>
      <c r="I161" s="271"/>
      <c r="J161" s="271"/>
      <c r="K161" s="271"/>
      <c r="L161" s="271"/>
      <c r="M161" s="271"/>
      <c r="N161" s="271"/>
      <c r="O161" s="271"/>
      <c r="P161" s="271"/>
      <c r="Q161" s="271"/>
      <c r="R161" s="271"/>
      <c r="S161" s="271"/>
      <c r="T161" s="271"/>
      <c r="U161" s="271"/>
      <c r="V161" s="271"/>
      <c r="W161" s="271"/>
      <c r="X161" s="271"/>
      <c r="Y161" s="271"/>
    </row>
    <row r="162" spans="1:25" ht="15.75" customHeight="1" x14ac:dyDescent="0.25">
      <c r="A162" s="271"/>
      <c r="B162" s="271"/>
      <c r="C162" s="271"/>
      <c r="D162" s="271"/>
      <c r="E162" s="271"/>
      <c r="F162" s="271"/>
      <c r="G162" s="271"/>
      <c r="H162" s="271"/>
      <c r="I162" s="271"/>
      <c r="J162" s="271"/>
      <c r="K162" s="271"/>
      <c r="L162" s="271"/>
      <c r="M162" s="271"/>
      <c r="N162" s="271"/>
      <c r="O162" s="271"/>
      <c r="P162" s="271"/>
      <c r="Q162" s="271"/>
      <c r="R162" s="271"/>
      <c r="S162" s="271"/>
      <c r="T162" s="271"/>
      <c r="U162" s="271"/>
      <c r="V162" s="271"/>
      <c r="W162" s="271"/>
      <c r="X162" s="271"/>
      <c r="Y162" s="271"/>
    </row>
    <row r="163" spans="1:25" ht="15.75" customHeight="1" x14ac:dyDescent="0.25">
      <c r="A163" s="271"/>
      <c r="B163" s="271"/>
      <c r="C163" s="271"/>
      <c r="D163" s="271"/>
      <c r="E163" s="271"/>
      <c r="F163" s="271"/>
      <c r="G163" s="271"/>
      <c r="H163" s="271"/>
      <c r="I163" s="271"/>
      <c r="J163" s="271"/>
      <c r="K163" s="271"/>
      <c r="L163" s="271"/>
      <c r="M163" s="271"/>
      <c r="N163" s="271"/>
      <c r="O163" s="271"/>
      <c r="P163" s="271"/>
      <c r="Q163" s="271"/>
      <c r="R163" s="271"/>
      <c r="S163" s="271"/>
      <c r="T163" s="271"/>
      <c r="U163" s="271"/>
      <c r="V163" s="271"/>
      <c r="W163" s="271"/>
      <c r="X163" s="271"/>
      <c r="Y163" s="271"/>
    </row>
    <row r="164" spans="1:25" ht="15.75" customHeight="1" x14ac:dyDescent="0.25">
      <c r="A164" s="271"/>
      <c r="B164" s="271"/>
      <c r="C164" s="271"/>
      <c r="D164" s="271"/>
      <c r="E164" s="271"/>
      <c r="F164" s="271"/>
      <c r="G164" s="271"/>
      <c r="H164" s="271"/>
      <c r="I164" s="271"/>
      <c r="J164" s="271"/>
      <c r="K164" s="271"/>
      <c r="L164" s="271"/>
      <c r="M164" s="271"/>
      <c r="N164" s="271"/>
      <c r="O164" s="271"/>
      <c r="P164" s="271"/>
      <c r="Q164" s="271"/>
      <c r="R164" s="271"/>
      <c r="S164" s="271"/>
      <c r="T164" s="271"/>
      <c r="U164" s="271"/>
      <c r="V164" s="271"/>
      <c r="W164" s="271"/>
      <c r="X164" s="271"/>
      <c r="Y164" s="271"/>
    </row>
    <row r="165" spans="1:25" ht="15.75" customHeight="1" x14ac:dyDescent="0.25">
      <c r="A165" s="271"/>
      <c r="B165" s="271"/>
      <c r="C165" s="271"/>
      <c r="D165" s="271"/>
      <c r="E165" s="271"/>
      <c r="F165" s="271"/>
      <c r="G165" s="271"/>
      <c r="H165" s="271"/>
      <c r="I165" s="271"/>
      <c r="J165" s="271"/>
      <c r="K165" s="271"/>
      <c r="L165" s="271"/>
      <c r="M165" s="271"/>
      <c r="N165" s="271"/>
      <c r="O165" s="271"/>
      <c r="P165" s="271"/>
      <c r="Q165" s="271"/>
      <c r="R165" s="271"/>
      <c r="S165" s="271"/>
      <c r="T165" s="271"/>
      <c r="U165" s="271"/>
      <c r="V165" s="271"/>
      <c r="W165" s="271"/>
      <c r="X165" s="271"/>
      <c r="Y165" s="271"/>
    </row>
    <row r="166" spans="1:25" ht="15.75" customHeight="1" x14ac:dyDescent="0.25">
      <c r="A166" s="271"/>
      <c r="B166" s="271"/>
      <c r="C166" s="271"/>
      <c r="D166" s="271"/>
      <c r="E166" s="271"/>
      <c r="F166" s="271"/>
      <c r="G166" s="271"/>
      <c r="H166" s="271"/>
      <c r="I166" s="271"/>
      <c r="J166" s="271"/>
      <c r="K166" s="271"/>
      <c r="L166" s="271"/>
      <c r="M166" s="271"/>
      <c r="N166" s="271"/>
      <c r="O166" s="271"/>
      <c r="P166" s="271"/>
      <c r="Q166" s="271"/>
      <c r="R166" s="271"/>
      <c r="S166" s="271"/>
      <c r="T166" s="271"/>
      <c r="U166" s="271"/>
      <c r="V166" s="271"/>
      <c r="W166" s="271"/>
      <c r="X166" s="271"/>
      <c r="Y166" s="271"/>
    </row>
    <row r="167" spans="1:25" ht="15.75" customHeight="1" x14ac:dyDescent="0.25">
      <c r="A167" s="271"/>
      <c r="B167" s="271"/>
      <c r="C167" s="271"/>
      <c r="D167" s="271"/>
      <c r="E167" s="271"/>
      <c r="F167" s="271"/>
      <c r="G167" s="271"/>
      <c r="H167" s="271"/>
      <c r="I167" s="271"/>
      <c r="J167" s="271"/>
      <c r="K167" s="271"/>
      <c r="L167" s="271"/>
      <c r="M167" s="271"/>
      <c r="N167" s="271"/>
      <c r="O167" s="271"/>
      <c r="P167" s="271"/>
      <c r="Q167" s="271"/>
      <c r="R167" s="271"/>
      <c r="S167" s="271"/>
      <c r="T167" s="271"/>
      <c r="U167" s="271"/>
      <c r="V167" s="271"/>
      <c r="W167" s="271"/>
      <c r="X167" s="271"/>
      <c r="Y167" s="271"/>
    </row>
    <row r="168" spans="1:25" ht="15.75" customHeight="1" x14ac:dyDescent="0.25">
      <c r="A168" s="271"/>
      <c r="B168" s="271"/>
      <c r="C168" s="271"/>
      <c r="D168" s="271"/>
      <c r="E168" s="271"/>
      <c r="F168" s="271"/>
      <c r="G168" s="271"/>
      <c r="H168" s="271"/>
      <c r="I168" s="271"/>
      <c r="J168" s="271"/>
      <c r="K168" s="271"/>
      <c r="L168" s="271"/>
      <c r="M168" s="271"/>
      <c r="N168" s="271"/>
      <c r="O168" s="271"/>
      <c r="P168" s="271"/>
      <c r="Q168" s="271"/>
      <c r="R168" s="271"/>
      <c r="S168" s="271"/>
      <c r="T168" s="271"/>
      <c r="U168" s="271"/>
      <c r="V168" s="271"/>
      <c r="W168" s="271"/>
      <c r="X168" s="271"/>
      <c r="Y168" s="271"/>
    </row>
    <row r="169" spans="1:25" ht="15.75" customHeight="1" x14ac:dyDescent="0.25">
      <c r="A169" s="271"/>
      <c r="B169" s="271"/>
      <c r="C169" s="271"/>
      <c r="D169" s="271"/>
      <c r="E169" s="271"/>
      <c r="F169" s="271"/>
      <c r="G169" s="271"/>
      <c r="H169" s="271"/>
      <c r="I169" s="271"/>
      <c r="J169" s="271"/>
      <c r="K169" s="271"/>
      <c r="L169" s="271"/>
      <c r="M169" s="271"/>
      <c r="N169" s="271"/>
      <c r="O169" s="271"/>
      <c r="P169" s="271"/>
      <c r="Q169" s="271"/>
      <c r="R169" s="271"/>
      <c r="S169" s="271"/>
      <c r="T169" s="271"/>
      <c r="U169" s="271"/>
      <c r="V169" s="271"/>
      <c r="W169" s="271"/>
      <c r="X169" s="271"/>
      <c r="Y169" s="271"/>
    </row>
    <row r="170" spans="1:25" ht="15.75" customHeight="1" x14ac:dyDescent="0.25">
      <c r="A170" s="271"/>
      <c r="B170" s="271"/>
      <c r="C170" s="271"/>
      <c r="D170" s="271"/>
      <c r="E170" s="271"/>
      <c r="F170" s="271"/>
      <c r="G170" s="271"/>
      <c r="H170" s="271"/>
      <c r="I170" s="271"/>
      <c r="J170" s="271"/>
      <c r="K170" s="271"/>
      <c r="L170" s="271"/>
      <c r="M170" s="271"/>
      <c r="N170" s="271"/>
      <c r="O170" s="271"/>
      <c r="P170" s="271"/>
      <c r="Q170" s="271"/>
      <c r="R170" s="271"/>
      <c r="S170" s="271"/>
      <c r="T170" s="271"/>
      <c r="U170" s="271"/>
      <c r="V170" s="271"/>
      <c r="W170" s="271"/>
      <c r="X170" s="271"/>
      <c r="Y170" s="271"/>
    </row>
    <row r="171" spans="1:25" ht="15.75" customHeight="1" x14ac:dyDescent="0.25">
      <c r="A171" s="271"/>
      <c r="B171" s="271"/>
      <c r="C171" s="271"/>
      <c r="D171" s="271"/>
      <c r="E171" s="271"/>
      <c r="F171" s="271"/>
      <c r="G171" s="271"/>
      <c r="H171" s="271"/>
      <c r="I171" s="271"/>
      <c r="J171" s="271"/>
      <c r="K171" s="271"/>
      <c r="L171" s="271"/>
      <c r="M171" s="271"/>
      <c r="N171" s="271"/>
      <c r="O171" s="271"/>
      <c r="P171" s="271"/>
      <c r="Q171" s="271"/>
      <c r="R171" s="271"/>
      <c r="S171" s="271"/>
      <c r="T171" s="271"/>
      <c r="U171" s="271"/>
      <c r="V171" s="271"/>
      <c r="W171" s="271"/>
      <c r="X171" s="271"/>
      <c r="Y171" s="271"/>
    </row>
    <row r="172" spans="1:25" ht="15.75" customHeight="1" x14ac:dyDescent="0.25">
      <c r="A172" s="271"/>
      <c r="B172" s="271"/>
      <c r="C172" s="271"/>
      <c r="D172" s="271"/>
      <c r="E172" s="271"/>
      <c r="F172" s="271"/>
      <c r="G172" s="271"/>
      <c r="H172" s="271"/>
      <c r="I172" s="271"/>
      <c r="J172" s="271"/>
      <c r="K172" s="271"/>
      <c r="L172" s="271"/>
      <c r="M172" s="271"/>
      <c r="N172" s="271"/>
      <c r="O172" s="271"/>
      <c r="P172" s="271"/>
      <c r="Q172" s="271"/>
      <c r="R172" s="271"/>
      <c r="S172" s="271"/>
      <c r="T172" s="271"/>
      <c r="U172" s="271"/>
      <c r="V172" s="271"/>
      <c r="W172" s="271"/>
      <c r="X172" s="271"/>
      <c r="Y172" s="271"/>
    </row>
    <row r="173" spans="1:25" ht="15.75" customHeight="1" x14ac:dyDescent="0.25">
      <c r="A173" s="271"/>
      <c r="B173" s="271"/>
      <c r="C173" s="271"/>
      <c r="D173" s="271"/>
      <c r="E173" s="271"/>
      <c r="F173" s="271"/>
      <c r="G173" s="271"/>
      <c r="H173" s="271"/>
      <c r="I173" s="271"/>
      <c r="J173" s="271"/>
      <c r="K173" s="271"/>
      <c r="L173" s="271"/>
      <c r="M173" s="271"/>
      <c r="N173" s="271"/>
      <c r="O173" s="271"/>
      <c r="P173" s="271"/>
      <c r="Q173" s="271"/>
      <c r="R173" s="271"/>
      <c r="S173" s="271"/>
      <c r="T173" s="271"/>
      <c r="U173" s="271"/>
      <c r="V173" s="271"/>
      <c r="W173" s="271"/>
      <c r="X173" s="271"/>
      <c r="Y173" s="271"/>
    </row>
    <row r="174" spans="1:25" ht="15.75" customHeight="1" x14ac:dyDescent="0.25">
      <c r="A174" s="271"/>
      <c r="B174" s="271"/>
      <c r="C174" s="271"/>
      <c r="D174" s="271"/>
      <c r="E174" s="271"/>
      <c r="F174" s="271"/>
      <c r="G174" s="271"/>
      <c r="H174" s="271"/>
      <c r="I174" s="271"/>
      <c r="J174" s="271"/>
      <c r="K174" s="271"/>
      <c r="L174" s="271"/>
      <c r="M174" s="271"/>
      <c r="N174" s="271"/>
      <c r="O174" s="271"/>
      <c r="P174" s="271"/>
      <c r="Q174" s="271"/>
      <c r="R174" s="271"/>
      <c r="S174" s="271"/>
      <c r="T174" s="271"/>
      <c r="U174" s="271"/>
      <c r="V174" s="271"/>
      <c r="W174" s="271"/>
      <c r="X174" s="271"/>
      <c r="Y174" s="271"/>
    </row>
    <row r="175" spans="1:25" ht="15.75" customHeight="1" x14ac:dyDescent="0.25">
      <c r="A175" s="271"/>
      <c r="B175" s="271"/>
      <c r="C175" s="271"/>
      <c r="D175" s="271"/>
      <c r="E175" s="271"/>
      <c r="F175" s="271"/>
      <c r="G175" s="271"/>
      <c r="H175" s="271"/>
      <c r="I175" s="271"/>
      <c r="J175" s="271"/>
      <c r="K175" s="271"/>
      <c r="L175" s="271"/>
      <c r="M175" s="271"/>
      <c r="N175" s="271"/>
      <c r="O175" s="271"/>
      <c r="P175" s="271"/>
      <c r="Q175" s="271"/>
      <c r="R175" s="271"/>
      <c r="S175" s="271"/>
      <c r="T175" s="271"/>
      <c r="U175" s="271"/>
      <c r="V175" s="271"/>
      <c r="W175" s="271"/>
      <c r="X175" s="271"/>
      <c r="Y175" s="271"/>
    </row>
    <row r="176" spans="1:25" ht="15.75" customHeight="1" x14ac:dyDescent="0.25">
      <c r="A176" s="271"/>
      <c r="B176" s="271"/>
      <c r="C176" s="271"/>
      <c r="D176" s="271"/>
      <c r="E176" s="271"/>
      <c r="F176" s="271"/>
      <c r="G176" s="271"/>
      <c r="H176" s="271"/>
      <c r="I176" s="271"/>
      <c r="J176" s="271"/>
      <c r="K176" s="271"/>
      <c r="L176" s="271"/>
      <c r="M176" s="271"/>
      <c r="N176" s="271"/>
      <c r="O176" s="271"/>
      <c r="P176" s="271"/>
      <c r="Q176" s="271"/>
      <c r="R176" s="271"/>
      <c r="S176" s="271"/>
      <c r="T176" s="271"/>
      <c r="U176" s="271"/>
      <c r="V176" s="271"/>
      <c r="W176" s="271"/>
      <c r="X176" s="271"/>
      <c r="Y176" s="271"/>
    </row>
    <row r="177" spans="1:25" ht="15.75" customHeight="1" x14ac:dyDescent="0.25">
      <c r="A177" s="271"/>
      <c r="B177" s="271"/>
      <c r="C177" s="271"/>
      <c r="D177" s="271"/>
      <c r="E177" s="271"/>
      <c r="F177" s="271"/>
      <c r="G177" s="271"/>
      <c r="H177" s="271"/>
      <c r="I177" s="271"/>
      <c r="J177" s="271"/>
      <c r="K177" s="271"/>
      <c r="L177" s="271"/>
      <c r="M177" s="271"/>
      <c r="N177" s="271"/>
      <c r="O177" s="271"/>
      <c r="P177" s="271"/>
      <c r="Q177" s="271"/>
      <c r="R177" s="271"/>
      <c r="S177" s="271"/>
      <c r="T177" s="271"/>
      <c r="U177" s="271"/>
      <c r="V177" s="271"/>
      <c r="W177" s="271"/>
      <c r="X177" s="271"/>
      <c r="Y177" s="271"/>
    </row>
    <row r="178" spans="1:25" ht="15.75" customHeight="1" x14ac:dyDescent="0.25">
      <c r="A178" s="271"/>
      <c r="B178" s="271"/>
      <c r="C178" s="271"/>
      <c r="D178" s="271"/>
      <c r="E178" s="271"/>
      <c r="F178" s="271"/>
      <c r="G178" s="271"/>
      <c r="H178" s="271"/>
      <c r="I178" s="271"/>
      <c r="J178" s="271"/>
      <c r="K178" s="271"/>
      <c r="L178" s="271"/>
      <c r="M178" s="271"/>
      <c r="N178" s="271"/>
      <c r="O178" s="271"/>
      <c r="P178" s="271"/>
      <c r="Q178" s="271"/>
      <c r="R178" s="271"/>
      <c r="S178" s="271"/>
      <c r="T178" s="271"/>
      <c r="U178" s="271"/>
      <c r="V178" s="271"/>
      <c r="W178" s="271"/>
      <c r="X178" s="271"/>
      <c r="Y178" s="271"/>
    </row>
    <row r="179" spans="1:25" ht="15.75" customHeight="1" x14ac:dyDescent="0.25">
      <c r="A179" s="271"/>
      <c r="B179" s="271"/>
      <c r="C179" s="271"/>
      <c r="D179" s="271"/>
      <c r="E179" s="271"/>
      <c r="F179" s="271"/>
      <c r="G179" s="271"/>
      <c r="H179" s="271"/>
      <c r="I179" s="271"/>
      <c r="J179" s="271"/>
      <c r="K179" s="271"/>
      <c r="L179" s="271"/>
      <c r="M179" s="271"/>
      <c r="N179" s="271"/>
      <c r="O179" s="271"/>
      <c r="P179" s="271"/>
      <c r="Q179" s="271"/>
      <c r="R179" s="271"/>
      <c r="S179" s="271"/>
      <c r="T179" s="271"/>
      <c r="U179" s="271"/>
      <c r="V179" s="271"/>
      <c r="W179" s="271"/>
      <c r="X179" s="271"/>
      <c r="Y179" s="271"/>
    </row>
    <row r="180" spans="1:25" ht="15.75" customHeight="1" x14ac:dyDescent="0.25">
      <c r="A180" s="271"/>
      <c r="B180" s="271"/>
      <c r="C180" s="271"/>
      <c r="D180" s="271"/>
      <c r="E180" s="271"/>
      <c r="F180" s="271"/>
      <c r="G180" s="271"/>
      <c r="H180" s="271"/>
      <c r="I180" s="271"/>
      <c r="J180" s="271"/>
      <c r="K180" s="271"/>
      <c r="L180" s="271"/>
      <c r="M180" s="271"/>
      <c r="N180" s="271"/>
      <c r="O180" s="271"/>
      <c r="P180" s="271"/>
      <c r="Q180" s="271"/>
      <c r="R180" s="271"/>
      <c r="S180" s="271"/>
      <c r="T180" s="271"/>
      <c r="U180" s="271"/>
      <c r="V180" s="271"/>
      <c r="W180" s="271"/>
      <c r="X180" s="271"/>
      <c r="Y180" s="271"/>
    </row>
    <row r="181" spans="1:25" ht="15.75" customHeight="1" x14ac:dyDescent="0.25">
      <c r="A181" s="271"/>
      <c r="B181" s="271"/>
      <c r="C181" s="271"/>
      <c r="D181" s="271"/>
      <c r="E181" s="271"/>
      <c r="F181" s="271"/>
      <c r="G181" s="271"/>
      <c r="H181" s="271"/>
      <c r="I181" s="271"/>
      <c r="J181" s="271"/>
      <c r="K181" s="271"/>
      <c r="L181" s="271"/>
      <c r="M181" s="271"/>
      <c r="N181" s="271"/>
      <c r="O181" s="271"/>
      <c r="P181" s="271"/>
      <c r="Q181" s="271"/>
      <c r="R181" s="271"/>
      <c r="S181" s="271"/>
      <c r="T181" s="271"/>
      <c r="U181" s="271"/>
      <c r="V181" s="271"/>
      <c r="W181" s="271"/>
      <c r="X181" s="271"/>
      <c r="Y181" s="271"/>
    </row>
    <row r="182" spans="1:25" ht="15.75" customHeight="1" x14ac:dyDescent="0.25">
      <c r="A182" s="271"/>
      <c r="B182" s="271"/>
      <c r="C182" s="271"/>
      <c r="D182" s="271"/>
      <c r="E182" s="271"/>
      <c r="F182" s="271"/>
      <c r="G182" s="271"/>
      <c r="H182" s="271"/>
      <c r="I182" s="271"/>
      <c r="J182" s="271"/>
      <c r="K182" s="271"/>
      <c r="L182" s="271"/>
      <c r="M182" s="271"/>
      <c r="N182" s="271"/>
      <c r="O182" s="271"/>
      <c r="P182" s="271"/>
      <c r="Q182" s="271"/>
      <c r="R182" s="271"/>
      <c r="S182" s="271"/>
      <c r="T182" s="271"/>
      <c r="U182" s="271"/>
      <c r="V182" s="271"/>
      <c r="W182" s="271"/>
      <c r="X182" s="271"/>
      <c r="Y182" s="271"/>
    </row>
    <row r="183" spans="1:25" ht="15.75" customHeight="1" x14ac:dyDescent="0.25">
      <c r="A183" s="271"/>
      <c r="B183" s="271"/>
      <c r="C183" s="271"/>
      <c r="D183" s="271"/>
      <c r="E183" s="271"/>
      <c r="F183" s="271"/>
      <c r="G183" s="271"/>
      <c r="H183" s="271"/>
      <c r="I183" s="271"/>
      <c r="J183" s="271"/>
      <c r="K183" s="271"/>
      <c r="L183" s="271"/>
      <c r="M183" s="271"/>
      <c r="N183" s="271"/>
      <c r="O183" s="271"/>
      <c r="P183" s="271"/>
      <c r="Q183" s="271"/>
      <c r="R183" s="271"/>
      <c r="S183" s="271"/>
      <c r="T183" s="271"/>
      <c r="U183" s="271"/>
      <c r="V183" s="271"/>
      <c r="W183" s="271"/>
      <c r="X183" s="271"/>
      <c r="Y183" s="271"/>
    </row>
    <row r="184" spans="1:25" ht="15.75" customHeight="1" x14ac:dyDescent="0.25">
      <c r="A184" s="271"/>
      <c r="B184" s="271"/>
      <c r="C184" s="271"/>
      <c r="D184" s="271"/>
      <c r="E184" s="271"/>
      <c r="F184" s="271"/>
      <c r="G184" s="271"/>
      <c r="H184" s="271"/>
      <c r="I184" s="271"/>
      <c r="J184" s="271"/>
      <c r="K184" s="271"/>
      <c r="L184" s="271"/>
      <c r="M184" s="271"/>
      <c r="N184" s="271"/>
      <c r="O184" s="271"/>
      <c r="P184" s="271"/>
      <c r="Q184" s="271"/>
      <c r="R184" s="271"/>
      <c r="S184" s="271"/>
      <c r="T184" s="271"/>
      <c r="U184" s="271"/>
      <c r="V184" s="271"/>
      <c r="W184" s="271"/>
      <c r="X184" s="271"/>
      <c r="Y184" s="271"/>
    </row>
    <row r="185" spans="1:25" ht="15.75" customHeight="1" x14ac:dyDescent="0.25">
      <c r="A185" s="271"/>
      <c r="B185" s="271"/>
      <c r="C185" s="271"/>
      <c r="D185" s="271"/>
      <c r="E185" s="271"/>
      <c r="F185" s="271"/>
      <c r="G185" s="271"/>
      <c r="H185" s="271"/>
      <c r="I185" s="271"/>
      <c r="J185" s="271"/>
      <c r="K185" s="271"/>
      <c r="L185" s="271"/>
      <c r="M185" s="271"/>
      <c r="N185" s="271"/>
      <c r="O185" s="271"/>
      <c r="P185" s="271"/>
      <c r="Q185" s="271"/>
      <c r="R185" s="271"/>
      <c r="S185" s="271"/>
      <c r="T185" s="271"/>
      <c r="U185" s="271"/>
      <c r="V185" s="271"/>
      <c r="W185" s="271"/>
      <c r="X185" s="271"/>
      <c r="Y185" s="271"/>
    </row>
    <row r="186" spans="1:25" ht="15.75" customHeight="1" x14ac:dyDescent="0.25">
      <c r="A186" s="271"/>
      <c r="B186" s="271"/>
      <c r="C186" s="271"/>
      <c r="D186" s="271"/>
      <c r="E186" s="271"/>
      <c r="F186" s="271"/>
      <c r="G186" s="271"/>
      <c r="H186" s="271"/>
      <c r="I186" s="271"/>
      <c r="J186" s="271"/>
      <c r="K186" s="271"/>
      <c r="L186" s="271"/>
      <c r="M186" s="271"/>
      <c r="N186" s="271"/>
      <c r="O186" s="271"/>
      <c r="P186" s="271"/>
      <c r="Q186" s="271"/>
      <c r="R186" s="271"/>
      <c r="S186" s="271"/>
      <c r="T186" s="271"/>
      <c r="U186" s="271"/>
      <c r="V186" s="271"/>
      <c r="W186" s="271"/>
      <c r="X186" s="271"/>
      <c r="Y186" s="271"/>
    </row>
    <row r="187" spans="1:25" ht="15.75" customHeight="1" x14ac:dyDescent="0.25">
      <c r="A187" s="271"/>
      <c r="B187" s="271"/>
      <c r="C187" s="271"/>
      <c r="D187" s="271"/>
      <c r="E187" s="271"/>
      <c r="F187" s="271"/>
      <c r="G187" s="271"/>
      <c r="H187" s="271"/>
      <c r="I187" s="271"/>
      <c r="J187" s="271"/>
      <c r="K187" s="271"/>
      <c r="L187" s="271"/>
      <c r="M187" s="271"/>
      <c r="N187" s="271"/>
      <c r="O187" s="271"/>
      <c r="P187" s="271"/>
      <c r="Q187" s="271"/>
      <c r="R187" s="271"/>
      <c r="S187" s="271"/>
      <c r="T187" s="271"/>
      <c r="U187" s="271"/>
      <c r="V187" s="271"/>
      <c r="W187" s="271"/>
      <c r="X187" s="271"/>
      <c r="Y187" s="271"/>
    </row>
    <row r="188" spans="1:25" ht="15.75" customHeight="1" x14ac:dyDescent="0.25">
      <c r="A188" s="271"/>
      <c r="B188" s="271"/>
      <c r="C188" s="271"/>
      <c r="D188" s="271"/>
      <c r="E188" s="271"/>
      <c r="F188" s="271"/>
      <c r="G188" s="271"/>
      <c r="H188" s="271"/>
      <c r="I188" s="271"/>
      <c r="J188" s="271"/>
      <c r="K188" s="271"/>
      <c r="L188" s="271"/>
      <c r="M188" s="271"/>
      <c r="N188" s="271"/>
      <c r="O188" s="271"/>
      <c r="P188" s="271"/>
      <c r="Q188" s="271"/>
      <c r="R188" s="271"/>
      <c r="S188" s="271"/>
      <c r="T188" s="271"/>
      <c r="U188" s="271"/>
      <c r="V188" s="271"/>
      <c r="W188" s="271"/>
      <c r="X188" s="271"/>
      <c r="Y188" s="271"/>
    </row>
    <row r="189" spans="1:25" ht="15.75" customHeight="1" x14ac:dyDescent="0.25">
      <c r="A189" s="271"/>
      <c r="B189" s="271"/>
      <c r="C189" s="271"/>
      <c r="D189" s="271"/>
      <c r="E189" s="271"/>
      <c r="F189" s="271"/>
      <c r="G189" s="271"/>
      <c r="H189" s="271"/>
      <c r="I189" s="271"/>
      <c r="J189" s="271"/>
      <c r="K189" s="271"/>
      <c r="L189" s="271"/>
      <c r="M189" s="271"/>
      <c r="N189" s="271"/>
      <c r="O189" s="271"/>
      <c r="P189" s="271"/>
      <c r="Q189" s="271"/>
      <c r="R189" s="271"/>
      <c r="S189" s="271"/>
      <c r="T189" s="271"/>
      <c r="U189" s="271"/>
      <c r="V189" s="271"/>
      <c r="W189" s="271"/>
      <c r="X189" s="271"/>
      <c r="Y189" s="271"/>
    </row>
    <row r="190" spans="1:25" ht="15.75" customHeight="1" x14ac:dyDescent="0.25">
      <c r="A190" s="271"/>
      <c r="B190" s="271"/>
      <c r="C190" s="271"/>
      <c r="D190" s="271"/>
      <c r="E190" s="271"/>
      <c r="F190" s="271"/>
      <c r="G190" s="271"/>
      <c r="H190" s="271"/>
      <c r="I190" s="271"/>
      <c r="J190" s="271"/>
      <c r="K190" s="271"/>
      <c r="L190" s="271"/>
      <c r="M190" s="271"/>
      <c r="N190" s="271"/>
      <c r="O190" s="271"/>
      <c r="P190" s="271"/>
      <c r="Q190" s="271"/>
      <c r="R190" s="271"/>
      <c r="S190" s="271"/>
      <c r="T190" s="271"/>
      <c r="U190" s="271"/>
      <c r="V190" s="271"/>
      <c r="W190" s="271"/>
      <c r="X190" s="271"/>
      <c r="Y190" s="271"/>
    </row>
    <row r="191" spans="1:25" ht="15.75" customHeight="1" x14ac:dyDescent="0.25">
      <c r="A191" s="271"/>
      <c r="B191" s="271"/>
      <c r="C191" s="271"/>
      <c r="D191" s="271"/>
      <c r="E191" s="271"/>
      <c r="F191" s="271"/>
      <c r="G191" s="271"/>
      <c r="H191" s="271"/>
      <c r="I191" s="271"/>
      <c r="J191" s="271"/>
      <c r="K191" s="271"/>
      <c r="L191" s="271"/>
      <c r="M191" s="271"/>
      <c r="N191" s="271"/>
      <c r="O191" s="271"/>
      <c r="P191" s="271"/>
      <c r="Q191" s="271"/>
      <c r="R191" s="271"/>
      <c r="S191" s="271"/>
      <c r="T191" s="271"/>
      <c r="U191" s="271"/>
      <c r="V191" s="271"/>
      <c r="W191" s="271"/>
      <c r="X191" s="271"/>
      <c r="Y191" s="271"/>
    </row>
    <row r="192" spans="1:25" ht="15.75" customHeight="1" x14ac:dyDescent="0.25">
      <c r="A192" s="271"/>
      <c r="B192" s="271"/>
      <c r="C192" s="271"/>
      <c r="D192" s="271"/>
      <c r="E192" s="271"/>
      <c r="F192" s="271"/>
      <c r="G192" s="271"/>
      <c r="H192" s="271"/>
      <c r="I192" s="271"/>
      <c r="J192" s="271"/>
      <c r="K192" s="271"/>
      <c r="L192" s="271"/>
      <c r="M192" s="271"/>
      <c r="N192" s="271"/>
      <c r="O192" s="271"/>
      <c r="P192" s="271"/>
      <c r="Q192" s="271"/>
      <c r="R192" s="271"/>
      <c r="S192" s="271"/>
      <c r="T192" s="271"/>
      <c r="U192" s="271"/>
      <c r="V192" s="271"/>
      <c r="W192" s="271"/>
      <c r="X192" s="271"/>
      <c r="Y192" s="271"/>
    </row>
    <row r="193" spans="1:25" ht="15.75" customHeight="1" x14ac:dyDescent="0.25">
      <c r="A193" s="271"/>
      <c r="B193" s="271"/>
      <c r="C193" s="271"/>
      <c r="D193" s="271"/>
      <c r="E193" s="271"/>
      <c r="F193" s="271"/>
      <c r="G193" s="271"/>
      <c r="H193" s="271"/>
      <c r="I193" s="271"/>
      <c r="J193" s="271"/>
      <c r="K193" s="271"/>
      <c r="L193" s="271"/>
      <c r="M193" s="271"/>
      <c r="N193" s="271"/>
      <c r="O193" s="271"/>
      <c r="P193" s="271"/>
      <c r="Q193" s="271"/>
      <c r="R193" s="271"/>
      <c r="S193" s="271"/>
      <c r="T193" s="271"/>
      <c r="U193" s="271"/>
      <c r="V193" s="271"/>
      <c r="W193" s="271"/>
      <c r="X193" s="271"/>
      <c r="Y193" s="271"/>
    </row>
    <row r="194" spans="1:25" ht="15.75" customHeight="1" x14ac:dyDescent="0.25">
      <c r="A194" s="271"/>
      <c r="B194" s="271"/>
      <c r="C194" s="271"/>
      <c r="D194" s="271"/>
      <c r="E194" s="271"/>
      <c r="F194" s="271"/>
      <c r="G194" s="271"/>
      <c r="H194" s="271"/>
      <c r="I194" s="271"/>
      <c r="J194" s="271"/>
      <c r="K194" s="271"/>
      <c r="L194" s="271"/>
      <c r="M194" s="271"/>
      <c r="N194" s="271"/>
      <c r="O194" s="271"/>
      <c r="P194" s="271"/>
      <c r="Q194" s="271"/>
      <c r="R194" s="271"/>
      <c r="S194" s="271"/>
      <c r="T194" s="271"/>
      <c r="U194" s="271"/>
      <c r="V194" s="271"/>
      <c r="W194" s="271"/>
      <c r="X194" s="271"/>
      <c r="Y194" s="271"/>
    </row>
    <row r="195" spans="1:25" ht="15.75" customHeight="1" x14ac:dyDescent="0.25">
      <c r="A195" s="271"/>
      <c r="B195" s="271"/>
      <c r="C195" s="271"/>
      <c r="D195" s="271"/>
      <c r="E195" s="271"/>
      <c r="F195" s="271"/>
      <c r="G195" s="271"/>
      <c r="H195" s="271"/>
      <c r="I195" s="271"/>
      <c r="J195" s="271"/>
      <c r="K195" s="271"/>
      <c r="L195" s="271"/>
      <c r="M195" s="271"/>
      <c r="N195" s="271"/>
      <c r="O195" s="271"/>
      <c r="P195" s="271"/>
      <c r="Q195" s="271"/>
      <c r="R195" s="271"/>
      <c r="S195" s="271"/>
      <c r="T195" s="271"/>
      <c r="U195" s="271"/>
      <c r="V195" s="271"/>
      <c r="W195" s="271"/>
      <c r="X195" s="271"/>
      <c r="Y195" s="271"/>
    </row>
    <row r="196" spans="1:25" ht="15.75" customHeight="1" x14ac:dyDescent="0.25">
      <c r="A196" s="271"/>
      <c r="B196" s="271"/>
      <c r="C196" s="271"/>
      <c r="D196" s="271"/>
      <c r="E196" s="271"/>
      <c r="F196" s="271"/>
      <c r="G196" s="271"/>
      <c r="H196" s="271"/>
      <c r="I196" s="271"/>
      <c r="J196" s="271"/>
      <c r="K196" s="271"/>
      <c r="L196" s="271"/>
      <c r="M196" s="271"/>
      <c r="N196" s="271"/>
      <c r="O196" s="271"/>
      <c r="P196" s="271"/>
      <c r="Q196" s="271"/>
      <c r="R196" s="271"/>
      <c r="S196" s="271"/>
      <c r="T196" s="271"/>
      <c r="U196" s="271"/>
      <c r="V196" s="271"/>
      <c r="W196" s="271"/>
      <c r="X196" s="271"/>
      <c r="Y196" s="271"/>
    </row>
    <row r="197" spans="1:25" ht="15.75" customHeight="1" x14ac:dyDescent="0.25">
      <c r="A197" s="271"/>
      <c r="B197" s="271"/>
      <c r="C197" s="271"/>
      <c r="D197" s="271"/>
      <c r="E197" s="271"/>
      <c r="F197" s="271"/>
      <c r="G197" s="271"/>
      <c r="H197" s="271"/>
      <c r="I197" s="271"/>
      <c r="J197" s="271"/>
      <c r="K197" s="271"/>
      <c r="L197" s="271"/>
      <c r="M197" s="271"/>
      <c r="N197" s="271"/>
      <c r="O197" s="271"/>
      <c r="P197" s="271"/>
      <c r="Q197" s="271"/>
      <c r="R197" s="271"/>
      <c r="S197" s="271"/>
      <c r="T197" s="271"/>
      <c r="U197" s="271"/>
      <c r="V197" s="271"/>
      <c r="W197" s="271"/>
      <c r="X197" s="271"/>
      <c r="Y197" s="271"/>
    </row>
    <row r="198" spans="1:25" ht="15.75" customHeight="1" x14ac:dyDescent="0.25">
      <c r="A198" s="271"/>
      <c r="B198" s="271"/>
      <c r="C198" s="271"/>
      <c r="D198" s="271"/>
      <c r="E198" s="271"/>
      <c r="F198" s="271"/>
      <c r="G198" s="271"/>
      <c r="H198" s="271"/>
      <c r="I198" s="271"/>
      <c r="J198" s="271"/>
      <c r="K198" s="271"/>
      <c r="L198" s="271"/>
      <c r="M198" s="271"/>
      <c r="N198" s="271"/>
      <c r="O198" s="271"/>
      <c r="P198" s="271"/>
      <c r="Q198" s="271"/>
      <c r="R198" s="271"/>
      <c r="S198" s="271"/>
      <c r="T198" s="271"/>
      <c r="U198" s="271"/>
      <c r="V198" s="271"/>
      <c r="W198" s="271"/>
      <c r="X198" s="271"/>
      <c r="Y198" s="271"/>
    </row>
    <row r="199" spans="1:25" ht="15.75" customHeight="1" x14ac:dyDescent="0.25">
      <c r="A199" s="271"/>
      <c r="B199" s="271"/>
      <c r="C199" s="271"/>
      <c r="D199" s="271"/>
      <c r="E199" s="271"/>
      <c r="F199" s="271"/>
      <c r="G199" s="271"/>
      <c r="H199" s="271"/>
      <c r="I199" s="271"/>
      <c r="J199" s="271"/>
      <c r="K199" s="271"/>
      <c r="L199" s="271"/>
      <c r="M199" s="271"/>
      <c r="N199" s="271"/>
      <c r="O199" s="271"/>
      <c r="P199" s="271"/>
      <c r="Q199" s="271"/>
      <c r="R199" s="271"/>
      <c r="S199" s="271"/>
      <c r="T199" s="271"/>
      <c r="U199" s="271"/>
      <c r="V199" s="271"/>
      <c r="W199" s="271"/>
      <c r="X199" s="271"/>
      <c r="Y199" s="271"/>
    </row>
    <row r="200" spans="1:25" ht="15.75" customHeight="1" x14ac:dyDescent="0.25">
      <c r="A200" s="271"/>
      <c r="B200" s="271"/>
      <c r="C200" s="271"/>
      <c r="D200" s="271"/>
      <c r="E200" s="271"/>
      <c r="F200" s="271"/>
      <c r="G200" s="271"/>
      <c r="H200" s="271"/>
      <c r="I200" s="271"/>
      <c r="J200" s="271"/>
      <c r="K200" s="271"/>
      <c r="L200" s="271"/>
      <c r="M200" s="271"/>
      <c r="N200" s="271"/>
      <c r="O200" s="271"/>
      <c r="P200" s="271"/>
      <c r="Q200" s="271"/>
      <c r="R200" s="271"/>
      <c r="S200" s="271"/>
      <c r="T200" s="271"/>
      <c r="U200" s="271"/>
      <c r="V200" s="271"/>
      <c r="W200" s="271"/>
      <c r="X200" s="271"/>
      <c r="Y200" s="271"/>
    </row>
    <row r="201" spans="1:25" ht="15.75" customHeight="1" x14ac:dyDescent="0.25">
      <c r="A201" s="271"/>
      <c r="B201" s="271"/>
      <c r="C201" s="271"/>
      <c r="D201" s="271"/>
      <c r="E201" s="271"/>
      <c r="F201" s="271"/>
      <c r="G201" s="271"/>
      <c r="H201" s="271"/>
      <c r="I201" s="271"/>
      <c r="J201" s="271"/>
      <c r="K201" s="271"/>
      <c r="L201" s="271"/>
      <c r="M201" s="271"/>
      <c r="N201" s="271"/>
      <c r="O201" s="271"/>
      <c r="P201" s="271"/>
      <c r="Q201" s="271"/>
      <c r="R201" s="271"/>
      <c r="S201" s="271"/>
      <c r="T201" s="271"/>
      <c r="U201" s="271"/>
      <c r="V201" s="271"/>
      <c r="W201" s="271"/>
      <c r="X201" s="271"/>
      <c r="Y201" s="271"/>
    </row>
    <row r="202" spans="1:25" ht="15.75" customHeight="1" x14ac:dyDescent="0.25">
      <c r="A202" s="271"/>
      <c r="B202" s="271"/>
      <c r="C202" s="271"/>
      <c r="D202" s="271"/>
      <c r="E202" s="271"/>
      <c r="F202" s="271"/>
      <c r="G202" s="271"/>
      <c r="H202" s="271"/>
      <c r="I202" s="271"/>
      <c r="J202" s="271"/>
      <c r="K202" s="271"/>
      <c r="L202" s="271"/>
      <c r="M202" s="271"/>
      <c r="N202" s="271"/>
      <c r="O202" s="271"/>
      <c r="P202" s="271"/>
      <c r="Q202" s="271"/>
      <c r="R202" s="271"/>
      <c r="S202" s="271"/>
      <c r="T202" s="271"/>
      <c r="U202" s="271"/>
      <c r="V202" s="271"/>
      <c r="W202" s="271"/>
      <c r="X202" s="271"/>
      <c r="Y202" s="271"/>
    </row>
    <row r="203" spans="1:25" ht="15.75" customHeight="1" x14ac:dyDescent="0.25">
      <c r="A203" s="271"/>
      <c r="B203" s="271"/>
      <c r="C203" s="271"/>
      <c r="D203" s="271"/>
      <c r="E203" s="271"/>
      <c r="F203" s="271"/>
      <c r="G203" s="271"/>
      <c r="H203" s="271"/>
      <c r="I203" s="271"/>
      <c r="J203" s="271"/>
      <c r="K203" s="271"/>
      <c r="L203" s="271"/>
      <c r="M203" s="271"/>
      <c r="N203" s="271"/>
      <c r="O203" s="271"/>
      <c r="P203" s="271"/>
      <c r="Q203" s="271"/>
      <c r="R203" s="271"/>
      <c r="S203" s="271"/>
      <c r="T203" s="271"/>
      <c r="U203" s="271"/>
      <c r="V203" s="271"/>
      <c r="W203" s="271"/>
      <c r="X203" s="271"/>
      <c r="Y203" s="271"/>
    </row>
    <row r="204" spans="1:25" ht="15.75" customHeight="1" x14ac:dyDescent="0.25">
      <c r="A204" s="271"/>
      <c r="B204" s="271"/>
      <c r="C204" s="271"/>
      <c r="D204" s="271"/>
      <c r="E204" s="271"/>
      <c r="F204" s="271"/>
      <c r="G204" s="271"/>
      <c r="H204" s="271"/>
      <c r="I204" s="271"/>
      <c r="J204" s="271"/>
      <c r="K204" s="271"/>
      <c r="L204" s="271"/>
      <c r="M204" s="271"/>
      <c r="N204" s="271"/>
      <c r="O204" s="271"/>
      <c r="P204" s="271"/>
      <c r="Q204" s="271"/>
      <c r="R204" s="271"/>
      <c r="S204" s="271"/>
      <c r="T204" s="271"/>
      <c r="U204" s="271"/>
      <c r="V204" s="271"/>
      <c r="W204" s="271"/>
      <c r="X204" s="271"/>
      <c r="Y204" s="271"/>
    </row>
    <row r="205" spans="1:25" ht="15.75" customHeight="1" x14ac:dyDescent="0.25">
      <c r="A205" s="271"/>
      <c r="B205" s="271"/>
      <c r="C205" s="271"/>
      <c r="D205" s="271"/>
      <c r="E205" s="271"/>
      <c r="F205" s="271"/>
      <c r="G205" s="271"/>
      <c r="H205" s="271"/>
      <c r="I205" s="271"/>
      <c r="J205" s="271"/>
      <c r="K205" s="271"/>
      <c r="L205" s="271"/>
      <c r="M205" s="271"/>
      <c r="N205" s="271"/>
      <c r="O205" s="271"/>
      <c r="P205" s="271"/>
      <c r="Q205" s="271"/>
      <c r="R205" s="271"/>
      <c r="S205" s="271"/>
      <c r="T205" s="271"/>
      <c r="U205" s="271"/>
      <c r="V205" s="271"/>
      <c r="W205" s="271"/>
      <c r="X205" s="271"/>
      <c r="Y205" s="271"/>
    </row>
    <row r="206" spans="1:25" ht="15.75" customHeight="1" x14ac:dyDescent="0.25">
      <c r="A206" s="271"/>
      <c r="B206" s="271"/>
      <c r="C206" s="271"/>
      <c r="D206" s="271"/>
      <c r="E206" s="271"/>
      <c r="F206" s="271"/>
      <c r="G206" s="271"/>
      <c r="H206" s="271"/>
      <c r="I206" s="271"/>
      <c r="J206" s="271"/>
      <c r="K206" s="271"/>
      <c r="L206" s="271"/>
      <c r="M206" s="271"/>
      <c r="N206" s="271"/>
      <c r="O206" s="271"/>
      <c r="P206" s="271"/>
      <c r="Q206" s="271"/>
      <c r="R206" s="271"/>
      <c r="S206" s="271"/>
      <c r="T206" s="271"/>
      <c r="U206" s="271"/>
      <c r="V206" s="271"/>
      <c r="W206" s="271"/>
      <c r="X206" s="271"/>
      <c r="Y206" s="271"/>
    </row>
    <row r="207" spans="1:25" ht="15.75" customHeight="1" x14ac:dyDescent="0.25">
      <c r="A207" s="271"/>
      <c r="B207" s="271"/>
      <c r="C207" s="271"/>
      <c r="D207" s="271"/>
      <c r="E207" s="271"/>
      <c r="F207" s="271"/>
      <c r="G207" s="271"/>
      <c r="H207" s="271"/>
      <c r="I207" s="271"/>
      <c r="J207" s="271"/>
      <c r="K207" s="271"/>
      <c r="L207" s="271"/>
      <c r="M207" s="271"/>
      <c r="N207" s="271"/>
      <c r="O207" s="271"/>
      <c r="P207" s="271"/>
      <c r="Q207" s="271"/>
      <c r="R207" s="271"/>
      <c r="S207" s="271"/>
      <c r="T207" s="271"/>
      <c r="U207" s="271"/>
      <c r="V207" s="271"/>
      <c r="W207" s="271"/>
      <c r="X207" s="271"/>
      <c r="Y207" s="271"/>
    </row>
    <row r="208" spans="1:25" ht="15.75" customHeight="1" x14ac:dyDescent="0.25">
      <c r="A208" s="271"/>
      <c r="B208" s="271"/>
      <c r="C208" s="271"/>
      <c r="D208" s="271"/>
      <c r="E208" s="271"/>
      <c r="F208" s="271"/>
      <c r="G208" s="271"/>
      <c r="H208" s="271"/>
      <c r="I208" s="271"/>
      <c r="J208" s="271"/>
      <c r="K208" s="271"/>
      <c r="L208" s="271"/>
      <c r="M208" s="271"/>
      <c r="N208" s="271"/>
      <c r="O208" s="271"/>
      <c r="P208" s="271"/>
      <c r="Q208" s="271"/>
      <c r="R208" s="271"/>
      <c r="S208" s="271"/>
      <c r="T208" s="271"/>
      <c r="U208" s="271"/>
      <c r="V208" s="271"/>
      <c r="W208" s="271"/>
      <c r="X208" s="271"/>
      <c r="Y208" s="271"/>
    </row>
    <row r="209" spans="1:25" ht="15.75" customHeight="1" x14ac:dyDescent="0.25">
      <c r="A209" s="271"/>
      <c r="B209" s="271"/>
      <c r="C209" s="271"/>
      <c r="D209" s="271"/>
      <c r="E209" s="271"/>
      <c r="F209" s="271"/>
      <c r="G209" s="271"/>
      <c r="H209" s="271"/>
      <c r="I209" s="271"/>
      <c r="J209" s="271"/>
      <c r="K209" s="271"/>
      <c r="L209" s="271"/>
      <c r="M209" s="271"/>
      <c r="N209" s="271"/>
      <c r="O209" s="271"/>
      <c r="P209" s="271"/>
      <c r="Q209" s="271"/>
      <c r="R209" s="271"/>
      <c r="S209" s="271"/>
      <c r="T209" s="271"/>
      <c r="U209" s="271"/>
      <c r="V209" s="271"/>
      <c r="W209" s="271"/>
      <c r="X209" s="271"/>
      <c r="Y209" s="271"/>
    </row>
    <row r="210" spans="1:25" ht="15.75" customHeight="1" x14ac:dyDescent="0.25">
      <c r="A210" s="271"/>
      <c r="B210" s="271"/>
      <c r="C210" s="271"/>
      <c r="D210" s="271"/>
      <c r="E210" s="271"/>
      <c r="F210" s="271"/>
      <c r="G210" s="271"/>
      <c r="H210" s="271"/>
      <c r="I210" s="271"/>
      <c r="J210" s="271"/>
      <c r="K210" s="271"/>
      <c r="L210" s="271"/>
      <c r="M210" s="271"/>
      <c r="N210" s="271"/>
      <c r="O210" s="271"/>
      <c r="P210" s="271"/>
      <c r="Q210" s="271"/>
      <c r="R210" s="271"/>
      <c r="S210" s="271"/>
      <c r="T210" s="271"/>
      <c r="U210" s="271"/>
      <c r="V210" s="271"/>
      <c r="W210" s="271"/>
      <c r="X210" s="271"/>
      <c r="Y210" s="271"/>
    </row>
    <row r="211" spans="1:25" ht="15.75" customHeight="1" x14ac:dyDescent="0.25">
      <c r="A211" s="271"/>
      <c r="B211" s="271"/>
      <c r="C211" s="271"/>
      <c r="D211" s="271"/>
      <c r="E211" s="271"/>
      <c r="F211" s="271"/>
      <c r="G211" s="271"/>
      <c r="H211" s="271"/>
      <c r="I211" s="271"/>
      <c r="J211" s="271"/>
      <c r="K211" s="271"/>
      <c r="L211" s="271"/>
      <c r="M211" s="271"/>
      <c r="N211" s="271"/>
      <c r="O211" s="271"/>
      <c r="P211" s="271"/>
      <c r="Q211" s="271"/>
      <c r="R211" s="271"/>
      <c r="S211" s="271"/>
      <c r="T211" s="271"/>
      <c r="U211" s="271"/>
      <c r="V211" s="271"/>
      <c r="W211" s="271"/>
      <c r="X211" s="271"/>
      <c r="Y211" s="271"/>
    </row>
    <row r="212" spans="1:25" ht="15.75" customHeight="1" x14ac:dyDescent="0.25">
      <c r="A212" s="271"/>
      <c r="B212" s="271"/>
      <c r="C212" s="271"/>
      <c r="D212" s="271"/>
      <c r="E212" s="271"/>
      <c r="F212" s="271"/>
      <c r="G212" s="271"/>
      <c r="H212" s="271"/>
      <c r="I212" s="271"/>
      <c r="J212" s="271"/>
      <c r="K212" s="271"/>
      <c r="L212" s="271"/>
      <c r="M212" s="271"/>
      <c r="N212" s="271"/>
      <c r="O212" s="271"/>
      <c r="P212" s="271"/>
      <c r="Q212" s="271"/>
      <c r="R212" s="271"/>
      <c r="S212" s="271"/>
      <c r="T212" s="271"/>
      <c r="U212" s="271"/>
      <c r="V212" s="271"/>
      <c r="W212" s="271"/>
      <c r="X212" s="271"/>
      <c r="Y212" s="271"/>
    </row>
    <row r="213" spans="1:25" ht="15.75" customHeight="1" x14ac:dyDescent="0.25">
      <c r="A213" s="271"/>
      <c r="B213" s="271"/>
      <c r="C213" s="271"/>
      <c r="D213" s="271"/>
      <c r="E213" s="271"/>
      <c r="F213" s="271"/>
      <c r="G213" s="271"/>
      <c r="H213" s="271"/>
      <c r="I213" s="271"/>
      <c r="J213" s="271"/>
      <c r="K213" s="271"/>
      <c r="L213" s="271"/>
      <c r="M213" s="271"/>
      <c r="N213" s="271"/>
      <c r="O213" s="271"/>
      <c r="P213" s="271"/>
      <c r="Q213" s="271"/>
      <c r="R213" s="271"/>
      <c r="S213" s="271"/>
      <c r="T213" s="271"/>
      <c r="U213" s="271"/>
      <c r="V213" s="271"/>
      <c r="W213" s="271"/>
      <c r="X213" s="271"/>
      <c r="Y213" s="271"/>
    </row>
    <row r="214" spans="1:25" ht="15.75" customHeight="1" x14ac:dyDescent="0.25">
      <c r="A214" s="271"/>
      <c r="B214" s="271"/>
      <c r="C214" s="271"/>
      <c r="D214" s="271"/>
      <c r="E214" s="271"/>
      <c r="F214" s="271"/>
      <c r="G214" s="271"/>
      <c r="H214" s="271"/>
      <c r="I214" s="271"/>
      <c r="J214" s="271"/>
      <c r="K214" s="271"/>
      <c r="L214" s="271"/>
      <c r="M214" s="271"/>
      <c r="N214" s="271"/>
      <c r="O214" s="271"/>
      <c r="P214" s="271"/>
      <c r="Q214" s="271"/>
      <c r="R214" s="271"/>
      <c r="S214" s="271"/>
      <c r="T214" s="271"/>
      <c r="U214" s="271"/>
      <c r="V214" s="271"/>
      <c r="W214" s="271"/>
      <c r="X214" s="271"/>
      <c r="Y214" s="271"/>
    </row>
    <row r="215" spans="1:25" ht="15.75" customHeight="1" x14ac:dyDescent="0.25">
      <c r="A215" s="271"/>
      <c r="B215" s="271"/>
      <c r="C215" s="271"/>
      <c r="D215" s="271"/>
      <c r="E215" s="271"/>
      <c r="F215" s="271"/>
      <c r="G215" s="271"/>
      <c r="H215" s="271"/>
      <c r="I215" s="271"/>
      <c r="J215" s="271"/>
      <c r="K215" s="271"/>
      <c r="L215" s="271"/>
      <c r="M215" s="271"/>
      <c r="N215" s="271"/>
      <c r="O215" s="271"/>
      <c r="P215" s="271"/>
      <c r="Q215" s="271"/>
      <c r="R215" s="271"/>
      <c r="S215" s="271"/>
      <c r="T215" s="271"/>
      <c r="U215" s="271"/>
      <c r="V215" s="271"/>
      <c r="W215" s="271"/>
      <c r="X215" s="271"/>
      <c r="Y215" s="271"/>
    </row>
    <row r="216" spans="1:25" ht="15.75" customHeight="1" x14ac:dyDescent="0.25">
      <c r="A216" s="271"/>
      <c r="B216" s="271"/>
      <c r="C216" s="271"/>
      <c r="D216" s="271"/>
      <c r="E216" s="271"/>
      <c r="F216" s="271"/>
      <c r="G216" s="271"/>
      <c r="H216" s="271"/>
      <c r="I216" s="271"/>
      <c r="J216" s="271"/>
      <c r="K216" s="271"/>
      <c r="L216" s="271"/>
      <c r="M216" s="271"/>
      <c r="N216" s="271"/>
      <c r="O216" s="271"/>
      <c r="P216" s="271"/>
      <c r="Q216" s="271"/>
      <c r="R216" s="271"/>
      <c r="S216" s="271"/>
      <c r="T216" s="271"/>
      <c r="U216" s="271"/>
      <c r="V216" s="271"/>
      <c r="W216" s="271"/>
      <c r="X216" s="271"/>
      <c r="Y216" s="271"/>
    </row>
    <row r="217" spans="1:25" ht="15.75" customHeight="1" x14ac:dyDescent="0.25">
      <c r="A217" s="271"/>
      <c r="B217" s="271"/>
      <c r="C217" s="271"/>
      <c r="D217" s="271"/>
      <c r="E217" s="271"/>
      <c r="F217" s="271"/>
      <c r="G217" s="271"/>
      <c r="H217" s="271"/>
      <c r="I217" s="271"/>
      <c r="J217" s="271"/>
      <c r="K217" s="271"/>
      <c r="L217" s="271"/>
      <c r="M217" s="271"/>
      <c r="N217" s="271"/>
      <c r="O217" s="271"/>
      <c r="P217" s="271"/>
      <c r="Q217" s="271"/>
      <c r="R217" s="271"/>
      <c r="S217" s="271"/>
      <c r="T217" s="271"/>
      <c r="U217" s="271"/>
      <c r="V217" s="271"/>
      <c r="W217" s="271"/>
      <c r="X217" s="271"/>
      <c r="Y217" s="271"/>
    </row>
    <row r="218" spans="1:25" ht="15.75" customHeight="1" x14ac:dyDescent="0.25">
      <c r="A218" s="271"/>
      <c r="B218" s="271"/>
      <c r="C218" s="271"/>
      <c r="D218" s="271"/>
      <c r="E218" s="271"/>
      <c r="F218" s="271"/>
      <c r="G218" s="271"/>
      <c r="H218" s="271"/>
      <c r="I218" s="271"/>
      <c r="J218" s="271"/>
      <c r="K218" s="271"/>
      <c r="L218" s="271"/>
      <c r="M218" s="271"/>
      <c r="N218" s="271"/>
      <c r="O218" s="271"/>
      <c r="P218" s="271"/>
      <c r="Q218" s="271"/>
      <c r="R218" s="271"/>
      <c r="S218" s="271"/>
      <c r="T218" s="271"/>
      <c r="U218" s="271"/>
      <c r="V218" s="271"/>
      <c r="W218" s="271"/>
      <c r="X218" s="271"/>
      <c r="Y218" s="271"/>
    </row>
    <row r="219" spans="1:25" ht="15.75" customHeight="1" x14ac:dyDescent="0.25">
      <c r="A219" s="271"/>
      <c r="B219" s="271"/>
      <c r="C219" s="271"/>
      <c r="D219" s="271"/>
      <c r="E219" s="271"/>
      <c r="F219" s="271"/>
      <c r="G219" s="271"/>
      <c r="H219" s="271"/>
      <c r="I219" s="271"/>
      <c r="J219" s="271"/>
      <c r="K219" s="271"/>
      <c r="L219" s="271"/>
      <c r="M219" s="271"/>
      <c r="N219" s="271"/>
      <c r="O219" s="271"/>
      <c r="P219" s="271"/>
      <c r="Q219" s="271"/>
      <c r="R219" s="271"/>
      <c r="S219" s="271"/>
      <c r="T219" s="271"/>
      <c r="U219" s="271"/>
      <c r="V219" s="271"/>
      <c r="W219" s="271"/>
      <c r="X219" s="271"/>
      <c r="Y219" s="271"/>
    </row>
    <row r="220" spans="1:25" ht="15.75" customHeight="1" x14ac:dyDescent="0.25">
      <c r="A220" s="271"/>
      <c r="B220" s="271"/>
      <c r="C220" s="271"/>
      <c r="D220" s="271"/>
      <c r="E220" s="271"/>
      <c r="F220" s="271"/>
      <c r="G220" s="271"/>
      <c r="H220" s="271"/>
      <c r="I220" s="271"/>
      <c r="J220" s="271"/>
      <c r="K220" s="271"/>
      <c r="L220" s="271"/>
      <c r="M220" s="271"/>
      <c r="N220" s="271"/>
      <c r="O220" s="271"/>
      <c r="P220" s="271"/>
      <c r="Q220" s="271"/>
      <c r="R220" s="271"/>
      <c r="S220" s="271"/>
      <c r="T220" s="271"/>
      <c r="U220" s="271"/>
      <c r="V220" s="271"/>
      <c r="W220" s="271"/>
      <c r="X220" s="271"/>
      <c r="Y220" s="271"/>
    </row>
    <row r="221" spans="1:25" ht="15.75" customHeight="1" x14ac:dyDescent="0.25">
      <c r="A221" s="271"/>
      <c r="B221" s="271"/>
      <c r="C221" s="271"/>
      <c r="D221" s="271"/>
      <c r="E221" s="271"/>
      <c r="F221" s="271"/>
      <c r="G221" s="271"/>
      <c r="H221" s="271"/>
      <c r="I221" s="271"/>
      <c r="J221" s="271"/>
      <c r="K221" s="271"/>
      <c r="L221" s="271"/>
      <c r="M221" s="271"/>
      <c r="N221" s="271"/>
      <c r="O221" s="271"/>
      <c r="P221" s="271"/>
      <c r="Q221" s="271"/>
      <c r="R221" s="271"/>
      <c r="S221" s="271"/>
      <c r="T221" s="271"/>
      <c r="U221" s="271"/>
      <c r="V221" s="271"/>
      <c r="W221" s="271"/>
      <c r="X221" s="271"/>
      <c r="Y221" s="271"/>
    </row>
    <row r="222" spans="1:25" ht="15.75" customHeight="1" x14ac:dyDescent="0.25">
      <c r="A222" s="271"/>
      <c r="B222" s="271"/>
      <c r="C222" s="271"/>
      <c r="D222" s="271"/>
      <c r="E222" s="271"/>
      <c r="F222" s="271"/>
      <c r="G222" s="271"/>
      <c r="H222" s="271"/>
      <c r="I222" s="271"/>
      <c r="J222" s="271"/>
      <c r="K222" s="271"/>
      <c r="L222" s="271"/>
      <c r="M222" s="271"/>
      <c r="N222" s="271"/>
      <c r="O222" s="271"/>
      <c r="P222" s="271"/>
      <c r="Q222" s="271"/>
      <c r="R222" s="271"/>
      <c r="S222" s="271"/>
      <c r="T222" s="271"/>
      <c r="U222" s="271"/>
      <c r="V222" s="271"/>
      <c r="W222" s="271"/>
      <c r="X222" s="271"/>
      <c r="Y222" s="271"/>
    </row>
    <row r="223" spans="1:25" ht="15.75" customHeight="1" x14ac:dyDescent="0.25">
      <c r="A223" s="271"/>
      <c r="B223" s="271"/>
      <c r="C223" s="271"/>
      <c r="D223" s="271"/>
      <c r="E223" s="271"/>
      <c r="F223" s="271"/>
      <c r="G223" s="271"/>
      <c r="H223" s="271"/>
      <c r="I223" s="271"/>
      <c r="J223" s="271"/>
      <c r="K223" s="271"/>
      <c r="L223" s="271"/>
      <c r="M223" s="271"/>
      <c r="N223" s="271"/>
      <c r="O223" s="271"/>
      <c r="P223" s="271"/>
      <c r="Q223" s="271"/>
      <c r="R223" s="271"/>
      <c r="S223" s="271"/>
      <c r="T223" s="271"/>
      <c r="U223" s="271"/>
      <c r="V223" s="271"/>
      <c r="W223" s="271"/>
      <c r="X223" s="271"/>
      <c r="Y223" s="271"/>
    </row>
    <row r="224" spans="1:25" ht="15.75" customHeight="1" x14ac:dyDescent="0.25">
      <c r="A224" s="271"/>
      <c r="B224" s="271"/>
      <c r="C224" s="271"/>
      <c r="D224" s="271"/>
      <c r="E224" s="271"/>
      <c r="F224" s="271"/>
      <c r="G224" s="271"/>
      <c r="H224" s="271"/>
      <c r="I224" s="271"/>
      <c r="J224" s="271"/>
      <c r="K224" s="271"/>
      <c r="L224" s="271"/>
      <c r="M224" s="271"/>
      <c r="N224" s="271"/>
      <c r="O224" s="271"/>
      <c r="P224" s="271"/>
      <c r="Q224" s="271"/>
      <c r="R224" s="271"/>
      <c r="S224" s="271"/>
      <c r="T224" s="271"/>
      <c r="U224" s="271"/>
      <c r="V224" s="271"/>
      <c r="W224" s="271"/>
      <c r="X224" s="271"/>
      <c r="Y224" s="271"/>
    </row>
    <row r="225" spans="1:25" ht="15.75" customHeight="1" x14ac:dyDescent="0.25">
      <c r="A225" s="271"/>
      <c r="B225" s="271"/>
      <c r="C225" s="271"/>
      <c r="D225" s="271"/>
      <c r="E225" s="271"/>
      <c r="F225" s="271"/>
      <c r="G225" s="271"/>
      <c r="H225" s="271"/>
      <c r="I225" s="271"/>
      <c r="J225" s="271"/>
      <c r="K225" s="271"/>
      <c r="L225" s="271"/>
      <c r="M225" s="271"/>
      <c r="N225" s="271"/>
      <c r="O225" s="271"/>
      <c r="P225" s="271"/>
      <c r="Q225" s="271"/>
      <c r="R225" s="271"/>
      <c r="S225" s="271"/>
      <c r="T225" s="271"/>
      <c r="U225" s="271"/>
      <c r="V225" s="271"/>
      <c r="W225" s="271"/>
      <c r="X225" s="271"/>
      <c r="Y225" s="271"/>
    </row>
    <row r="226" spans="1:25" ht="15.75" customHeight="1" x14ac:dyDescent="0.25">
      <c r="A226" s="271"/>
      <c r="B226" s="271"/>
      <c r="C226" s="271"/>
      <c r="D226" s="271"/>
      <c r="E226" s="271"/>
      <c r="F226" s="271"/>
      <c r="G226" s="271"/>
      <c r="H226" s="271"/>
      <c r="I226" s="271"/>
      <c r="J226" s="271"/>
      <c r="K226" s="271"/>
      <c r="L226" s="271"/>
      <c r="M226" s="271"/>
      <c r="N226" s="271"/>
      <c r="O226" s="271"/>
      <c r="P226" s="271"/>
      <c r="Q226" s="271"/>
      <c r="R226" s="271"/>
      <c r="S226" s="271"/>
      <c r="T226" s="271"/>
      <c r="U226" s="271"/>
      <c r="V226" s="271"/>
      <c r="W226" s="271"/>
      <c r="X226" s="271"/>
      <c r="Y226" s="271"/>
    </row>
    <row r="227" spans="1:25" ht="15.75" customHeight="1" x14ac:dyDescent="0.25">
      <c r="A227" s="271"/>
      <c r="B227" s="271"/>
      <c r="C227" s="271"/>
      <c r="D227" s="271"/>
      <c r="E227" s="271"/>
      <c r="F227" s="271"/>
      <c r="G227" s="271"/>
      <c r="H227" s="271"/>
      <c r="I227" s="271"/>
      <c r="J227" s="271"/>
      <c r="K227" s="271"/>
      <c r="L227" s="271"/>
      <c r="M227" s="271"/>
      <c r="N227" s="271"/>
      <c r="O227" s="271"/>
      <c r="P227" s="271"/>
      <c r="Q227" s="271"/>
      <c r="R227" s="271"/>
      <c r="S227" s="271"/>
      <c r="T227" s="271"/>
      <c r="U227" s="271"/>
      <c r="V227" s="271"/>
      <c r="W227" s="271"/>
      <c r="X227" s="271"/>
      <c r="Y227" s="271"/>
    </row>
    <row r="228" spans="1:25" ht="15.75" customHeight="1" x14ac:dyDescent="0.25">
      <c r="A228" s="271"/>
      <c r="B228" s="271"/>
      <c r="C228" s="271"/>
      <c r="D228" s="271"/>
      <c r="E228" s="271"/>
      <c r="F228" s="271"/>
      <c r="G228" s="271"/>
      <c r="H228" s="271"/>
      <c r="I228" s="271"/>
      <c r="J228" s="271"/>
      <c r="K228" s="271"/>
      <c r="L228" s="271"/>
      <c r="M228" s="271"/>
      <c r="N228" s="271"/>
      <c r="O228" s="271"/>
      <c r="P228" s="271"/>
      <c r="Q228" s="271"/>
      <c r="R228" s="271"/>
      <c r="S228" s="271"/>
      <c r="T228" s="271"/>
      <c r="U228" s="271"/>
      <c r="V228" s="271"/>
      <c r="W228" s="271"/>
      <c r="X228" s="271"/>
      <c r="Y228" s="271"/>
    </row>
    <row r="229" spans="1:25" ht="15.75" customHeight="1" x14ac:dyDescent="0.25">
      <c r="A229" s="271"/>
      <c r="B229" s="271"/>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row>
    <row r="230" spans="1:25" ht="15.75" customHeight="1" x14ac:dyDescent="0.25">
      <c r="A230" s="271"/>
      <c r="B230" s="271"/>
      <c r="C230" s="271"/>
      <c r="D230" s="271"/>
      <c r="E230" s="271"/>
      <c r="F230" s="271"/>
      <c r="G230" s="271"/>
      <c r="H230" s="271"/>
      <c r="I230" s="271"/>
      <c r="J230" s="271"/>
      <c r="K230" s="271"/>
      <c r="L230" s="271"/>
      <c r="M230" s="271"/>
      <c r="N230" s="271"/>
      <c r="O230" s="271"/>
      <c r="P230" s="271"/>
      <c r="Q230" s="271"/>
      <c r="R230" s="271"/>
      <c r="S230" s="271"/>
      <c r="T230" s="271"/>
      <c r="U230" s="271"/>
      <c r="V230" s="271"/>
      <c r="W230" s="271"/>
      <c r="X230" s="271"/>
      <c r="Y230" s="271"/>
    </row>
    <row r="231" spans="1:25" ht="15.75" customHeight="1" x14ac:dyDescent="0.25">
      <c r="A231" s="271"/>
      <c r="B231" s="271"/>
      <c r="C231" s="271"/>
      <c r="D231" s="271"/>
      <c r="E231" s="271"/>
      <c r="F231" s="271"/>
      <c r="G231" s="271"/>
      <c r="H231" s="271"/>
      <c r="I231" s="271"/>
      <c r="J231" s="271"/>
      <c r="K231" s="271"/>
      <c r="L231" s="271"/>
      <c r="M231" s="271"/>
      <c r="N231" s="271"/>
      <c r="O231" s="271"/>
      <c r="P231" s="271"/>
      <c r="Q231" s="271"/>
      <c r="R231" s="271"/>
      <c r="S231" s="271"/>
      <c r="T231" s="271"/>
      <c r="U231" s="271"/>
      <c r="V231" s="271"/>
      <c r="W231" s="271"/>
      <c r="X231" s="271"/>
      <c r="Y231" s="271"/>
    </row>
    <row r="232" spans="1:25" ht="15.75" customHeight="1" x14ac:dyDescent="0.25">
      <c r="A232" s="271"/>
      <c r="B232" s="271"/>
      <c r="C232" s="271"/>
      <c r="D232" s="271"/>
      <c r="E232" s="271"/>
      <c r="F232" s="271"/>
      <c r="G232" s="271"/>
      <c r="H232" s="271"/>
      <c r="I232" s="271"/>
      <c r="J232" s="271"/>
      <c r="K232" s="271"/>
      <c r="L232" s="271"/>
      <c r="M232" s="271"/>
      <c r="N232" s="271"/>
      <c r="O232" s="271"/>
      <c r="P232" s="271"/>
      <c r="Q232" s="271"/>
      <c r="R232" s="271"/>
      <c r="S232" s="271"/>
      <c r="T232" s="271"/>
      <c r="U232" s="271"/>
      <c r="V232" s="271"/>
      <c r="W232" s="271"/>
      <c r="X232" s="271"/>
      <c r="Y232" s="271"/>
    </row>
    <row r="233" spans="1:25" ht="15.75" customHeight="1" x14ac:dyDescent="0.25">
      <c r="A233" s="271"/>
      <c r="B233" s="271"/>
      <c r="C233" s="271"/>
      <c r="D233" s="271"/>
      <c r="E233" s="271"/>
      <c r="F233" s="271"/>
      <c r="G233" s="271"/>
      <c r="H233" s="271"/>
      <c r="I233" s="271"/>
      <c r="J233" s="271"/>
      <c r="K233" s="271"/>
      <c r="L233" s="271"/>
      <c r="M233" s="271"/>
      <c r="N233" s="271"/>
      <c r="O233" s="271"/>
      <c r="P233" s="271"/>
      <c r="Q233" s="271"/>
      <c r="R233" s="271"/>
      <c r="S233" s="271"/>
      <c r="T233" s="271"/>
      <c r="U233" s="271"/>
      <c r="V233" s="271"/>
      <c r="W233" s="271"/>
      <c r="X233" s="271"/>
      <c r="Y233" s="271"/>
    </row>
    <row r="234" spans="1:25" ht="15.75" customHeight="1" x14ac:dyDescent="0.25">
      <c r="A234" s="271"/>
      <c r="B234" s="271"/>
      <c r="C234" s="271"/>
      <c r="D234" s="271"/>
      <c r="E234" s="271"/>
      <c r="F234" s="271"/>
      <c r="G234" s="271"/>
      <c r="H234" s="271"/>
      <c r="I234" s="271"/>
      <c r="J234" s="271"/>
      <c r="K234" s="271"/>
      <c r="L234" s="271"/>
      <c r="M234" s="271"/>
      <c r="N234" s="271"/>
      <c r="O234" s="271"/>
      <c r="P234" s="271"/>
      <c r="Q234" s="271"/>
      <c r="R234" s="271"/>
      <c r="S234" s="271"/>
      <c r="T234" s="271"/>
      <c r="U234" s="271"/>
      <c r="V234" s="271"/>
      <c r="W234" s="271"/>
      <c r="X234" s="271"/>
      <c r="Y234" s="271"/>
    </row>
    <row r="235" spans="1:25" ht="15.75" customHeight="1" x14ac:dyDescent="0.25">
      <c r="A235" s="271"/>
      <c r="B235" s="271"/>
      <c r="C235" s="271"/>
      <c r="D235" s="271"/>
      <c r="E235" s="271"/>
      <c r="F235" s="271"/>
      <c r="G235" s="271"/>
      <c r="H235" s="271"/>
      <c r="I235" s="271"/>
      <c r="J235" s="271"/>
      <c r="K235" s="271"/>
      <c r="L235" s="271"/>
      <c r="M235" s="271"/>
      <c r="N235" s="271"/>
      <c r="O235" s="271"/>
      <c r="P235" s="271"/>
      <c r="Q235" s="271"/>
      <c r="R235" s="271"/>
      <c r="S235" s="271"/>
      <c r="T235" s="271"/>
      <c r="U235" s="271"/>
      <c r="V235" s="271"/>
      <c r="W235" s="271"/>
      <c r="X235" s="271"/>
      <c r="Y235" s="271"/>
    </row>
    <row r="236" spans="1:25" ht="15.75" customHeight="1" x14ac:dyDescent="0.25">
      <c r="A236" s="271"/>
      <c r="B236" s="271"/>
      <c r="C236" s="271"/>
      <c r="D236" s="271"/>
      <c r="E236" s="271"/>
      <c r="F236" s="271"/>
      <c r="G236" s="271"/>
      <c r="H236" s="271"/>
      <c r="I236" s="271"/>
      <c r="J236" s="271"/>
      <c r="K236" s="271"/>
      <c r="L236" s="271"/>
      <c r="M236" s="271"/>
      <c r="N236" s="271"/>
      <c r="O236" s="271"/>
      <c r="P236" s="271"/>
      <c r="Q236" s="271"/>
      <c r="R236" s="271"/>
      <c r="S236" s="271"/>
      <c r="T236" s="271"/>
      <c r="U236" s="271"/>
      <c r="V236" s="271"/>
      <c r="W236" s="271"/>
      <c r="X236" s="271"/>
      <c r="Y236" s="271"/>
    </row>
    <row r="237" spans="1:25" ht="15.75" customHeight="1" x14ac:dyDescent="0.25">
      <c r="A237" s="271"/>
      <c r="B237" s="271"/>
      <c r="C237" s="271"/>
      <c r="D237" s="271"/>
      <c r="E237" s="271"/>
      <c r="F237" s="271"/>
      <c r="G237" s="271"/>
      <c r="H237" s="271"/>
      <c r="I237" s="271"/>
      <c r="J237" s="271"/>
      <c r="K237" s="271"/>
      <c r="L237" s="271"/>
      <c r="M237" s="271"/>
      <c r="N237" s="271"/>
      <c r="O237" s="271"/>
      <c r="P237" s="271"/>
      <c r="Q237" s="271"/>
      <c r="R237" s="271"/>
      <c r="S237" s="271"/>
      <c r="T237" s="271"/>
      <c r="U237" s="271"/>
      <c r="V237" s="271"/>
      <c r="W237" s="271"/>
      <c r="X237" s="271"/>
      <c r="Y237" s="271"/>
    </row>
    <row r="238" spans="1:25" ht="15.75" customHeight="1" x14ac:dyDescent="0.25">
      <c r="A238" s="271"/>
      <c r="B238" s="271"/>
      <c r="C238" s="271"/>
      <c r="D238" s="271"/>
      <c r="E238" s="271"/>
      <c r="F238" s="271"/>
      <c r="G238" s="271"/>
      <c r="H238" s="271"/>
      <c r="I238" s="271"/>
      <c r="J238" s="271"/>
      <c r="K238" s="271"/>
      <c r="L238" s="271"/>
      <c r="M238" s="271"/>
      <c r="N238" s="271"/>
      <c r="O238" s="271"/>
      <c r="P238" s="271"/>
      <c r="Q238" s="271"/>
      <c r="R238" s="271"/>
      <c r="S238" s="271"/>
      <c r="T238" s="271"/>
      <c r="U238" s="271"/>
      <c r="V238" s="271"/>
      <c r="W238" s="271"/>
      <c r="X238" s="271"/>
      <c r="Y238" s="271"/>
    </row>
    <row r="239" spans="1:25" ht="15.75" customHeight="1" x14ac:dyDescent="0.25">
      <c r="A239" s="271"/>
      <c r="B239" s="271"/>
      <c r="C239" s="271"/>
      <c r="D239" s="271"/>
      <c r="E239" s="271"/>
      <c r="F239" s="271"/>
      <c r="G239" s="271"/>
      <c r="H239" s="271"/>
      <c r="I239" s="271"/>
      <c r="J239" s="271"/>
      <c r="K239" s="271"/>
      <c r="L239" s="271"/>
      <c r="M239" s="271"/>
      <c r="N239" s="271"/>
      <c r="O239" s="271"/>
      <c r="P239" s="271"/>
      <c r="Q239" s="271"/>
      <c r="R239" s="271"/>
      <c r="S239" s="271"/>
      <c r="T239" s="271"/>
      <c r="U239" s="271"/>
      <c r="V239" s="271"/>
      <c r="W239" s="271"/>
      <c r="X239" s="271"/>
      <c r="Y239" s="271"/>
    </row>
    <row r="240" spans="1:25" ht="15.75" customHeight="1" x14ac:dyDescent="0.25">
      <c r="A240" s="271"/>
      <c r="B240" s="271"/>
      <c r="C240" s="271"/>
      <c r="D240" s="271"/>
      <c r="E240" s="271"/>
      <c r="F240" s="271"/>
      <c r="G240" s="271"/>
      <c r="H240" s="271"/>
      <c r="I240" s="271"/>
      <c r="J240" s="271"/>
      <c r="K240" s="271"/>
      <c r="L240" s="271"/>
      <c r="M240" s="271"/>
      <c r="N240" s="271"/>
      <c r="O240" s="271"/>
      <c r="P240" s="271"/>
      <c r="Q240" s="271"/>
      <c r="R240" s="271"/>
      <c r="S240" s="271"/>
      <c r="T240" s="271"/>
      <c r="U240" s="271"/>
      <c r="V240" s="271"/>
      <c r="W240" s="271"/>
      <c r="X240" s="271"/>
      <c r="Y240" s="271"/>
    </row>
    <row r="241" spans="1:25" ht="15.75" customHeight="1" x14ac:dyDescent="0.25">
      <c r="A241" s="271"/>
      <c r="B241" s="271"/>
      <c r="C241" s="271"/>
      <c r="D241" s="271"/>
      <c r="E241" s="271"/>
      <c r="F241" s="271"/>
      <c r="G241" s="271"/>
      <c r="H241" s="271"/>
      <c r="I241" s="271"/>
      <c r="J241" s="271"/>
      <c r="K241" s="271"/>
      <c r="L241" s="271"/>
      <c r="M241" s="271"/>
      <c r="N241" s="271"/>
      <c r="O241" s="271"/>
      <c r="P241" s="271"/>
      <c r="Q241" s="271"/>
      <c r="R241" s="271"/>
      <c r="S241" s="271"/>
      <c r="T241" s="271"/>
      <c r="U241" s="271"/>
      <c r="V241" s="271"/>
      <c r="W241" s="271"/>
      <c r="X241" s="271"/>
      <c r="Y241" s="271"/>
    </row>
    <row r="242" spans="1:25" ht="15.75" customHeight="1" x14ac:dyDescent="0.25">
      <c r="A242" s="271"/>
      <c r="B242" s="271"/>
      <c r="C242" s="271"/>
      <c r="D242" s="271"/>
      <c r="E242" s="271"/>
      <c r="F242" s="271"/>
      <c r="G242" s="271"/>
      <c r="H242" s="271"/>
      <c r="I242" s="271"/>
      <c r="J242" s="271"/>
      <c r="K242" s="271"/>
      <c r="L242" s="271"/>
      <c r="M242" s="271"/>
      <c r="N242" s="271"/>
      <c r="O242" s="271"/>
      <c r="P242" s="271"/>
      <c r="Q242" s="271"/>
      <c r="R242" s="271"/>
      <c r="S242" s="271"/>
      <c r="T242" s="271"/>
      <c r="U242" s="271"/>
      <c r="V242" s="271"/>
      <c r="W242" s="271"/>
      <c r="X242" s="271"/>
      <c r="Y242" s="271"/>
    </row>
    <row r="243" spans="1:25" ht="15.75" customHeight="1" x14ac:dyDescent="0.25">
      <c r="A243" s="271"/>
      <c r="B243" s="271"/>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row>
    <row r="244" spans="1:25" ht="15.75" customHeight="1" x14ac:dyDescent="0.25">
      <c r="A244" s="271"/>
      <c r="B244" s="271"/>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row>
    <row r="245" spans="1:25" ht="15.75" customHeight="1" x14ac:dyDescent="0.25">
      <c r="A245" s="271"/>
      <c r="B245" s="271"/>
      <c r="C245" s="271"/>
      <c r="D245" s="271"/>
      <c r="E245" s="271"/>
      <c r="F245" s="271"/>
      <c r="G245" s="271"/>
      <c r="H245" s="271"/>
      <c r="I245" s="271"/>
      <c r="J245" s="271"/>
      <c r="K245" s="271"/>
      <c r="L245" s="271"/>
      <c r="M245" s="271"/>
      <c r="N245" s="271"/>
      <c r="O245" s="271"/>
      <c r="P245" s="271"/>
      <c r="Q245" s="271"/>
      <c r="R245" s="271"/>
      <c r="S245" s="271"/>
      <c r="T245" s="271"/>
      <c r="U245" s="271"/>
      <c r="V245" s="271"/>
      <c r="W245" s="271"/>
      <c r="X245" s="271"/>
      <c r="Y245" s="271"/>
    </row>
    <row r="246" spans="1:25" ht="15.75" customHeight="1" x14ac:dyDescent="0.25">
      <c r="A246" s="271"/>
      <c r="B246" s="271"/>
      <c r="C246" s="271"/>
      <c r="D246" s="271"/>
      <c r="E246" s="271"/>
      <c r="F246" s="271"/>
      <c r="G246" s="271"/>
      <c r="H246" s="271"/>
      <c r="I246" s="271"/>
      <c r="J246" s="271"/>
      <c r="K246" s="271"/>
      <c r="L246" s="271"/>
      <c r="M246" s="271"/>
      <c r="N246" s="271"/>
      <c r="O246" s="271"/>
      <c r="P246" s="271"/>
      <c r="Q246" s="271"/>
      <c r="R246" s="271"/>
      <c r="S246" s="271"/>
      <c r="T246" s="271"/>
      <c r="U246" s="271"/>
      <c r="V246" s="271"/>
      <c r="W246" s="271"/>
      <c r="X246" s="271"/>
      <c r="Y246" s="271"/>
    </row>
    <row r="247" spans="1:25" ht="15.75" customHeight="1" x14ac:dyDescent="0.25">
      <c r="A247" s="271"/>
      <c r="B247" s="271"/>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row>
    <row r="248" spans="1:25" ht="15.75" customHeight="1" x14ac:dyDescent="0.25">
      <c r="A248" s="271"/>
      <c r="B248" s="271"/>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row>
    <row r="249" spans="1:25" ht="15.75" customHeight="1" x14ac:dyDescent="0.25">
      <c r="A249" s="271"/>
      <c r="B249" s="271"/>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row>
    <row r="250" spans="1:25" ht="15.75" customHeight="1" x14ac:dyDescent="0.25">
      <c r="A250" s="271"/>
      <c r="B250" s="271"/>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row>
    <row r="251" spans="1:25" ht="15.75" customHeight="1" x14ac:dyDescent="0.25">
      <c r="A251" s="271"/>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row>
    <row r="252" spans="1:25" ht="15.75" customHeight="1" x14ac:dyDescent="0.25">
      <c r="A252" s="271"/>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row>
    <row r="253" spans="1:25" ht="15.75" customHeight="1" x14ac:dyDescent="0.25">
      <c r="A253" s="271"/>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row>
    <row r="254" spans="1:25" ht="15.75" customHeight="1" x14ac:dyDescent="0.25">
      <c r="A254" s="271"/>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row>
    <row r="255" spans="1:25" ht="15.75" customHeight="1" x14ac:dyDescent="0.25">
      <c r="A255" s="271"/>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row>
    <row r="256" spans="1:25" ht="15.75" customHeight="1" x14ac:dyDescent="0.25">
      <c r="A256" s="271"/>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row>
    <row r="257" spans="1:25" ht="15.75" customHeight="1" x14ac:dyDescent="0.25">
      <c r="A257" s="271"/>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row>
    <row r="258" spans="1:25" ht="15.75" customHeight="1" x14ac:dyDescent="0.25">
      <c r="A258" s="271"/>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row>
    <row r="259" spans="1:25" ht="15.75" customHeight="1" x14ac:dyDescent="0.25">
      <c r="A259" s="271"/>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row>
    <row r="260" spans="1:25" ht="15.75" customHeight="1" x14ac:dyDescent="0.25">
      <c r="A260" s="271"/>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row>
    <row r="261" spans="1:25" ht="15.75" customHeight="1" x14ac:dyDescent="0.25">
      <c r="A261" s="271"/>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row>
    <row r="262" spans="1:25" ht="15.75" customHeight="1" x14ac:dyDescent="0.25">
      <c r="A262" s="271"/>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row>
    <row r="263" spans="1:25" ht="15.75" customHeight="1" x14ac:dyDescent="0.25">
      <c r="A263" s="271"/>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row>
    <row r="264" spans="1:25" ht="15.75" customHeight="1" x14ac:dyDescent="0.25">
      <c r="A264" s="271"/>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row>
    <row r="265" spans="1:25" ht="15.75" customHeight="1" x14ac:dyDescent="0.25">
      <c r="A265" s="271"/>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row>
    <row r="266" spans="1:25" ht="15.75" customHeight="1" x14ac:dyDescent="0.25">
      <c r="A266" s="271"/>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row>
    <row r="267" spans="1:25" ht="15.75" customHeight="1" x14ac:dyDescent="0.25">
      <c r="A267" s="271"/>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row>
    <row r="268" spans="1:25" ht="15.75" customHeight="1" x14ac:dyDescent="0.25">
      <c r="A268" s="271"/>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row>
    <row r="269" spans="1:25" ht="15.75" customHeight="1" x14ac:dyDescent="0.25">
      <c r="A269" s="271"/>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row>
    <row r="270" spans="1:25" ht="15.75" customHeight="1" x14ac:dyDescent="0.25">
      <c r="A270" s="271"/>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row>
    <row r="271" spans="1:25" ht="15.75" customHeight="1" x14ac:dyDescent="0.25">
      <c r="A271" s="271"/>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row>
    <row r="272" spans="1:25" ht="15.75" customHeight="1" x14ac:dyDescent="0.25">
      <c r="A272" s="271"/>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row>
    <row r="273" spans="1:25" ht="15.75" customHeight="1" x14ac:dyDescent="0.25">
      <c r="A273" s="271"/>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row>
    <row r="274" spans="1:25" ht="15.75" customHeight="1" x14ac:dyDescent="0.25">
      <c r="A274" s="271"/>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row>
    <row r="275" spans="1:25" ht="15.75" customHeight="1" x14ac:dyDescent="0.25">
      <c r="A275" s="271"/>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row>
    <row r="276" spans="1:25" ht="15.75" customHeight="1" x14ac:dyDescent="0.25">
      <c r="A276" s="271"/>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row>
    <row r="277" spans="1:25" ht="15.75" customHeight="1" x14ac:dyDescent="0.25">
      <c r="A277" s="271"/>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row>
    <row r="278" spans="1:25" ht="15.75" customHeight="1" x14ac:dyDescent="0.25">
      <c r="A278" s="271"/>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row>
    <row r="279" spans="1:25" ht="15.75" customHeight="1" x14ac:dyDescent="0.25">
      <c r="A279" s="271"/>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row>
    <row r="280" spans="1:25" ht="15.75" customHeight="1" x14ac:dyDescent="0.25">
      <c r="A280" s="271"/>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row>
    <row r="281" spans="1:25" ht="15.75" customHeight="1" x14ac:dyDescent="0.25">
      <c r="A281" s="271"/>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row>
    <row r="282" spans="1:25" ht="15.75" customHeight="1" x14ac:dyDescent="0.25">
      <c r="A282" s="271"/>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row>
    <row r="283" spans="1:25" ht="15.75" customHeight="1" x14ac:dyDescent="0.25">
      <c r="A283" s="271"/>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row>
    <row r="284" spans="1:25" ht="15.75" customHeight="1" x14ac:dyDescent="0.25">
      <c r="A284" s="271"/>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row>
    <row r="285" spans="1:25" ht="15.75" customHeight="1" x14ac:dyDescent="0.25">
      <c r="A285" s="271"/>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row>
    <row r="286" spans="1:25" ht="15.75" customHeight="1" x14ac:dyDescent="0.25">
      <c r="A286" s="271"/>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row>
    <row r="287" spans="1:25" ht="15.75" customHeight="1" x14ac:dyDescent="0.25">
      <c r="A287" s="271"/>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row>
    <row r="288" spans="1:25" ht="15.75" customHeight="1" x14ac:dyDescent="0.25">
      <c r="A288" s="271"/>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row>
    <row r="289" spans="1:25" ht="15.75" customHeight="1" x14ac:dyDescent="0.25">
      <c r="A289" s="271"/>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row>
    <row r="290" spans="1:25" ht="15.75" customHeight="1" x14ac:dyDescent="0.25">
      <c r="A290" s="271"/>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row>
    <row r="291" spans="1:25" ht="15.75" customHeight="1" x14ac:dyDescent="0.25">
      <c r="A291" s="271"/>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row>
    <row r="292" spans="1:25" ht="15.75" customHeight="1" x14ac:dyDescent="0.25">
      <c r="A292" s="271"/>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row>
    <row r="293" spans="1:25" ht="15.75" customHeight="1" x14ac:dyDescent="0.25">
      <c r="A293" s="271"/>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row>
    <row r="294" spans="1:25" ht="15.75" customHeight="1" x14ac:dyDescent="0.25">
      <c r="A294" s="271"/>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row>
    <row r="295" spans="1:25" ht="15.75" customHeight="1" x14ac:dyDescent="0.25">
      <c r="A295" s="271"/>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row>
    <row r="296" spans="1:25" ht="15.75" customHeight="1" x14ac:dyDescent="0.25">
      <c r="A296" s="271"/>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row>
    <row r="297" spans="1:25" ht="15.75" customHeight="1" x14ac:dyDescent="0.25">
      <c r="A297" s="271"/>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row>
    <row r="298" spans="1:25" ht="15.75" customHeight="1" x14ac:dyDescent="0.25">
      <c r="A298" s="271"/>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row>
    <row r="299" spans="1:25" ht="15.75" customHeight="1" x14ac:dyDescent="0.25">
      <c r="A299" s="271"/>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row>
    <row r="300" spans="1:25" ht="15.75" customHeight="1" x14ac:dyDescent="0.25">
      <c r="A300" s="271"/>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row>
    <row r="301" spans="1:25" ht="15.75" customHeight="1" x14ac:dyDescent="0.25">
      <c r="A301" s="271"/>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row>
    <row r="302" spans="1:25" ht="15.75" customHeight="1" x14ac:dyDescent="0.25">
      <c r="A302" s="271"/>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row>
    <row r="303" spans="1:25" ht="15.75" customHeight="1" x14ac:dyDescent="0.25">
      <c r="A303" s="271"/>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row>
    <row r="304" spans="1:25" ht="15.75" customHeight="1" x14ac:dyDescent="0.25">
      <c r="A304" s="271"/>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row>
    <row r="305" spans="1:25" ht="15.75" customHeight="1" x14ac:dyDescent="0.25">
      <c r="A305" s="271"/>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row>
    <row r="306" spans="1:25" ht="15.75" customHeight="1" x14ac:dyDescent="0.25">
      <c r="A306" s="271"/>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row>
    <row r="307" spans="1:25" ht="15.75" customHeight="1" x14ac:dyDescent="0.25">
      <c r="A307" s="271"/>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row>
    <row r="308" spans="1:25" ht="15.75" customHeight="1" x14ac:dyDescent="0.25">
      <c r="A308" s="271"/>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row>
    <row r="309" spans="1:25" ht="15.75" customHeight="1" x14ac:dyDescent="0.25">
      <c r="A309" s="271"/>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row>
    <row r="310" spans="1:25" ht="15.75" customHeight="1" x14ac:dyDescent="0.25">
      <c r="A310" s="271"/>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row>
    <row r="311" spans="1:25" ht="15.75" customHeight="1" x14ac:dyDescent="0.25">
      <c r="A311" s="271"/>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row>
    <row r="312" spans="1:25" ht="15.75" customHeight="1" x14ac:dyDescent="0.25">
      <c r="A312" s="271"/>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row>
    <row r="313" spans="1:25" ht="15.75" customHeight="1" x14ac:dyDescent="0.25">
      <c r="A313" s="271"/>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row>
    <row r="314" spans="1:25" ht="15.75" customHeight="1" x14ac:dyDescent="0.25">
      <c r="A314" s="271"/>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row>
    <row r="315" spans="1:25" ht="15.75" customHeight="1" x14ac:dyDescent="0.25">
      <c r="A315" s="271"/>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row>
    <row r="316" spans="1:25" ht="15.75" customHeight="1" x14ac:dyDescent="0.25">
      <c r="A316" s="271"/>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row>
    <row r="317" spans="1:25" ht="15.75" customHeight="1" x14ac:dyDescent="0.25">
      <c r="A317" s="271"/>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row>
    <row r="318" spans="1:25" ht="15.75" customHeight="1" x14ac:dyDescent="0.25">
      <c r="A318" s="271"/>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row>
    <row r="319" spans="1:25" ht="15.75" customHeight="1" x14ac:dyDescent="0.25">
      <c r="A319" s="271"/>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row>
    <row r="320" spans="1:25" ht="15.75" customHeight="1" x14ac:dyDescent="0.25">
      <c r="A320" s="271"/>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row>
    <row r="321" spans="1:25" ht="15.75" customHeight="1" x14ac:dyDescent="0.25">
      <c r="A321" s="271"/>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row>
    <row r="322" spans="1:25" ht="15.75" customHeight="1" x14ac:dyDescent="0.25">
      <c r="A322" s="271"/>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row>
    <row r="323" spans="1:25" ht="15.75" customHeight="1" x14ac:dyDescent="0.25">
      <c r="A323" s="271"/>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row>
    <row r="324" spans="1:25" ht="15.75" customHeight="1" x14ac:dyDescent="0.25">
      <c r="A324" s="271"/>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row>
    <row r="325" spans="1:25" ht="15.75" customHeight="1" x14ac:dyDescent="0.25">
      <c r="A325" s="271"/>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row>
    <row r="326" spans="1:25" ht="15.75" customHeight="1" x14ac:dyDescent="0.25">
      <c r="A326" s="271"/>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row>
    <row r="327" spans="1:25" ht="15.75" customHeight="1" x14ac:dyDescent="0.25">
      <c r="A327" s="271"/>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row>
    <row r="328" spans="1:25" ht="15.75" customHeight="1" x14ac:dyDescent="0.25">
      <c r="A328" s="271"/>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row>
    <row r="329" spans="1:25" ht="15.75" customHeight="1" x14ac:dyDescent="0.25">
      <c r="A329" s="271"/>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row>
    <row r="330" spans="1:25" ht="15.75" customHeight="1" x14ac:dyDescent="0.25">
      <c r="A330" s="271"/>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row>
    <row r="331" spans="1:25" ht="15.75" customHeight="1" x14ac:dyDescent="0.25">
      <c r="A331" s="271"/>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row>
    <row r="332" spans="1:25" ht="15.75" customHeight="1" x14ac:dyDescent="0.25">
      <c r="A332" s="271"/>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row>
    <row r="333" spans="1:25" ht="15.75" customHeight="1" x14ac:dyDescent="0.25">
      <c r="A333" s="271"/>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row>
    <row r="334" spans="1:25" ht="15.75" customHeight="1" x14ac:dyDescent="0.25">
      <c r="A334" s="271"/>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row>
    <row r="335" spans="1:25" ht="15.75" customHeight="1" x14ac:dyDescent="0.25">
      <c r="A335" s="271"/>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row>
    <row r="336" spans="1:25" ht="15.75" customHeight="1" x14ac:dyDescent="0.25">
      <c r="A336" s="271"/>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row>
    <row r="337" spans="1:25" ht="15.75" customHeight="1" x14ac:dyDescent="0.25">
      <c r="A337" s="271"/>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row>
    <row r="338" spans="1:25" ht="15.75" customHeight="1" x14ac:dyDescent="0.25">
      <c r="A338" s="271"/>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row>
    <row r="339" spans="1:25" ht="15.75" customHeight="1" x14ac:dyDescent="0.25">
      <c r="A339" s="271"/>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row>
    <row r="340" spans="1:25" ht="15.75" customHeight="1" x14ac:dyDescent="0.25">
      <c r="A340" s="271"/>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row>
    <row r="341" spans="1:25" ht="15.75" customHeight="1" x14ac:dyDescent="0.25">
      <c r="A341" s="271"/>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row>
    <row r="342" spans="1:25" ht="15.75" customHeight="1" x14ac:dyDescent="0.25">
      <c r="A342" s="271"/>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row>
    <row r="343" spans="1:25" ht="15.75" customHeight="1" x14ac:dyDescent="0.25">
      <c r="A343" s="271"/>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row>
    <row r="344" spans="1:25" ht="15.75" customHeight="1" x14ac:dyDescent="0.25">
      <c r="A344" s="271"/>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row>
    <row r="345" spans="1:25" ht="15.75" customHeight="1" x14ac:dyDescent="0.25">
      <c r="A345" s="271"/>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row>
    <row r="346" spans="1:25" ht="15.75" customHeight="1" x14ac:dyDescent="0.25">
      <c r="A346" s="271"/>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row>
    <row r="347" spans="1:25" ht="15.75" customHeight="1" x14ac:dyDescent="0.25">
      <c r="A347" s="271"/>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row>
    <row r="348" spans="1:25" ht="15.75" customHeight="1" x14ac:dyDescent="0.25">
      <c r="A348" s="271"/>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row>
    <row r="349" spans="1:25" ht="15.75" customHeight="1" x14ac:dyDescent="0.25">
      <c r="A349" s="271"/>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row>
    <row r="350" spans="1:25" ht="15.75" customHeight="1" x14ac:dyDescent="0.25">
      <c r="A350" s="271"/>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row>
    <row r="351" spans="1:25" ht="15.75" customHeight="1" x14ac:dyDescent="0.25">
      <c r="A351" s="271"/>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row>
    <row r="352" spans="1:25" ht="15.75" customHeight="1" x14ac:dyDescent="0.25">
      <c r="A352" s="271"/>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row>
    <row r="353" spans="1:25" ht="15.75" customHeight="1" x14ac:dyDescent="0.25">
      <c r="A353" s="271"/>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row>
    <row r="354" spans="1:25" ht="15.75" customHeight="1" x14ac:dyDescent="0.25">
      <c r="A354" s="271"/>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row>
    <row r="355" spans="1:25" ht="15.75" customHeight="1" x14ac:dyDescent="0.25">
      <c r="A355" s="271"/>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row>
    <row r="356" spans="1:25" ht="15.75" customHeight="1" x14ac:dyDescent="0.25">
      <c r="A356" s="271"/>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row>
    <row r="357" spans="1:25" ht="15.75" customHeight="1" x14ac:dyDescent="0.25">
      <c r="A357" s="271"/>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row>
    <row r="358" spans="1:25" ht="15.75" customHeight="1" x14ac:dyDescent="0.25">
      <c r="A358" s="271"/>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row>
    <row r="359" spans="1:25" ht="15.75" customHeight="1" x14ac:dyDescent="0.25">
      <c r="A359" s="271"/>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row>
    <row r="360" spans="1:25" ht="15.75" customHeight="1" x14ac:dyDescent="0.25">
      <c r="A360" s="271"/>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row>
    <row r="361" spans="1:25" ht="15.75" customHeight="1" x14ac:dyDescent="0.25">
      <c r="A361" s="271"/>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row>
    <row r="362" spans="1:25" ht="15.75" customHeight="1" x14ac:dyDescent="0.25">
      <c r="A362" s="271"/>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row>
    <row r="363" spans="1:25" ht="15.75" customHeight="1" x14ac:dyDescent="0.25">
      <c r="A363" s="271"/>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row>
    <row r="364" spans="1:25" ht="15.75" customHeight="1" x14ac:dyDescent="0.25">
      <c r="A364" s="271"/>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row>
    <row r="365" spans="1:25" ht="15.75" customHeight="1" x14ac:dyDescent="0.25">
      <c r="A365" s="271"/>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row>
    <row r="366" spans="1:25" ht="15.75" customHeight="1" x14ac:dyDescent="0.25">
      <c r="A366" s="271"/>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row>
    <row r="367" spans="1:25" ht="15.75" customHeight="1" x14ac:dyDescent="0.25">
      <c r="A367" s="271"/>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row>
    <row r="368" spans="1:25" ht="15.75" customHeight="1" x14ac:dyDescent="0.25">
      <c r="A368" s="271"/>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row>
    <row r="369" spans="1:25" ht="15.75" customHeight="1" x14ac:dyDescent="0.25">
      <c r="A369" s="271"/>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row>
    <row r="370" spans="1:25" ht="15.75" customHeight="1" x14ac:dyDescent="0.25">
      <c r="A370" s="271"/>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row>
    <row r="371" spans="1:25" ht="15.75" customHeight="1" x14ac:dyDescent="0.25">
      <c r="A371" s="271"/>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row>
    <row r="372" spans="1:25" ht="15.75" customHeight="1" x14ac:dyDescent="0.25">
      <c r="A372" s="271"/>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row>
    <row r="373" spans="1:25" ht="15.75" customHeight="1" x14ac:dyDescent="0.25">
      <c r="A373" s="271"/>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row>
    <row r="374" spans="1:25" ht="15.75" customHeight="1" x14ac:dyDescent="0.25">
      <c r="A374" s="271"/>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row>
    <row r="375" spans="1:25" ht="15.75" customHeight="1" x14ac:dyDescent="0.25">
      <c r="A375" s="271"/>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row>
    <row r="376" spans="1:25" ht="15.75" customHeight="1" x14ac:dyDescent="0.25">
      <c r="A376" s="271"/>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row>
    <row r="377" spans="1:25" ht="15.75" customHeight="1" x14ac:dyDescent="0.25">
      <c r="A377" s="271"/>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row>
    <row r="378" spans="1:25" ht="15.75" customHeight="1" x14ac:dyDescent="0.25">
      <c r="A378" s="271"/>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row>
    <row r="379" spans="1:25" ht="15.75" customHeight="1" x14ac:dyDescent="0.25">
      <c r="A379" s="271"/>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row>
    <row r="380" spans="1:25" ht="15.75" customHeight="1" x14ac:dyDescent="0.25">
      <c r="A380" s="271"/>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row>
    <row r="381" spans="1:25" ht="15.75" customHeight="1" x14ac:dyDescent="0.25">
      <c r="A381" s="271"/>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row>
    <row r="382" spans="1:25" ht="15.75" customHeight="1" x14ac:dyDescent="0.25">
      <c r="A382" s="271"/>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row>
    <row r="383" spans="1:25" ht="15.75" customHeight="1" x14ac:dyDescent="0.25">
      <c r="A383" s="271"/>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row>
    <row r="384" spans="1:25" ht="15.75" customHeight="1" x14ac:dyDescent="0.25">
      <c r="A384" s="271"/>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row>
    <row r="385" spans="1:25" ht="15.75" customHeight="1" x14ac:dyDescent="0.25">
      <c r="A385" s="271"/>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row>
    <row r="386" spans="1:25" ht="15.75" customHeight="1" x14ac:dyDescent="0.25">
      <c r="A386" s="271"/>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row>
    <row r="387" spans="1:25" ht="15.75" customHeight="1" x14ac:dyDescent="0.25">
      <c r="A387" s="271"/>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row>
    <row r="388" spans="1:25" ht="15.75" customHeight="1" x14ac:dyDescent="0.25">
      <c r="A388" s="271"/>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row>
    <row r="389" spans="1:25" ht="15.75" customHeight="1" x14ac:dyDescent="0.25">
      <c r="A389" s="271"/>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row>
    <row r="390" spans="1:25" ht="15.75" customHeight="1" x14ac:dyDescent="0.25">
      <c r="A390" s="271"/>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row>
    <row r="391" spans="1:25" ht="15.75" customHeight="1" x14ac:dyDescent="0.25">
      <c r="A391" s="271"/>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row>
    <row r="392" spans="1:25" ht="15.75" customHeight="1" x14ac:dyDescent="0.25">
      <c r="A392" s="271"/>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row>
    <row r="393" spans="1:25" ht="15.75" customHeight="1" x14ac:dyDescent="0.25">
      <c r="A393" s="271"/>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row>
    <row r="394" spans="1:25" ht="15.75" customHeight="1" x14ac:dyDescent="0.25">
      <c r="A394" s="271"/>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row>
    <row r="395" spans="1:25" ht="15.75" customHeight="1" x14ac:dyDescent="0.25">
      <c r="A395" s="271"/>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row>
    <row r="396" spans="1:25" ht="15.75" customHeight="1" x14ac:dyDescent="0.25">
      <c r="A396" s="271"/>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row>
    <row r="397" spans="1:25" ht="15.75" customHeight="1" x14ac:dyDescent="0.25">
      <c r="A397" s="271"/>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row>
    <row r="398" spans="1:25" ht="15.75" customHeight="1" x14ac:dyDescent="0.25">
      <c r="A398" s="271"/>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row>
    <row r="399" spans="1:25" ht="15.75" customHeight="1" x14ac:dyDescent="0.25">
      <c r="A399" s="271"/>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row>
    <row r="400" spans="1:25" ht="15.75" customHeight="1" x14ac:dyDescent="0.25">
      <c r="A400" s="271"/>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row>
    <row r="401" spans="1:25" ht="15.75" customHeight="1" x14ac:dyDescent="0.25">
      <c r="A401" s="271"/>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row>
    <row r="402" spans="1:25" ht="15.75" customHeight="1" x14ac:dyDescent="0.25">
      <c r="A402" s="271"/>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row>
    <row r="403" spans="1:25" ht="15.75" customHeight="1" x14ac:dyDescent="0.25">
      <c r="A403" s="271"/>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row>
    <row r="404" spans="1:25" ht="15.75" customHeight="1" x14ac:dyDescent="0.25">
      <c r="A404" s="271"/>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row>
    <row r="405" spans="1:25" ht="15.75" customHeight="1" x14ac:dyDescent="0.25">
      <c r="A405" s="271"/>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row>
    <row r="406" spans="1:25" ht="15.75" customHeight="1" x14ac:dyDescent="0.25">
      <c r="A406" s="271"/>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row>
    <row r="407" spans="1:25" ht="15.75" customHeight="1" x14ac:dyDescent="0.25">
      <c r="A407" s="271"/>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row>
    <row r="408" spans="1:25" ht="15.75" customHeight="1" x14ac:dyDescent="0.25">
      <c r="A408" s="271"/>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row>
    <row r="409" spans="1:25" ht="15.75" customHeight="1" x14ac:dyDescent="0.25">
      <c r="A409" s="271"/>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row>
    <row r="410" spans="1:25" ht="15.75" customHeight="1" x14ac:dyDescent="0.25">
      <c r="A410" s="271"/>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row>
    <row r="411" spans="1:25" ht="15.75" customHeight="1" x14ac:dyDescent="0.25">
      <c r="A411" s="271"/>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row>
    <row r="412" spans="1:25" ht="15.75" customHeight="1" x14ac:dyDescent="0.25">
      <c r="A412" s="271"/>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row>
    <row r="413" spans="1:25" ht="15.75" customHeight="1" x14ac:dyDescent="0.25">
      <c r="A413" s="271"/>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row>
    <row r="414" spans="1:25" ht="15.75" customHeight="1" x14ac:dyDescent="0.25">
      <c r="A414" s="271"/>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row>
    <row r="415" spans="1:25" ht="15.75" customHeight="1" x14ac:dyDescent="0.25">
      <c r="A415" s="271"/>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row>
    <row r="416" spans="1:25" ht="15.75" customHeight="1" x14ac:dyDescent="0.25">
      <c r="A416" s="271"/>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row>
    <row r="417" spans="1:25" ht="15.75" customHeight="1" x14ac:dyDescent="0.25">
      <c r="A417" s="271"/>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row>
    <row r="418" spans="1:25" ht="15.75" customHeight="1" x14ac:dyDescent="0.25">
      <c r="A418" s="271"/>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row>
    <row r="419" spans="1:25" ht="15.75" customHeight="1" x14ac:dyDescent="0.25">
      <c r="A419" s="271"/>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row>
    <row r="420" spans="1:25" ht="15.75" customHeight="1" x14ac:dyDescent="0.25">
      <c r="A420" s="271"/>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row>
    <row r="421" spans="1:25" ht="15.75" customHeight="1" x14ac:dyDescent="0.25">
      <c r="A421" s="271"/>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row>
    <row r="422" spans="1:25" ht="15.75" customHeight="1" x14ac:dyDescent="0.25">
      <c r="A422" s="271"/>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row>
    <row r="423" spans="1:25" ht="15.75" customHeight="1" x14ac:dyDescent="0.25">
      <c r="A423" s="271"/>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row>
    <row r="424" spans="1:25" ht="15.75" customHeight="1" x14ac:dyDescent="0.25">
      <c r="A424" s="271"/>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row>
    <row r="425" spans="1:25" ht="15.75" customHeight="1" x14ac:dyDescent="0.25">
      <c r="A425" s="271"/>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row>
    <row r="426" spans="1:25" ht="15.75" customHeight="1" x14ac:dyDescent="0.25">
      <c r="A426" s="271"/>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row>
    <row r="427" spans="1:25" ht="15.75" customHeight="1" x14ac:dyDescent="0.25">
      <c r="A427" s="271"/>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row>
    <row r="428" spans="1:25" ht="15.75" customHeight="1" x14ac:dyDescent="0.25">
      <c r="A428" s="271"/>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row>
    <row r="429" spans="1:25" ht="15.75" customHeight="1" x14ac:dyDescent="0.25">
      <c r="A429" s="271"/>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row>
    <row r="430" spans="1:25" ht="15.75" customHeight="1" x14ac:dyDescent="0.25">
      <c r="A430" s="271"/>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row>
    <row r="431" spans="1:25" ht="15.75" customHeight="1" x14ac:dyDescent="0.25">
      <c r="A431" s="271"/>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row>
    <row r="432" spans="1:25" ht="15.75" customHeight="1" x14ac:dyDescent="0.25">
      <c r="A432" s="271"/>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row>
    <row r="433" spans="1:25" ht="15.75" customHeight="1" x14ac:dyDescent="0.25">
      <c r="A433" s="271"/>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row>
    <row r="434" spans="1:25" ht="15.75" customHeight="1" x14ac:dyDescent="0.25">
      <c r="A434" s="271"/>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row>
    <row r="435" spans="1:25" ht="15.75" customHeight="1" x14ac:dyDescent="0.25">
      <c r="A435" s="271"/>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row>
    <row r="436" spans="1:25" ht="15.75" customHeight="1" x14ac:dyDescent="0.25">
      <c r="A436" s="271"/>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row>
    <row r="437" spans="1:25" ht="15.75" customHeight="1" x14ac:dyDescent="0.25">
      <c r="A437" s="271"/>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row>
    <row r="438" spans="1:25" ht="15.75" customHeight="1" x14ac:dyDescent="0.25">
      <c r="A438" s="271"/>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row>
    <row r="439" spans="1:25" ht="15.75" customHeight="1" x14ac:dyDescent="0.25">
      <c r="A439" s="271"/>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row>
    <row r="440" spans="1:25" ht="15.75" customHeight="1" x14ac:dyDescent="0.25">
      <c r="A440" s="271"/>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row>
    <row r="441" spans="1:25" ht="15.75" customHeight="1" x14ac:dyDescent="0.25">
      <c r="A441" s="271"/>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row>
    <row r="442" spans="1:25" ht="15.75" customHeight="1" x14ac:dyDescent="0.25">
      <c r="A442" s="271"/>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row>
    <row r="443" spans="1:25" ht="15.75" customHeight="1" x14ac:dyDescent="0.25">
      <c r="A443" s="271"/>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row>
    <row r="444" spans="1:25" ht="15.75" customHeight="1" x14ac:dyDescent="0.25">
      <c r="A444" s="271"/>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row>
    <row r="445" spans="1:25" ht="15.75" customHeight="1" x14ac:dyDescent="0.25">
      <c r="A445" s="271"/>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row>
    <row r="446" spans="1:25" ht="15.75" customHeight="1" x14ac:dyDescent="0.25">
      <c r="A446" s="271"/>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row>
    <row r="447" spans="1:25" ht="15.75" customHeight="1" x14ac:dyDescent="0.25">
      <c r="A447" s="271"/>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row>
    <row r="448" spans="1:25" ht="15.75" customHeight="1" x14ac:dyDescent="0.25">
      <c r="A448" s="271"/>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row>
    <row r="449" spans="1:25" ht="15.75" customHeight="1" x14ac:dyDescent="0.25">
      <c r="A449" s="271"/>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row>
    <row r="450" spans="1:25" ht="15.75" customHeight="1" x14ac:dyDescent="0.25">
      <c r="A450" s="271"/>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row>
    <row r="451" spans="1:25" ht="15.75" customHeight="1" x14ac:dyDescent="0.25">
      <c r="A451" s="271"/>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row>
    <row r="452" spans="1:25" ht="15.75" customHeight="1" x14ac:dyDescent="0.25">
      <c r="A452" s="271"/>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row>
    <row r="453" spans="1:25" ht="15.75" customHeight="1" x14ac:dyDescent="0.25">
      <c r="A453" s="271"/>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row>
    <row r="454" spans="1:25" ht="15.75" customHeight="1" x14ac:dyDescent="0.25">
      <c r="A454" s="271"/>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row>
    <row r="455" spans="1:25" ht="15.75" customHeight="1" x14ac:dyDescent="0.25">
      <c r="A455" s="271"/>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row>
    <row r="456" spans="1:25" ht="15.75" customHeight="1" x14ac:dyDescent="0.25">
      <c r="A456" s="271"/>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row>
    <row r="457" spans="1:25" ht="15.75" customHeight="1" x14ac:dyDescent="0.25">
      <c r="A457" s="271"/>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row>
    <row r="458" spans="1:25" ht="15.75" customHeight="1" x14ac:dyDescent="0.25">
      <c r="A458" s="271"/>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row>
    <row r="459" spans="1:25" ht="15.75" customHeight="1" x14ac:dyDescent="0.25">
      <c r="A459" s="271"/>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row>
    <row r="460" spans="1:25" ht="15.75" customHeight="1" x14ac:dyDescent="0.25">
      <c r="A460" s="271"/>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row>
    <row r="461" spans="1:25" ht="15.75" customHeight="1" x14ac:dyDescent="0.25">
      <c r="A461" s="271"/>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row>
    <row r="462" spans="1:25" ht="15.75" customHeight="1" x14ac:dyDescent="0.25">
      <c r="A462" s="271"/>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row>
    <row r="463" spans="1:25" ht="15.75" customHeight="1" x14ac:dyDescent="0.25">
      <c r="A463" s="271"/>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row>
    <row r="464" spans="1:25" ht="15.75" customHeight="1" x14ac:dyDescent="0.25">
      <c r="A464" s="271"/>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row>
    <row r="465" spans="1:25" ht="15.75" customHeight="1" x14ac:dyDescent="0.25">
      <c r="A465" s="271"/>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row>
    <row r="466" spans="1:25" ht="15.75" customHeight="1" x14ac:dyDescent="0.25">
      <c r="A466" s="271"/>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row>
    <row r="467" spans="1:25" ht="15.75" customHeight="1" x14ac:dyDescent="0.25">
      <c r="A467" s="271"/>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row>
    <row r="468" spans="1:25" ht="15.75" customHeight="1" x14ac:dyDescent="0.25">
      <c r="A468" s="271"/>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row>
    <row r="469" spans="1:25" ht="15.75" customHeight="1" x14ac:dyDescent="0.25">
      <c r="A469" s="271"/>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row>
    <row r="470" spans="1:25" ht="15.75" customHeight="1" x14ac:dyDescent="0.25">
      <c r="A470" s="271"/>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row>
    <row r="471" spans="1:25" ht="15.75" customHeight="1" x14ac:dyDescent="0.25">
      <c r="A471" s="271"/>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row>
    <row r="472" spans="1:25" ht="15.75" customHeight="1" x14ac:dyDescent="0.25">
      <c r="A472" s="271"/>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row>
    <row r="473" spans="1:25" ht="15.75" customHeight="1" x14ac:dyDescent="0.25">
      <c r="A473" s="271"/>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row>
    <row r="474" spans="1:25" ht="15.75" customHeight="1" x14ac:dyDescent="0.25">
      <c r="A474" s="271"/>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row>
    <row r="475" spans="1:25" ht="15.75" customHeight="1" x14ac:dyDescent="0.25">
      <c r="A475" s="271"/>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row>
    <row r="476" spans="1:25" ht="15.75" customHeight="1" x14ac:dyDescent="0.25">
      <c r="A476" s="271"/>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row>
    <row r="477" spans="1:25" ht="15.75" customHeight="1" x14ac:dyDescent="0.25">
      <c r="A477" s="271"/>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row>
    <row r="478" spans="1:25" ht="15.75" customHeight="1" x14ac:dyDescent="0.25">
      <c r="A478" s="271"/>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row>
    <row r="479" spans="1:25" ht="15.75" customHeight="1" x14ac:dyDescent="0.25">
      <c r="A479" s="271"/>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row>
    <row r="480" spans="1:25" ht="15.75" customHeight="1" x14ac:dyDescent="0.25">
      <c r="A480" s="271"/>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row>
    <row r="481" spans="1:25" ht="15.75" customHeight="1" x14ac:dyDescent="0.25">
      <c r="A481" s="271"/>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row>
    <row r="482" spans="1:25" ht="15.75" customHeight="1" x14ac:dyDescent="0.25">
      <c r="A482" s="271"/>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row>
    <row r="483" spans="1:25" ht="15.75" customHeight="1" x14ac:dyDescent="0.25">
      <c r="A483" s="271"/>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row>
    <row r="484" spans="1:25" ht="15.75" customHeight="1" x14ac:dyDescent="0.25">
      <c r="A484" s="271"/>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row>
    <row r="485" spans="1:25" ht="15.75" customHeight="1" x14ac:dyDescent="0.25">
      <c r="A485" s="271"/>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row>
    <row r="486" spans="1:25" ht="15.75" customHeight="1" x14ac:dyDescent="0.25">
      <c r="A486" s="271"/>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row>
    <row r="487" spans="1:25" ht="15.75" customHeight="1" x14ac:dyDescent="0.25">
      <c r="A487" s="271"/>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row>
    <row r="488" spans="1:25" ht="15.75" customHeight="1" x14ac:dyDescent="0.25">
      <c r="A488" s="271"/>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row>
    <row r="489" spans="1:25" ht="15.75" customHeight="1" x14ac:dyDescent="0.25">
      <c r="A489" s="271"/>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row>
    <row r="490" spans="1:25" ht="15.75" customHeight="1" x14ac:dyDescent="0.25">
      <c r="A490" s="271"/>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row>
    <row r="491" spans="1:25" ht="15.75" customHeight="1" x14ac:dyDescent="0.25">
      <c r="A491" s="271"/>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row>
    <row r="492" spans="1:25" ht="15.75" customHeight="1" x14ac:dyDescent="0.25">
      <c r="A492" s="271"/>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row>
    <row r="493" spans="1:25" ht="15.75" customHeight="1" x14ac:dyDescent="0.25">
      <c r="A493" s="271"/>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row>
    <row r="494" spans="1:25" ht="15.75" customHeight="1" x14ac:dyDescent="0.25">
      <c r="A494" s="271"/>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row>
    <row r="495" spans="1:25" ht="15.75" customHeight="1" x14ac:dyDescent="0.25">
      <c r="A495" s="271"/>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row>
    <row r="496" spans="1:25" ht="15.75" customHeight="1" x14ac:dyDescent="0.25">
      <c r="A496" s="271"/>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row>
    <row r="497" spans="1:25" ht="15.75" customHeight="1" x14ac:dyDescent="0.25">
      <c r="A497" s="271"/>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row>
    <row r="498" spans="1:25" ht="15.75" customHeight="1" x14ac:dyDescent="0.25">
      <c r="A498" s="271"/>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row>
    <row r="499" spans="1:25" ht="15.75" customHeight="1" x14ac:dyDescent="0.25">
      <c r="A499" s="271"/>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row>
    <row r="500" spans="1:25" ht="15.75" customHeight="1" x14ac:dyDescent="0.25">
      <c r="A500" s="271"/>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row>
    <row r="501" spans="1:25" ht="15.75" customHeight="1" x14ac:dyDescent="0.25">
      <c r="A501" s="271"/>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row>
    <row r="502" spans="1:25" ht="15.75" customHeight="1" x14ac:dyDescent="0.25">
      <c r="A502" s="271"/>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row>
    <row r="503" spans="1:25" ht="15.75" customHeight="1" x14ac:dyDescent="0.25">
      <c r="A503" s="271"/>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row>
    <row r="504" spans="1:25" ht="15.75" customHeight="1" x14ac:dyDescent="0.25">
      <c r="A504" s="271"/>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row>
    <row r="505" spans="1:25" ht="15.75" customHeight="1" x14ac:dyDescent="0.25">
      <c r="A505" s="271"/>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row>
    <row r="506" spans="1:25" ht="15.75" customHeight="1" x14ac:dyDescent="0.25">
      <c r="A506" s="271"/>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row>
    <row r="507" spans="1:25" ht="15.75" customHeight="1" x14ac:dyDescent="0.25">
      <c r="A507" s="271"/>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row>
    <row r="508" spans="1:25" ht="15.75" customHeight="1" x14ac:dyDescent="0.25">
      <c r="A508" s="271"/>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row>
    <row r="509" spans="1:25" ht="15.75" customHeight="1" x14ac:dyDescent="0.25">
      <c r="A509" s="271"/>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row>
    <row r="510" spans="1:25" ht="15.75" customHeight="1" x14ac:dyDescent="0.25">
      <c r="A510" s="271"/>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row>
    <row r="511" spans="1:25" ht="15.75" customHeight="1" x14ac:dyDescent="0.25">
      <c r="A511" s="271"/>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row>
    <row r="512" spans="1:25" ht="15.75" customHeight="1" x14ac:dyDescent="0.25">
      <c r="A512" s="271"/>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row>
    <row r="513" spans="1:25" ht="15.75" customHeight="1" x14ac:dyDescent="0.25">
      <c r="A513" s="271"/>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row>
    <row r="514" spans="1:25" ht="15.75" customHeight="1" x14ac:dyDescent="0.25">
      <c r="A514" s="271"/>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row>
    <row r="515" spans="1:25" ht="15.75" customHeight="1" x14ac:dyDescent="0.25">
      <c r="A515" s="271"/>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row>
    <row r="516" spans="1:25" ht="15.75" customHeight="1" x14ac:dyDescent="0.25">
      <c r="A516" s="271"/>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row>
    <row r="517" spans="1:25" ht="15.75" customHeight="1" x14ac:dyDescent="0.25">
      <c r="A517" s="271"/>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row>
    <row r="518" spans="1:25" ht="15.75" customHeight="1" x14ac:dyDescent="0.25">
      <c r="A518" s="271"/>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row>
    <row r="519" spans="1:25" ht="15.75" customHeight="1" x14ac:dyDescent="0.25">
      <c r="A519" s="271"/>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row>
    <row r="520" spans="1:25" ht="15.75" customHeight="1" x14ac:dyDescent="0.25">
      <c r="A520" s="271"/>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row>
    <row r="521" spans="1:25" ht="15.75" customHeight="1" x14ac:dyDescent="0.25">
      <c r="A521" s="271"/>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row>
    <row r="522" spans="1:25" ht="15.75" customHeight="1" x14ac:dyDescent="0.25">
      <c r="A522" s="271"/>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row>
    <row r="523" spans="1:25" ht="15.75" customHeight="1" x14ac:dyDescent="0.25">
      <c r="A523" s="271"/>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row>
    <row r="524" spans="1:25" ht="15.75" customHeight="1" x14ac:dyDescent="0.25">
      <c r="A524" s="271"/>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row>
    <row r="525" spans="1:25" ht="15.75" customHeight="1" x14ac:dyDescent="0.25">
      <c r="A525" s="271"/>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row>
    <row r="526" spans="1:25" ht="15.75" customHeight="1" x14ac:dyDescent="0.25">
      <c r="A526" s="271"/>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row>
    <row r="527" spans="1:25" ht="15.75" customHeight="1" x14ac:dyDescent="0.25">
      <c r="A527" s="271"/>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row>
    <row r="528" spans="1:25" ht="15.75" customHeight="1" x14ac:dyDescent="0.25">
      <c r="A528" s="271"/>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row>
    <row r="529" spans="1:25" ht="15.75" customHeight="1" x14ac:dyDescent="0.25">
      <c r="A529" s="271"/>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row>
    <row r="530" spans="1:25" ht="15.75" customHeight="1" x14ac:dyDescent="0.25">
      <c r="A530" s="271"/>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row>
    <row r="531" spans="1:25" ht="15.75" customHeight="1" x14ac:dyDescent="0.25">
      <c r="A531" s="271"/>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row>
    <row r="532" spans="1:25" ht="15.75" customHeight="1" x14ac:dyDescent="0.25">
      <c r="A532" s="271"/>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row>
    <row r="533" spans="1:25" ht="15.75" customHeight="1" x14ac:dyDescent="0.25">
      <c r="A533" s="271"/>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row>
    <row r="534" spans="1:25" ht="15.75" customHeight="1" x14ac:dyDescent="0.25">
      <c r="A534" s="271"/>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row>
    <row r="535" spans="1:25" ht="15.75" customHeight="1" x14ac:dyDescent="0.25">
      <c r="A535" s="271"/>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row>
    <row r="536" spans="1:25" ht="15.75" customHeight="1" x14ac:dyDescent="0.25">
      <c r="A536" s="271"/>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row>
    <row r="537" spans="1:25" ht="15.75" customHeight="1" x14ac:dyDescent="0.25">
      <c r="A537" s="271"/>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row>
    <row r="538" spans="1:25" ht="15.75" customHeight="1" x14ac:dyDescent="0.25">
      <c r="A538" s="271"/>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row>
    <row r="539" spans="1:25" ht="15.75" customHeight="1" x14ac:dyDescent="0.25">
      <c r="A539" s="271"/>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row>
    <row r="540" spans="1:25" ht="15.75" customHeight="1" x14ac:dyDescent="0.25">
      <c r="A540" s="271"/>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row>
    <row r="541" spans="1:25" ht="15.75" customHeight="1" x14ac:dyDescent="0.25">
      <c r="A541" s="271"/>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row>
    <row r="542" spans="1:25" ht="15.75" customHeight="1" x14ac:dyDescent="0.25">
      <c r="A542" s="271"/>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row>
    <row r="543" spans="1:25" ht="15.75" customHeight="1" x14ac:dyDescent="0.25">
      <c r="A543" s="271"/>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row>
    <row r="544" spans="1:25" ht="15.75" customHeight="1" x14ac:dyDescent="0.25">
      <c r="A544" s="271"/>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row>
    <row r="545" spans="1:25" ht="15.75" customHeight="1" x14ac:dyDescent="0.25">
      <c r="A545" s="271"/>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row>
    <row r="546" spans="1:25" ht="15.75" customHeight="1" x14ac:dyDescent="0.25">
      <c r="A546" s="271"/>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row>
    <row r="547" spans="1:25" ht="15.75" customHeight="1" x14ac:dyDescent="0.25">
      <c r="A547" s="271"/>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row>
    <row r="548" spans="1:25" ht="15.75" customHeight="1" x14ac:dyDescent="0.25">
      <c r="A548" s="271"/>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row>
    <row r="549" spans="1:25" ht="15.75" customHeight="1" x14ac:dyDescent="0.25">
      <c r="A549" s="271"/>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row>
    <row r="550" spans="1:25" ht="15.75" customHeight="1" x14ac:dyDescent="0.25">
      <c r="A550" s="271"/>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row>
    <row r="551" spans="1:25" ht="15.75" customHeight="1" x14ac:dyDescent="0.25">
      <c r="A551" s="271"/>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row>
    <row r="552" spans="1:25" ht="15.75" customHeight="1" x14ac:dyDescent="0.25">
      <c r="A552" s="271"/>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row>
    <row r="553" spans="1:25" ht="15.75" customHeight="1" x14ac:dyDescent="0.25">
      <c r="A553" s="271"/>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row>
    <row r="554" spans="1:25" ht="15.75" customHeight="1" x14ac:dyDescent="0.25">
      <c r="A554" s="271"/>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row>
    <row r="555" spans="1:25" ht="15.75" customHeight="1" x14ac:dyDescent="0.25">
      <c r="A555" s="271"/>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row>
    <row r="556" spans="1:25" ht="15.75" customHeight="1" x14ac:dyDescent="0.25">
      <c r="A556" s="271"/>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row>
    <row r="557" spans="1:25" ht="15.75" customHeight="1" x14ac:dyDescent="0.25">
      <c r="A557" s="271"/>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row>
    <row r="558" spans="1:25" ht="15.75" customHeight="1" x14ac:dyDescent="0.25">
      <c r="A558" s="271"/>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row>
    <row r="559" spans="1:25" ht="15.75" customHeight="1" x14ac:dyDescent="0.25">
      <c r="A559" s="271"/>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row>
    <row r="560" spans="1:25" ht="15.75" customHeight="1" x14ac:dyDescent="0.25">
      <c r="A560" s="271"/>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row>
    <row r="561" spans="1:25" ht="15.75" customHeight="1" x14ac:dyDescent="0.25">
      <c r="A561" s="271"/>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row>
    <row r="562" spans="1:25" ht="15.75" customHeight="1" x14ac:dyDescent="0.25">
      <c r="A562" s="271"/>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row>
    <row r="563" spans="1:25" ht="15.75" customHeight="1" x14ac:dyDescent="0.25">
      <c r="A563" s="271"/>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row>
    <row r="564" spans="1:25" ht="15.75" customHeight="1" x14ac:dyDescent="0.25">
      <c r="A564" s="271"/>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row>
    <row r="565" spans="1:25" ht="15.75" customHeight="1" x14ac:dyDescent="0.25">
      <c r="A565" s="271"/>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row>
    <row r="566" spans="1:25" ht="15.75" customHeight="1" x14ac:dyDescent="0.25">
      <c r="A566" s="271"/>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row>
    <row r="567" spans="1:25" ht="15.75" customHeight="1" x14ac:dyDescent="0.25">
      <c r="A567" s="271"/>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row>
    <row r="568" spans="1:25" ht="15.75" customHeight="1" x14ac:dyDescent="0.25">
      <c r="A568" s="271"/>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row>
    <row r="569" spans="1:25" ht="15.75" customHeight="1" x14ac:dyDescent="0.25">
      <c r="A569" s="271"/>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row>
    <row r="570" spans="1:25" ht="15.75" customHeight="1" x14ac:dyDescent="0.25">
      <c r="A570" s="271"/>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row>
    <row r="571" spans="1:25" ht="15.75" customHeight="1" x14ac:dyDescent="0.25">
      <c r="A571" s="271"/>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row>
    <row r="572" spans="1:25" ht="15.75" customHeight="1" x14ac:dyDescent="0.25">
      <c r="A572" s="271"/>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row>
    <row r="573" spans="1:25" ht="15.75" customHeight="1" x14ac:dyDescent="0.25">
      <c r="A573" s="271"/>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row>
    <row r="574" spans="1:25" ht="15.75" customHeight="1" x14ac:dyDescent="0.25">
      <c r="A574" s="271"/>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row>
    <row r="575" spans="1:25" ht="15.75" customHeight="1" x14ac:dyDescent="0.25">
      <c r="A575" s="271"/>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row>
    <row r="576" spans="1:25" ht="15.75" customHeight="1" x14ac:dyDescent="0.25">
      <c r="A576" s="271"/>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row>
    <row r="577" spans="1:25" ht="15.75" customHeight="1" x14ac:dyDescent="0.25">
      <c r="A577" s="271"/>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row>
    <row r="578" spans="1:25" ht="15.75" customHeight="1" x14ac:dyDescent="0.25">
      <c r="A578" s="271"/>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row>
    <row r="579" spans="1:25" ht="15.75" customHeight="1" x14ac:dyDescent="0.25">
      <c r="A579" s="271"/>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row>
    <row r="580" spans="1:25" ht="15.75" customHeight="1" x14ac:dyDescent="0.25">
      <c r="A580" s="271"/>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row>
    <row r="581" spans="1:25" ht="15.75" customHeight="1" x14ac:dyDescent="0.25">
      <c r="A581" s="271"/>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row>
    <row r="582" spans="1:25" ht="15.75" customHeight="1" x14ac:dyDescent="0.25">
      <c r="A582" s="271"/>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row>
    <row r="583" spans="1:25" ht="15.75" customHeight="1" x14ac:dyDescent="0.25">
      <c r="A583" s="271"/>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row>
    <row r="584" spans="1:25" ht="15.75" customHeight="1" x14ac:dyDescent="0.25">
      <c r="A584" s="271"/>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row>
    <row r="585" spans="1:25" ht="15.75" customHeight="1" x14ac:dyDescent="0.25">
      <c r="A585" s="271"/>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row>
    <row r="586" spans="1:25" ht="15.75" customHeight="1" x14ac:dyDescent="0.25">
      <c r="A586" s="271"/>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row>
    <row r="587" spans="1:25" ht="15.75" customHeight="1" x14ac:dyDescent="0.25">
      <c r="A587" s="271"/>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row>
    <row r="588" spans="1:25" ht="15.75" customHeight="1" x14ac:dyDescent="0.25">
      <c r="A588" s="271"/>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row>
    <row r="589" spans="1:25" ht="15.75" customHeight="1" x14ac:dyDescent="0.25">
      <c r="A589" s="271"/>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row>
    <row r="590" spans="1:25" ht="15.75" customHeight="1" x14ac:dyDescent="0.25">
      <c r="A590" s="271"/>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row>
    <row r="591" spans="1:25" ht="15.75" customHeight="1" x14ac:dyDescent="0.25">
      <c r="A591" s="271"/>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row>
    <row r="592" spans="1:25" ht="15.75" customHeight="1" x14ac:dyDescent="0.25">
      <c r="A592" s="271"/>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row>
    <row r="593" spans="1:25" ht="15.75" customHeight="1" x14ac:dyDescent="0.25">
      <c r="A593" s="271"/>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row>
    <row r="594" spans="1:25" ht="15.75" customHeight="1" x14ac:dyDescent="0.25">
      <c r="A594" s="271"/>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row>
    <row r="595" spans="1:25" ht="15.75" customHeight="1" x14ac:dyDescent="0.25">
      <c r="A595" s="271"/>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row>
    <row r="596" spans="1:25" ht="15.75" customHeight="1" x14ac:dyDescent="0.25">
      <c r="A596" s="271"/>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row>
    <row r="597" spans="1:25" ht="15.75" customHeight="1" x14ac:dyDescent="0.25">
      <c r="A597" s="271"/>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row>
    <row r="598" spans="1:25" ht="15.75" customHeight="1" x14ac:dyDescent="0.25">
      <c r="A598" s="271"/>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row>
    <row r="599" spans="1:25" ht="15.75" customHeight="1" x14ac:dyDescent="0.25">
      <c r="A599" s="271"/>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row>
    <row r="600" spans="1:25" ht="15.75" customHeight="1" x14ac:dyDescent="0.25">
      <c r="A600" s="271"/>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row>
    <row r="601" spans="1:25" ht="15.75" customHeight="1" x14ac:dyDescent="0.25">
      <c r="A601" s="271"/>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row>
    <row r="602" spans="1:25" ht="15.75" customHeight="1" x14ac:dyDescent="0.25">
      <c r="A602" s="271"/>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row>
    <row r="603" spans="1:25" ht="15.75" customHeight="1" x14ac:dyDescent="0.25">
      <c r="A603" s="271"/>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row>
    <row r="604" spans="1:25" ht="15.75" customHeight="1" x14ac:dyDescent="0.25">
      <c r="A604" s="271"/>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row>
    <row r="605" spans="1:25" ht="15.75" customHeight="1" x14ac:dyDescent="0.25">
      <c r="A605" s="271"/>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row>
    <row r="606" spans="1:25" ht="15.75" customHeight="1" x14ac:dyDescent="0.25">
      <c r="A606" s="271"/>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row>
    <row r="607" spans="1:25" ht="15.75" customHeight="1" x14ac:dyDescent="0.25">
      <c r="A607" s="271"/>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row>
    <row r="608" spans="1:25" ht="15.75" customHeight="1" x14ac:dyDescent="0.25">
      <c r="A608" s="271"/>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row>
    <row r="609" spans="1:25" ht="15.75" customHeight="1" x14ac:dyDescent="0.25">
      <c r="A609" s="271"/>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row>
    <row r="610" spans="1:25" ht="15.75" customHeight="1" x14ac:dyDescent="0.25">
      <c r="A610" s="271"/>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row>
    <row r="611" spans="1:25" ht="15.75" customHeight="1" x14ac:dyDescent="0.25">
      <c r="A611" s="271"/>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row>
    <row r="612" spans="1:25" ht="15.75" customHeight="1" x14ac:dyDescent="0.25">
      <c r="A612" s="271"/>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row>
    <row r="613" spans="1:25" ht="15.75" customHeight="1" x14ac:dyDescent="0.25">
      <c r="A613" s="271"/>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row>
    <row r="614" spans="1:25" ht="15.75" customHeight="1" x14ac:dyDescent="0.25">
      <c r="A614" s="271"/>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row>
    <row r="615" spans="1:25" ht="15.75" customHeight="1" x14ac:dyDescent="0.25">
      <c r="A615" s="271"/>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row>
    <row r="616" spans="1:25" ht="15.75" customHeight="1" x14ac:dyDescent="0.25">
      <c r="A616" s="271"/>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row>
    <row r="617" spans="1:25" ht="15.75" customHeight="1" x14ac:dyDescent="0.25">
      <c r="A617" s="271"/>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row>
    <row r="618" spans="1:25" ht="15.75" customHeight="1" x14ac:dyDescent="0.25">
      <c r="A618" s="271"/>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row>
    <row r="619" spans="1:25" ht="15.75" customHeight="1" x14ac:dyDescent="0.25">
      <c r="A619" s="271"/>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row>
    <row r="620" spans="1:25" ht="15.75" customHeight="1" x14ac:dyDescent="0.25">
      <c r="A620" s="271"/>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row>
    <row r="621" spans="1:25" ht="15.75" customHeight="1" x14ac:dyDescent="0.25">
      <c r="A621" s="271"/>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row>
    <row r="622" spans="1:25" ht="15.75" customHeight="1" x14ac:dyDescent="0.25">
      <c r="A622" s="271"/>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row>
    <row r="623" spans="1:25" ht="15.75" customHeight="1" x14ac:dyDescent="0.25">
      <c r="A623" s="271"/>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row>
    <row r="624" spans="1:25" ht="15.75" customHeight="1" x14ac:dyDescent="0.25">
      <c r="A624" s="271"/>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row>
    <row r="625" spans="1:25" ht="15.75" customHeight="1" x14ac:dyDescent="0.25">
      <c r="A625" s="271"/>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row>
    <row r="626" spans="1:25" ht="15.75" customHeight="1" x14ac:dyDescent="0.25">
      <c r="A626" s="271"/>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row>
    <row r="627" spans="1:25" ht="15.75" customHeight="1" x14ac:dyDescent="0.25">
      <c r="A627" s="271"/>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row>
    <row r="628" spans="1:25" ht="15.75" customHeight="1" x14ac:dyDescent="0.25">
      <c r="A628" s="271"/>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row>
    <row r="629" spans="1:25" ht="15.75" customHeight="1" x14ac:dyDescent="0.25">
      <c r="A629" s="271"/>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row>
    <row r="630" spans="1:25" ht="15.75" customHeight="1" x14ac:dyDescent="0.25">
      <c r="A630" s="271"/>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row>
    <row r="631" spans="1:25" ht="15.75" customHeight="1" x14ac:dyDescent="0.25">
      <c r="A631" s="271"/>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row>
    <row r="632" spans="1:25" ht="15.75" customHeight="1" x14ac:dyDescent="0.25">
      <c r="A632" s="271"/>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row>
    <row r="633" spans="1:25" ht="15.75" customHeight="1" x14ac:dyDescent="0.25">
      <c r="A633" s="271"/>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row>
    <row r="634" spans="1:25" ht="15.75" customHeight="1" x14ac:dyDescent="0.25">
      <c r="A634" s="271"/>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row>
    <row r="635" spans="1:25" ht="15.75" customHeight="1" x14ac:dyDescent="0.25">
      <c r="A635" s="271"/>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row>
    <row r="636" spans="1:25" ht="15.75" customHeight="1" x14ac:dyDescent="0.25">
      <c r="A636" s="271"/>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row>
    <row r="637" spans="1:25" ht="15.75" customHeight="1" x14ac:dyDescent="0.25">
      <c r="A637" s="271"/>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row>
    <row r="638" spans="1:25" ht="15.75" customHeight="1" x14ac:dyDescent="0.25">
      <c r="A638" s="271"/>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row>
    <row r="639" spans="1:25" ht="15.75" customHeight="1" x14ac:dyDescent="0.25">
      <c r="A639" s="271"/>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row>
    <row r="640" spans="1:25" ht="15.75" customHeight="1" x14ac:dyDescent="0.25">
      <c r="A640" s="271"/>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row>
    <row r="641" spans="1:25" ht="15.75" customHeight="1" x14ac:dyDescent="0.25">
      <c r="A641" s="271"/>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row>
    <row r="642" spans="1:25" ht="15.75" customHeight="1" x14ac:dyDescent="0.25">
      <c r="A642" s="271"/>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row>
    <row r="643" spans="1:25" ht="15.75" customHeight="1" x14ac:dyDescent="0.25">
      <c r="A643" s="271"/>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row>
    <row r="644" spans="1:25" ht="15.75" customHeight="1" x14ac:dyDescent="0.25">
      <c r="A644" s="271"/>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row>
    <row r="645" spans="1:25" ht="15.75" customHeight="1" x14ac:dyDescent="0.25">
      <c r="A645" s="271"/>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row>
    <row r="646" spans="1:25" ht="15.75" customHeight="1" x14ac:dyDescent="0.25">
      <c r="A646" s="271"/>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row>
    <row r="647" spans="1:25" ht="15.75" customHeight="1" x14ac:dyDescent="0.25">
      <c r="A647" s="271"/>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row>
    <row r="648" spans="1:25" ht="15.75" customHeight="1" x14ac:dyDescent="0.25">
      <c r="A648" s="271"/>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row>
    <row r="649" spans="1:25" ht="15.75" customHeight="1" x14ac:dyDescent="0.25">
      <c r="A649" s="271"/>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row>
    <row r="650" spans="1:25" ht="15.75" customHeight="1" x14ac:dyDescent="0.25">
      <c r="A650" s="271"/>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row>
    <row r="651" spans="1:25" ht="15.75" customHeight="1" x14ac:dyDescent="0.25">
      <c r="A651" s="271"/>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row>
    <row r="652" spans="1:25" ht="15.75" customHeight="1" x14ac:dyDescent="0.25">
      <c r="A652" s="271"/>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row>
    <row r="653" spans="1:25" ht="15.75" customHeight="1" x14ac:dyDescent="0.25">
      <c r="A653" s="271"/>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row>
    <row r="654" spans="1:25" ht="15.75" customHeight="1" x14ac:dyDescent="0.25">
      <c r="A654" s="271"/>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row>
    <row r="655" spans="1:25" ht="15.75" customHeight="1" x14ac:dyDescent="0.25">
      <c r="A655" s="271"/>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row>
    <row r="656" spans="1:25" ht="15.75" customHeight="1" x14ac:dyDescent="0.25">
      <c r="A656" s="271"/>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row>
    <row r="657" spans="1:25" ht="15.75" customHeight="1" x14ac:dyDescent="0.25">
      <c r="A657" s="271"/>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row>
    <row r="658" spans="1:25" ht="15.75" customHeight="1" x14ac:dyDescent="0.25">
      <c r="A658" s="271"/>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row>
    <row r="659" spans="1:25" ht="15.75" customHeight="1" x14ac:dyDescent="0.25">
      <c r="A659" s="271"/>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row>
    <row r="660" spans="1:25" ht="15.75" customHeight="1" x14ac:dyDescent="0.25">
      <c r="A660" s="271"/>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row>
    <row r="661" spans="1:25" ht="15.75" customHeight="1" x14ac:dyDescent="0.25">
      <c r="A661" s="271"/>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row>
    <row r="662" spans="1:25" ht="15.75" customHeight="1" x14ac:dyDescent="0.25">
      <c r="A662" s="271"/>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row>
    <row r="663" spans="1:25" ht="15.75" customHeight="1" x14ac:dyDescent="0.25">
      <c r="A663" s="271"/>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row>
    <row r="664" spans="1:25" ht="15.75" customHeight="1" x14ac:dyDescent="0.25">
      <c r="A664" s="271"/>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row>
    <row r="665" spans="1:25" ht="15.75" customHeight="1" x14ac:dyDescent="0.25">
      <c r="A665" s="271"/>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row>
    <row r="666" spans="1:25" ht="15.75" customHeight="1" x14ac:dyDescent="0.25">
      <c r="A666" s="271"/>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row>
    <row r="667" spans="1:25" ht="15.75" customHeight="1" x14ac:dyDescent="0.25">
      <c r="A667" s="271"/>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row>
    <row r="668" spans="1:25" ht="15.75" customHeight="1" x14ac:dyDescent="0.25">
      <c r="A668" s="271"/>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row>
    <row r="669" spans="1:25" ht="15.75" customHeight="1" x14ac:dyDescent="0.25">
      <c r="A669" s="271"/>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row>
    <row r="670" spans="1:25" ht="15.75" customHeight="1" x14ac:dyDescent="0.25">
      <c r="A670" s="271"/>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row>
    <row r="671" spans="1:25" ht="15.75" customHeight="1" x14ac:dyDescent="0.25">
      <c r="A671" s="271"/>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row>
    <row r="672" spans="1:25" ht="15.75" customHeight="1" x14ac:dyDescent="0.25">
      <c r="A672" s="271"/>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row>
    <row r="673" spans="1:25" ht="15.75" customHeight="1" x14ac:dyDescent="0.25">
      <c r="A673" s="271"/>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row>
    <row r="674" spans="1:25" ht="15.75" customHeight="1" x14ac:dyDescent="0.25">
      <c r="A674" s="271"/>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row>
    <row r="675" spans="1:25" ht="15.75" customHeight="1" x14ac:dyDescent="0.25">
      <c r="A675" s="271"/>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row>
    <row r="676" spans="1:25" ht="15.75" customHeight="1" x14ac:dyDescent="0.25">
      <c r="A676" s="271"/>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row>
    <row r="677" spans="1:25" ht="15.75" customHeight="1" x14ac:dyDescent="0.25">
      <c r="A677" s="271"/>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row>
    <row r="678" spans="1:25" ht="15.75" customHeight="1" x14ac:dyDescent="0.25">
      <c r="A678" s="271"/>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row>
    <row r="679" spans="1:25" ht="15.75" customHeight="1" x14ac:dyDescent="0.25">
      <c r="A679" s="271"/>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row>
    <row r="680" spans="1:25" ht="15.75" customHeight="1" x14ac:dyDescent="0.25">
      <c r="A680" s="271"/>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row>
    <row r="681" spans="1:25" ht="15.75" customHeight="1" x14ac:dyDescent="0.25">
      <c r="A681" s="271"/>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row>
    <row r="682" spans="1:25" ht="15.75" customHeight="1" x14ac:dyDescent="0.25">
      <c r="A682" s="271"/>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row>
    <row r="683" spans="1:25" ht="15.75" customHeight="1" x14ac:dyDescent="0.25">
      <c r="A683" s="271"/>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row>
    <row r="684" spans="1:25" ht="15.75" customHeight="1" x14ac:dyDescent="0.25">
      <c r="A684" s="271"/>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row>
    <row r="685" spans="1:25" ht="15.75" customHeight="1" x14ac:dyDescent="0.25">
      <c r="A685" s="271"/>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row>
    <row r="686" spans="1:25" ht="15.75" customHeight="1" x14ac:dyDescent="0.25">
      <c r="A686" s="271"/>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row>
    <row r="687" spans="1:25" ht="15.75" customHeight="1" x14ac:dyDescent="0.25">
      <c r="A687" s="271"/>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row>
    <row r="688" spans="1:25" ht="15.75" customHeight="1" x14ac:dyDescent="0.25">
      <c r="A688" s="271"/>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row>
    <row r="689" spans="1:25" ht="15.75" customHeight="1" x14ac:dyDescent="0.25">
      <c r="A689" s="271"/>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row>
    <row r="690" spans="1:25" ht="15.75" customHeight="1" x14ac:dyDescent="0.25">
      <c r="A690" s="271"/>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row>
    <row r="691" spans="1:25" ht="15.75" customHeight="1" x14ac:dyDescent="0.25">
      <c r="A691" s="271"/>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row>
    <row r="692" spans="1:25" ht="15.75" customHeight="1" x14ac:dyDescent="0.25">
      <c r="A692" s="271"/>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row>
    <row r="693" spans="1:25" ht="15.75" customHeight="1" x14ac:dyDescent="0.25">
      <c r="A693" s="271"/>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row>
    <row r="694" spans="1:25" ht="15.75" customHeight="1" x14ac:dyDescent="0.25">
      <c r="A694" s="271"/>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row>
    <row r="695" spans="1:25" ht="15.75" customHeight="1" x14ac:dyDescent="0.25">
      <c r="A695" s="271"/>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row>
    <row r="696" spans="1:25" ht="15.75" customHeight="1" x14ac:dyDescent="0.25">
      <c r="A696" s="271"/>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row>
    <row r="697" spans="1:25" ht="15.75" customHeight="1" x14ac:dyDescent="0.25">
      <c r="A697" s="271"/>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row>
    <row r="698" spans="1:25" ht="15.75" customHeight="1" x14ac:dyDescent="0.25">
      <c r="A698" s="271"/>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row>
    <row r="699" spans="1:25" ht="15.75" customHeight="1" x14ac:dyDescent="0.25">
      <c r="A699" s="271"/>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row>
    <row r="700" spans="1:25" ht="15.75" customHeight="1" x14ac:dyDescent="0.25">
      <c r="A700" s="271"/>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row>
    <row r="701" spans="1:25" ht="15.75" customHeight="1" x14ac:dyDescent="0.25">
      <c r="A701" s="271"/>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row>
    <row r="702" spans="1:25" ht="15.75" customHeight="1" x14ac:dyDescent="0.25">
      <c r="A702" s="271"/>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row>
    <row r="703" spans="1:25" ht="15.75" customHeight="1" x14ac:dyDescent="0.25">
      <c r="A703" s="271"/>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row>
    <row r="704" spans="1:25" ht="15.75" customHeight="1" x14ac:dyDescent="0.25">
      <c r="A704" s="271"/>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row>
    <row r="705" spans="1:25" ht="15.75" customHeight="1" x14ac:dyDescent="0.25">
      <c r="A705" s="271"/>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row>
    <row r="706" spans="1:25" ht="15.75" customHeight="1" x14ac:dyDescent="0.25">
      <c r="A706" s="271"/>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row>
    <row r="707" spans="1:25" ht="15.75" customHeight="1" x14ac:dyDescent="0.25">
      <c r="A707" s="271"/>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row>
    <row r="708" spans="1:25" ht="15.75" customHeight="1" x14ac:dyDescent="0.25">
      <c r="A708" s="271"/>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row>
    <row r="709" spans="1:25" ht="15.75" customHeight="1" x14ac:dyDescent="0.25">
      <c r="A709" s="271"/>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row>
    <row r="710" spans="1:25" ht="15.75" customHeight="1" x14ac:dyDescent="0.25">
      <c r="A710" s="271"/>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row>
    <row r="711" spans="1:25" ht="15.75" customHeight="1" x14ac:dyDescent="0.25">
      <c r="A711" s="271"/>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row>
    <row r="712" spans="1:25" ht="15.75" customHeight="1" x14ac:dyDescent="0.25">
      <c r="A712" s="271"/>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row>
    <row r="713" spans="1:25" ht="15.75" customHeight="1" x14ac:dyDescent="0.25">
      <c r="A713" s="271"/>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row>
    <row r="714" spans="1:25" ht="15.75" customHeight="1" x14ac:dyDescent="0.25">
      <c r="A714" s="271"/>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row>
    <row r="715" spans="1:25" ht="15.75" customHeight="1" x14ac:dyDescent="0.25">
      <c r="A715" s="271"/>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row>
    <row r="716" spans="1:25" ht="15.75" customHeight="1" x14ac:dyDescent="0.25">
      <c r="A716" s="271"/>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row>
    <row r="717" spans="1:25" ht="15.75" customHeight="1" x14ac:dyDescent="0.25">
      <c r="A717" s="271"/>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row>
    <row r="718" spans="1:25" ht="15.75" customHeight="1" x14ac:dyDescent="0.25">
      <c r="A718" s="271"/>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row>
    <row r="719" spans="1:25" ht="15.75" customHeight="1" x14ac:dyDescent="0.25">
      <c r="A719" s="271"/>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row>
    <row r="720" spans="1:25" ht="15.75" customHeight="1" x14ac:dyDescent="0.25">
      <c r="A720" s="271"/>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row>
    <row r="721" spans="1:25" ht="15.75" customHeight="1" x14ac:dyDescent="0.25">
      <c r="A721" s="271"/>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row>
    <row r="722" spans="1:25" ht="15.75" customHeight="1" x14ac:dyDescent="0.25">
      <c r="A722" s="271"/>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row>
    <row r="723" spans="1:25" ht="15.75" customHeight="1" x14ac:dyDescent="0.25">
      <c r="A723" s="271"/>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row>
    <row r="724" spans="1:25" ht="15.75" customHeight="1" x14ac:dyDescent="0.25">
      <c r="A724" s="271"/>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row>
    <row r="725" spans="1:25" ht="15.75" customHeight="1" x14ac:dyDescent="0.25">
      <c r="A725" s="271"/>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row>
    <row r="726" spans="1:25" ht="15.75" customHeight="1" x14ac:dyDescent="0.25">
      <c r="A726" s="271"/>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row>
    <row r="727" spans="1:25" ht="15.75" customHeight="1" x14ac:dyDescent="0.25">
      <c r="A727" s="271"/>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row>
    <row r="728" spans="1:25" ht="15.75" customHeight="1" x14ac:dyDescent="0.25">
      <c r="A728" s="271"/>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row>
    <row r="729" spans="1:25" ht="15.75" customHeight="1" x14ac:dyDescent="0.25">
      <c r="A729" s="271"/>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row>
    <row r="730" spans="1:25" ht="15.75" customHeight="1" x14ac:dyDescent="0.25">
      <c r="A730" s="271"/>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row>
    <row r="731" spans="1:25" ht="15.75" customHeight="1" x14ac:dyDescent="0.25">
      <c r="A731" s="271"/>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row>
    <row r="732" spans="1:25" ht="15.75" customHeight="1" x14ac:dyDescent="0.25">
      <c r="A732" s="271"/>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row>
    <row r="733" spans="1:25" ht="15.75" customHeight="1" x14ac:dyDescent="0.25">
      <c r="A733" s="271"/>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row>
    <row r="734" spans="1:25" ht="15.75" customHeight="1" x14ac:dyDescent="0.25">
      <c r="A734" s="271"/>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row>
    <row r="735" spans="1:25" ht="15.75" customHeight="1" x14ac:dyDescent="0.25">
      <c r="A735" s="271"/>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row>
    <row r="736" spans="1:25" ht="15.75" customHeight="1" x14ac:dyDescent="0.25">
      <c r="A736" s="271"/>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row>
    <row r="737" spans="1:25" ht="15.75" customHeight="1" x14ac:dyDescent="0.25">
      <c r="A737" s="271"/>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row>
    <row r="738" spans="1:25" ht="15.75" customHeight="1" x14ac:dyDescent="0.25">
      <c r="A738" s="271"/>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row>
    <row r="739" spans="1:25" ht="15.75" customHeight="1" x14ac:dyDescent="0.25">
      <c r="A739" s="271"/>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row>
    <row r="740" spans="1:25" ht="15.75" customHeight="1" x14ac:dyDescent="0.25">
      <c r="A740" s="271"/>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row>
    <row r="741" spans="1:25" ht="15.75" customHeight="1" x14ac:dyDescent="0.25">
      <c r="A741" s="271"/>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row>
    <row r="742" spans="1:25" ht="15.75" customHeight="1" x14ac:dyDescent="0.25">
      <c r="A742" s="271"/>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row>
    <row r="743" spans="1:25" ht="15.75" customHeight="1" x14ac:dyDescent="0.25">
      <c r="A743" s="271"/>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row>
    <row r="744" spans="1:25" ht="15.75" customHeight="1" x14ac:dyDescent="0.25">
      <c r="A744" s="271"/>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row>
    <row r="745" spans="1:25" ht="15.75" customHeight="1" x14ac:dyDescent="0.25">
      <c r="A745" s="271"/>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row>
    <row r="746" spans="1:25" ht="15.75" customHeight="1" x14ac:dyDescent="0.25">
      <c r="A746" s="271"/>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row>
    <row r="747" spans="1:25" ht="15.75" customHeight="1" x14ac:dyDescent="0.25">
      <c r="A747" s="271"/>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row>
    <row r="748" spans="1:25" ht="15.75" customHeight="1" x14ac:dyDescent="0.25">
      <c r="A748" s="271"/>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row>
    <row r="749" spans="1:25" ht="15.75" customHeight="1" x14ac:dyDescent="0.25">
      <c r="A749" s="271"/>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row>
    <row r="750" spans="1:25" ht="15.75" customHeight="1" x14ac:dyDescent="0.25">
      <c r="A750" s="271"/>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row>
    <row r="751" spans="1:25" ht="15.75" customHeight="1" x14ac:dyDescent="0.25">
      <c r="A751" s="271"/>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row>
    <row r="752" spans="1:25" ht="15.75" customHeight="1" x14ac:dyDescent="0.25">
      <c r="A752" s="271"/>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row>
    <row r="753" spans="1:25" ht="15.75" customHeight="1" x14ac:dyDescent="0.25">
      <c r="A753" s="271"/>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row>
    <row r="754" spans="1:25" ht="15.75" customHeight="1" x14ac:dyDescent="0.25">
      <c r="A754" s="271"/>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row>
    <row r="755" spans="1:25" ht="15.75" customHeight="1" x14ac:dyDescent="0.25">
      <c r="A755" s="271"/>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row>
    <row r="756" spans="1:25" ht="15.75" customHeight="1" x14ac:dyDescent="0.25">
      <c r="A756" s="271"/>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row>
    <row r="757" spans="1:25" ht="15.75" customHeight="1" x14ac:dyDescent="0.25">
      <c r="A757" s="271"/>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row>
    <row r="758" spans="1:25" ht="15.75" customHeight="1" x14ac:dyDescent="0.25">
      <c r="A758" s="271"/>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row>
    <row r="759" spans="1:25" ht="15.75" customHeight="1" x14ac:dyDescent="0.25">
      <c r="A759" s="271"/>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row>
    <row r="760" spans="1:25" ht="15.75" customHeight="1" x14ac:dyDescent="0.25">
      <c r="A760" s="271"/>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row>
    <row r="761" spans="1:25" ht="15.75" customHeight="1" x14ac:dyDescent="0.25">
      <c r="A761" s="271"/>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row>
    <row r="762" spans="1:25" ht="15.75" customHeight="1" x14ac:dyDescent="0.25">
      <c r="A762" s="271"/>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row>
    <row r="763" spans="1:25" ht="15.75" customHeight="1" x14ac:dyDescent="0.25">
      <c r="A763" s="271"/>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row>
    <row r="764" spans="1:25" ht="15.75" customHeight="1" x14ac:dyDescent="0.25">
      <c r="A764" s="271"/>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row>
    <row r="765" spans="1:25" ht="15.75" customHeight="1" x14ac:dyDescent="0.25">
      <c r="A765" s="271"/>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row>
    <row r="766" spans="1:25" ht="15.75" customHeight="1" x14ac:dyDescent="0.25">
      <c r="A766" s="271"/>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row>
    <row r="767" spans="1:25" ht="15.75" customHeight="1" x14ac:dyDescent="0.25">
      <c r="A767" s="271"/>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row>
    <row r="768" spans="1:25" ht="15.75" customHeight="1" x14ac:dyDescent="0.25">
      <c r="A768" s="271"/>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row>
    <row r="769" spans="1:25" ht="15.75" customHeight="1" x14ac:dyDescent="0.25">
      <c r="A769" s="271"/>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row>
    <row r="770" spans="1:25" ht="15.75" customHeight="1" x14ac:dyDescent="0.25">
      <c r="A770" s="271"/>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row>
    <row r="771" spans="1:25" ht="15.75" customHeight="1" x14ac:dyDescent="0.25">
      <c r="A771" s="271"/>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row>
    <row r="772" spans="1:25" ht="15.75" customHeight="1" x14ac:dyDescent="0.25">
      <c r="A772" s="271"/>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row>
    <row r="773" spans="1:25" ht="15.75" customHeight="1" x14ac:dyDescent="0.25">
      <c r="A773" s="271"/>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row>
    <row r="774" spans="1:25" ht="15.75" customHeight="1" x14ac:dyDescent="0.25">
      <c r="A774" s="271"/>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row>
    <row r="775" spans="1:25" ht="15.75" customHeight="1" x14ac:dyDescent="0.25">
      <c r="A775" s="271"/>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row>
    <row r="776" spans="1:25" ht="15.75" customHeight="1" x14ac:dyDescent="0.25">
      <c r="A776" s="271"/>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row>
    <row r="777" spans="1:25" ht="15.75" customHeight="1" x14ac:dyDescent="0.25">
      <c r="A777" s="271"/>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row>
    <row r="778" spans="1:25" ht="15.75" customHeight="1" x14ac:dyDescent="0.25">
      <c r="A778" s="271"/>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row>
    <row r="779" spans="1:25" ht="15.75" customHeight="1" x14ac:dyDescent="0.25">
      <c r="A779" s="271"/>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row>
    <row r="780" spans="1:25" ht="15.75" customHeight="1" x14ac:dyDescent="0.25">
      <c r="A780" s="271"/>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row>
    <row r="781" spans="1:25" ht="15.75" customHeight="1" x14ac:dyDescent="0.25">
      <c r="A781" s="271"/>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row>
    <row r="782" spans="1:25" ht="15.75" customHeight="1" x14ac:dyDescent="0.25">
      <c r="A782" s="271"/>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row>
    <row r="783" spans="1:25" ht="15.75" customHeight="1" x14ac:dyDescent="0.25">
      <c r="A783" s="271"/>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row>
    <row r="784" spans="1:25" ht="15.75" customHeight="1" x14ac:dyDescent="0.25">
      <c r="A784" s="271"/>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row>
    <row r="785" spans="1:25" ht="15.75" customHeight="1" x14ac:dyDescent="0.25">
      <c r="A785" s="271"/>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row>
    <row r="786" spans="1:25" ht="15.75" customHeight="1" x14ac:dyDescent="0.25">
      <c r="A786" s="271"/>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row>
    <row r="787" spans="1:25" ht="15.75" customHeight="1" x14ac:dyDescent="0.25">
      <c r="A787" s="271"/>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row>
    <row r="788" spans="1:25" ht="15.75" customHeight="1" x14ac:dyDescent="0.25">
      <c r="A788" s="271"/>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row>
    <row r="789" spans="1:25" ht="15.75" customHeight="1" x14ac:dyDescent="0.25">
      <c r="A789" s="271"/>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row>
    <row r="790" spans="1:25" ht="15.75" customHeight="1" x14ac:dyDescent="0.25">
      <c r="A790" s="271"/>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row>
    <row r="791" spans="1:25" ht="15.75" customHeight="1" x14ac:dyDescent="0.25">
      <c r="A791" s="271"/>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row>
    <row r="792" spans="1:25" ht="15.75" customHeight="1" x14ac:dyDescent="0.25">
      <c r="A792" s="271"/>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row>
    <row r="793" spans="1:25" ht="15.75" customHeight="1" x14ac:dyDescent="0.25">
      <c r="A793" s="271"/>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row>
    <row r="794" spans="1:25" ht="15.75" customHeight="1" x14ac:dyDescent="0.25">
      <c r="A794" s="271"/>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row>
    <row r="795" spans="1:25" ht="15.75" customHeight="1" x14ac:dyDescent="0.25">
      <c r="A795" s="271"/>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row>
    <row r="796" spans="1:25" ht="15.75" customHeight="1" x14ac:dyDescent="0.25">
      <c r="A796" s="271"/>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row>
    <row r="797" spans="1:25" ht="15.75" customHeight="1" x14ac:dyDescent="0.25">
      <c r="A797" s="271"/>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row>
    <row r="798" spans="1:25" ht="15.75" customHeight="1" x14ac:dyDescent="0.25">
      <c r="A798" s="271"/>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row>
    <row r="799" spans="1:25" ht="15.75" customHeight="1" x14ac:dyDescent="0.25">
      <c r="A799" s="271"/>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row>
    <row r="800" spans="1:25" ht="15.75" customHeight="1" x14ac:dyDescent="0.25">
      <c r="A800" s="271"/>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row>
    <row r="801" spans="1:25" ht="15.75" customHeight="1" x14ac:dyDescent="0.25">
      <c r="A801" s="271"/>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row>
    <row r="802" spans="1:25" ht="15.75" customHeight="1" x14ac:dyDescent="0.25">
      <c r="A802" s="271"/>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row>
    <row r="803" spans="1:25" ht="15.75" customHeight="1" x14ac:dyDescent="0.25">
      <c r="A803" s="271"/>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row>
    <row r="804" spans="1:25" ht="15.75" customHeight="1" x14ac:dyDescent="0.25">
      <c r="A804" s="271"/>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row>
    <row r="805" spans="1:25" ht="15.75" customHeight="1" x14ac:dyDescent="0.25">
      <c r="A805" s="271"/>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row>
    <row r="806" spans="1:25" ht="15.75" customHeight="1" x14ac:dyDescent="0.25">
      <c r="A806" s="271"/>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row>
    <row r="807" spans="1:25" ht="15.75" customHeight="1" x14ac:dyDescent="0.25">
      <c r="A807" s="271"/>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row>
    <row r="808" spans="1:25" ht="15.75" customHeight="1" x14ac:dyDescent="0.25">
      <c r="A808" s="271"/>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row>
    <row r="809" spans="1:25" ht="15.75" customHeight="1" x14ac:dyDescent="0.25">
      <c r="A809" s="271"/>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row>
    <row r="810" spans="1:25" ht="15.75" customHeight="1" x14ac:dyDescent="0.25">
      <c r="A810" s="271"/>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row>
    <row r="811" spans="1:25" ht="15.75" customHeight="1" x14ac:dyDescent="0.25">
      <c r="A811" s="271"/>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row>
    <row r="812" spans="1:25" ht="15.75" customHeight="1" x14ac:dyDescent="0.25">
      <c r="A812" s="271"/>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row>
    <row r="813" spans="1:25" ht="15.75" customHeight="1" x14ac:dyDescent="0.25">
      <c r="A813" s="271"/>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row>
    <row r="814" spans="1:25" ht="15.75" customHeight="1" x14ac:dyDescent="0.25">
      <c r="A814" s="271"/>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row>
    <row r="815" spans="1:25" ht="15.75" customHeight="1" x14ac:dyDescent="0.25">
      <c r="A815" s="271"/>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row>
    <row r="816" spans="1:25" ht="15.75" customHeight="1" x14ac:dyDescent="0.25">
      <c r="A816" s="271"/>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row>
    <row r="817" spans="1:25" ht="15.75" customHeight="1" x14ac:dyDescent="0.25">
      <c r="A817" s="271"/>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row>
    <row r="818" spans="1:25" ht="15.75" customHeight="1" x14ac:dyDescent="0.25">
      <c r="A818" s="271"/>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row>
    <row r="819" spans="1:25" ht="15.75" customHeight="1" x14ac:dyDescent="0.25">
      <c r="A819" s="271"/>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row>
    <row r="820" spans="1:25" ht="15.75" customHeight="1" x14ac:dyDescent="0.25">
      <c r="A820" s="271"/>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row>
    <row r="821" spans="1:25" ht="15.75" customHeight="1" x14ac:dyDescent="0.25">
      <c r="A821" s="271"/>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row>
    <row r="822" spans="1:25" ht="15.75" customHeight="1" x14ac:dyDescent="0.25">
      <c r="A822" s="271"/>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row>
    <row r="823" spans="1:25" ht="15.75" customHeight="1" x14ac:dyDescent="0.25">
      <c r="A823" s="271"/>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row>
    <row r="824" spans="1:25" ht="15.75" customHeight="1" x14ac:dyDescent="0.25">
      <c r="A824" s="271"/>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row>
    <row r="825" spans="1:25" ht="15.75" customHeight="1" x14ac:dyDescent="0.25">
      <c r="A825" s="271"/>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row>
    <row r="826" spans="1:25" ht="15.75" customHeight="1" x14ac:dyDescent="0.25">
      <c r="A826" s="271"/>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row>
    <row r="827" spans="1:25" ht="15.75" customHeight="1" x14ac:dyDescent="0.25">
      <c r="A827" s="271"/>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row>
    <row r="828" spans="1:25" ht="15.75" customHeight="1" x14ac:dyDescent="0.25">
      <c r="A828" s="271"/>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row>
    <row r="829" spans="1:25" ht="15.75" customHeight="1" x14ac:dyDescent="0.25">
      <c r="A829" s="271"/>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row>
    <row r="830" spans="1:25" ht="15.75" customHeight="1" x14ac:dyDescent="0.25">
      <c r="A830" s="271"/>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row>
    <row r="831" spans="1:25" ht="15.75" customHeight="1" x14ac:dyDescent="0.25">
      <c r="A831" s="271"/>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row>
    <row r="832" spans="1:25" ht="15.75" customHeight="1" x14ac:dyDescent="0.25">
      <c r="A832" s="271"/>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row>
    <row r="833" spans="1:25" ht="15.75" customHeight="1" x14ac:dyDescent="0.25">
      <c r="A833" s="271"/>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row>
    <row r="834" spans="1:25" ht="15.75" customHeight="1" x14ac:dyDescent="0.25">
      <c r="A834" s="271"/>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row>
    <row r="835" spans="1:25" ht="15.75" customHeight="1" x14ac:dyDescent="0.25">
      <c r="A835" s="271"/>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row>
    <row r="836" spans="1:25" ht="15.75" customHeight="1" x14ac:dyDescent="0.25">
      <c r="A836" s="271"/>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row>
    <row r="837" spans="1:25" ht="15.75" customHeight="1" x14ac:dyDescent="0.25">
      <c r="A837" s="271"/>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row>
    <row r="838" spans="1:25" ht="15.75" customHeight="1" x14ac:dyDescent="0.25">
      <c r="A838" s="271"/>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row>
    <row r="839" spans="1:25" ht="15.75" customHeight="1" x14ac:dyDescent="0.25">
      <c r="A839" s="271"/>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row>
    <row r="840" spans="1:25" ht="15.75" customHeight="1" x14ac:dyDescent="0.25">
      <c r="A840" s="271"/>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row>
    <row r="841" spans="1:25" ht="15.75" customHeight="1" x14ac:dyDescent="0.25">
      <c r="A841" s="271"/>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row>
    <row r="842" spans="1:25" ht="15.75" customHeight="1" x14ac:dyDescent="0.25">
      <c r="A842" s="271"/>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row>
    <row r="843" spans="1:25" ht="15.75" customHeight="1" x14ac:dyDescent="0.25">
      <c r="A843" s="271"/>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row>
    <row r="844" spans="1:25" ht="15.75" customHeight="1" x14ac:dyDescent="0.25">
      <c r="A844" s="271"/>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row>
    <row r="845" spans="1:25" ht="15.75" customHeight="1" x14ac:dyDescent="0.25">
      <c r="A845" s="271"/>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row>
    <row r="846" spans="1:25" ht="15.75" customHeight="1" x14ac:dyDescent="0.25">
      <c r="A846" s="271"/>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row>
    <row r="847" spans="1:25" ht="15.75" customHeight="1" x14ac:dyDescent="0.25">
      <c r="A847" s="271"/>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row>
    <row r="848" spans="1:25" ht="15.75" customHeight="1" x14ac:dyDescent="0.25">
      <c r="A848" s="271"/>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row>
    <row r="849" spans="1:25" ht="15.75" customHeight="1" x14ac:dyDescent="0.25">
      <c r="A849" s="271"/>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row>
    <row r="850" spans="1:25" ht="15.75" customHeight="1" x14ac:dyDescent="0.25">
      <c r="A850" s="271"/>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row>
    <row r="851" spans="1:25" ht="15.75" customHeight="1" x14ac:dyDescent="0.25">
      <c r="A851" s="271"/>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row>
    <row r="852" spans="1:25" ht="15.75" customHeight="1" x14ac:dyDescent="0.25">
      <c r="A852" s="271"/>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row>
    <row r="853" spans="1:25" ht="15.75" customHeight="1" x14ac:dyDescent="0.25">
      <c r="A853" s="271"/>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row>
    <row r="854" spans="1:25" ht="15.75" customHeight="1" x14ac:dyDescent="0.25">
      <c r="A854" s="271"/>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row>
    <row r="855" spans="1:25" ht="15.75" customHeight="1" x14ac:dyDescent="0.25">
      <c r="A855" s="271"/>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row>
    <row r="856" spans="1:25" ht="15.75" customHeight="1" x14ac:dyDescent="0.25">
      <c r="A856" s="271"/>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row>
    <row r="857" spans="1:25" ht="15.75" customHeight="1" x14ac:dyDescent="0.25">
      <c r="A857" s="271"/>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row>
    <row r="858" spans="1:25" ht="15.75" customHeight="1" x14ac:dyDescent="0.25">
      <c r="A858" s="271"/>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row>
    <row r="859" spans="1:25" ht="15.75" customHeight="1" x14ac:dyDescent="0.25">
      <c r="A859" s="271"/>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row>
    <row r="860" spans="1:25" ht="15.75" customHeight="1" x14ac:dyDescent="0.25">
      <c r="A860" s="271"/>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row>
    <row r="861" spans="1:25" ht="15.75" customHeight="1" x14ac:dyDescent="0.25">
      <c r="A861" s="271"/>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row>
    <row r="862" spans="1:25" ht="15.75" customHeight="1" x14ac:dyDescent="0.25">
      <c r="A862" s="271"/>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row>
    <row r="863" spans="1:25" ht="15.75" customHeight="1" x14ac:dyDescent="0.25">
      <c r="A863" s="271"/>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row>
    <row r="864" spans="1:25" ht="15.75" customHeight="1" x14ac:dyDescent="0.25">
      <c r="A864" s="271"/>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row>
    <row r="865" spans="1:25" ht="15.75" customHeight="1" x14ac:dyDescent="0.25">
      <c r="A865" s="271"/>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row>
    <row r="866" spans="1:25" ht="15.75" customHeight="1" x14ac:dyDescent="0.25">
      <c r="A866" s="271"/>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row>
    <row r="867" spans="1:25" ht="15.75" customHeight="1" x14ac:dyDescent="0.25">
      <c r="A867" s="271"/>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row>
    <row r="868" spans="1:25" ht="15.75" customHeight="1" x14ac:dyDescent="0.25">
      <c r="A868" s="271"/>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row>
    <row r="869" spans="1:25" ht="15.75" customHeight="1" x14ac:dyDescent="0.25">
      <c r="A869" s="271"/>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row>
    <row r="870" spans="1:25" ht="15.75" customHeight="1" x14ac:dyDescent="0.25">
      <c r="A870" s="271"/>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row>
    <row r="871" spans="1:25" ht="15.75" customHeight="1" x14ac:dyDescent="0.25">
      <c r="A871" s="271"/>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row>
    <row r="872" spans="1:25" ht="15.75" customHeight="1" x14ac:dyDescent="0.25">
      <c r="A872" s="271"/>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row>
    <row r="873" spans="1:25" ht="15.75" customHeight="1" x14ac:dyDescent="0.25">
      <c r="A873" s="271"/>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row>
    <row r="874" spans="1:25" ht="15.75" customHeight="1" x14ac:dyDescent="0.25">
      <c r="A874" s="271"/>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row>
    <row r="875" spans="1:25" ht="15.75" customHeight="1" x14ac:dyDescent="0.25">
      <c r="A875" s="271"/>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row>
    <row r="876" spans="1:25" ht="15.75" customHeight="1" x14ac:dyDescent="0.25">
      <c r="A876" s="271"/>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row>
    <row r="877" spans="1:25" ht="15.75" customHeight="1" x14ac:dyDescent="0.25">
      <c r="A877" s="271"/>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row>
    <row r="878" spans="1:25" ht="15.75" customHeight="1" x14ac:dyDescent="0.25">
      <c r="A878" s="271"/>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row>
    <row r="879" spans="1:25" ht="15.75" customHeight="1" x14ac:dyDescent="0.25">
      <c r="A879" s="271"/>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row>
    <row r="880" spans="1:25" ht="15.75" customHeight="1" x14ac:dyDescent="0.25">
      <c r="A880" s="271"/>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row>
    <row r="881" spans="1:25" ht="15.75" customHeight="1" x14ac:dyDescent="0.25">
      <c r="A881" s="271"/>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row>
    <row r="882" spans="1:25" ht="15.75" customHeight="1" x14ac:dyDescent="0.25">
      <c r="A882" s="271"/>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row>
    <row r="883" spans="1:25" ht="15.75" customHeight="1" x14ac:dyDescent="0.25">
      <c r="A883" s="271"/>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row>
    <row r="884" spans="1:25" ht="15.75" customHeight="1" x14ac:dyDescent="0.25">
      <c r="A884" s="271"/>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row>
    <row r="885" spans="1:25" ht="15.75" customHeight="1" x14ac:dyDescent="0.25">
      <c r="A885" s="271"/>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row>
    <row r="886" spans="1:25" ht="15.75" customHeight="1" x14ac:dyDescent="0.25">
      <c r="A886" s="271"/>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row>
    <row r="887" spans="1:25" ht="15.75" customHeight="1" x14ac:dyDescent="0.25">
      <c r="A887" s="271"/>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row>
    <row r="888" spans="1:25" ht="15.75" customHeight="1" x14ac:dyDescent="0.25">
      <c r="A888" s="271"/>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row>
    <row r="889" spans="1:25" ht="15.75" customHeight="1" x14ac:dyDescent="0.25">
      <c r="A889" s="271"/>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row>
    <row r="890" spans="1:25" ht="15.75" customHeight="1" x14ac:dyDescent="0.25">
      <c r="A890" s="271"/>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row>
    <row r="891" spans="1:25" ht="15.75" customHeight="1" x14ac:dyDescent="0.25">
      <c r="A891" s="271"/>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row>
    <row r="892" spans="1:25" ht="15.75" customHeight="1" x14ac:dyDescent="0.25">
      <c r="A892" s="271"/>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row>
    <row r="893" spans="1:25" ht="15.75" customHeight="1" x14ac:dyDescent="0.25">
      <c r="A893" s="271"/>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row>
    <row r="894" spans="1:25" ht="15.75" customHeight="1" x14ac:dyDescent="0.25">
      <c r="A894" s="271"/>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row>
    <row r="895" spans="1:25" ht="15.75" customHeight="1" x14ac:dyDescent="0.25">
      <c r="A895" s="271"/>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row>
    <row r="896" spans="1:25" ht="15.75" customHeight="1" x14ac:dyDescent="0.25">
      <c r="A896" s="271"/>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row>
    <row r="897" spans="1:25" ht="15.75" customHeight="1" x14ac:dyDescent="0.25">
      <c r="A897" s="271"/>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row>
    <row r="898" spans="1:25" ht="15.75" customHeight="1" x14ac:dyDescent="0.25">
      <c r="A898" s="271"/>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row>
    <row r="899" spans="1:25" ht="15.75" customHeight="1" x14ac:dyDescent="0.25">
      <c r="A899" s="271"/>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row>
    <row r="900" spans="1:25" ht="15.75" customHeight="1" x14ac:dyDescent="0.25">
      <c r="A900" s="271"/>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row>
    <row r="901" spans="1:25" ht="15.75" customHeight="1" x14ac:dyDescent="0.25">
      <c r="A901" s="271"/>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row>
    <row r="902" spans="1:25" ht="15.75" customHeight="1" x14ac:dyDescent="0.25">
      <c r="A902" s="271"/>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row>
    <row r="903" spans="1:25" ht="15.75" customHeight="1" x14ac:dyDescent="0.25">
      <c r="A903" s="271"/>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row>
    <row r="904" spans="1:25" ht="15.75" customHeight="1" x14ac:dyDescent="0.25">
      <c r="A904" s="271"/>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row>
    <row r="905" spans="1:25" ht="15.75" customHeight="1" x14ac:dyDescent="0.25">
      <c r="A905" s="271"/>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row>
    <row r="906" spans="1:25" ht="15.75" customHeight="1" x14ac:dyDescent="0.25">
      <c r="A906" s="271"/>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row>
    <row r="907" spans="1:25" ht="15.75" customHeight="1" x14ac:dyDescent="0.25">
      <c r="A907" s="271"/>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row>
    <row r="908" spans="1:25" ht="15.75" customHeight="1" x14ac:dyDescent="0.25">
      <c r="A908" s="271"/>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row>
    <row r="909" spans="1:25" ht="15.75" customHeight="1" x14ac:dyDescent="0.25">
      <c r="A909" s="271"/>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row>
    <row r="910" spans="1:25" ht="15.75" customHeight="1" x14ac:dyDescent="0.25">
      <c r="A910" s="271"/>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row>
    <row r="911" spans="1:25" ht="15.75" customHeight="1" x14ac:dyDescent="0.25">
      <c r="A911" s="271"/>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row>
    <row r="912" spans="1:25" ht="15.75" customHeight="1" x14ac:dyDescent="0.25">
      <c r="A912" s="271"/>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row>
    <row r="913" spans="1:25" ht="15.75" customHeight="1" x14ac:dyDescent="0.25">
      <c r="A913" s="271"/>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row>
    <row r="914" spans="1:25" ht="15.75" customHeight="1" x14ac:dyDescent="0.25">
      <c r="A914" s="271"/>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row>
    <row r="915" spans="1:25" ht="15.75" customHeight="1" x14ac:dyDescent="0.25">
      <c r="A915" s="271"/>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row>
    <row r="916" spans="1:25" ht="15.75" customHeight="1" x14ac:dyDescent="0.25">
      <c r="A916" s="271"/>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row>
    <row r="917" spans="1:25" ht="15.75" customHeight="1" x14ac:dyDescent="0.25">
      <c r="A917" s="271"/>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row>
    <row r="918" spans="1:25" ht="15.75" customHeight="1" x14ac:dyDescent="0.25">
      <c r="A918" s="271"/>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row>
    <row r="919" spans="1:25" ht="15.75" customHeight="1" x14ac:dyDescent="0.25">
      <c r="A919" s="271"/>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row>
    <row r="920" spans="1:25" ht="15.75" customHeight="1" x14ac:dyDescent="0.25">
      <c r="A920" s="271"/>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row>
    <row r="921" spans="1:25" ht="15.75" customHeight="1" x14ac:dyDescent="0.25">
      <c r="A921" s="271"/>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row>
    <row r="922" spans="1:25" ht="15.75" customHeight="1" x14ac:dyDescent="0.25">
      <c r="A922" s="271"/>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row>
    <row r="923" spans="1:25" ht="15.75" customHeight="1" x14ac:dyDescent="0.25">
      <c r="A923" s="271"/>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row>
    <row r="924" spans="1:25" ht="15.75" customHeight="1" x14ac:dyDescent="0.25">
      <c r="A924" s="271"/>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row>
    <row r="925" spans="1:25" ht="15.75" customHeight="1" x14ac:dyDescent="0.25">
      <c r="A925" s="271"/>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row>
    <row r="926" spans="1:25" ht="15.75" customHeight="1" x14ac:dyDescent="0.25">
      <c r="A926" s="271"/>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row>
    <row r="927" spans="1:25" ht="15.75" customHeight="1" x14ac:dyDescent="0.25">
      <c r="A927" s="271"/>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row>
    <row r="928" spans="1:25" ht="15.75" customHeight="1" x14ac:dyDescent="0.25">
      <c r="A928" s="271"/>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row>
    <row r="929" spans="1:25" ht="15.75" customHeight="1" x14ac:dyDescent="0.25">
      <c r="A929" s="271"/>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row>
    <row r="930" spans="1:25" ht="15.75" customHeight="1" x14ac:dyDescent="0.25">
      <c r="A930" s="271"/>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row>
    <row r="931" spans="1:25" ht="15.75" customHeight="1" x14ac:dyDescent="0.25">
      <c r="A931" s="271"/>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row>
    <row r="932" spans="1:25" ht="15.75" customHeight="1" x14ac:dyDescent="0.25">
      <c r="A932" s="271"/>
      <c r="B932" s="271"/>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row>
    <row r="933" spans="1:25" ht="15.75" customHeight="1" x14ac:dyDescent="0.25">
      <c r="A933" s="271"/>
      <c r="B933" s="271"/>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row>
    <row r="934" spans="1:25" ht="15.75" customHeight="1" x14ac:dyDescent="0.25">
      <c r="A934" s="271"/>
      <c r="B934" s="271"/>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row>
    <row r="935" spans="1:25" ht="15.75" customHeight="1" x14ac:dyDescent="0.25">
      <c r="A935" s="271"/>
      <c r="B935" s="271"/>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row>
    <row r="936" spans="1:25" ht="15.75" customHeight="1" x14ac:dyDescent="0.25">
      <c r="A936" s="271"/>
      <c r="B936" s="271"/>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row>
    <row r="937" spans="1:25" ht="15.75" customHeight="1" x14ac:dyDescent="0.25">
      <c r="A937" s="271"/>
      <c r="B937" s="271"/>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row>
    <row r="938" spans="1:25" ht="15.75" customHeight="1" x14ac:dyDescent="0.25">
      <c r="A938" s="271"/>
      <c r="B938" s="271"/>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row>
    <row r="939" spans="1:25" ht="15.75" customHeight="1" x14ac:dyDescent="0.25">
      <c r="A939" s="271"/>
      <c r="B939" s="271"/>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row>
    <row r="940" spans="1:25" ht="15.75" customHeight="1" x14ac:dyDescent="0.25">
      <c r="A940" s="271"/>
      <c r="B940" s="271"/>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row>
    <row r="941" spans="1:25" ht="15.75" customHeight="1" x14ac:dyDescent="0.25">
      <c r="A941" s="271"/>
      <c r="B941" s="271"/>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row>
    <row r="942" spans="1:25" ht="15.75" customHeight="1" x14ac:dyDescent="0.25">
      <c r="A942" s="271"/>
      <c r="B942" s="271"/>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row>
    <row r="943" spans="1:25" ht="15.75" customHeight="1" x14ac:dyDescent="0.25">
      <c r="A943" s="271"/>
      <c r="B943" s="271"/>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row>
    <row r="944" spans="1:25" ht="15.75" customHeight="1" x14ac:dyDescent="0.25">
      <c r="A944" s="271"/>
      <c r="B944" s="271"/>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row>
    <row r="945" spans="1:25" ht="15.75" customHeight="1" x14ac:dyDescent="0.25">
      <c r="A945" s="271"/>
      <c r="B945" s="271"/>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row>
    <row r="946" spans="1:25" ht="15.75" customHeight="1" x14ac:dyDescent="0.25">
      <c r="A946" s="271"/>
      <c r="B946" s="271"/>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row>
    <row r="947" spans="1:25" ht="15.75" customHeight="1" x14ac:dyDescent="0.25">
      <c r="A947" s="271"/>
      <c r="B947" s="271"/>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row>
    <row r="948" spans="1:25" ht="15.75" customHeight="1" x14ac:dyDescent="0.25">
      <c r="A948" s="271"/>
      <c r="B948" s="271"/>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row>
    <row r="949" spans="1:25" ht="15.75" customHeight="1" x14ac:dyDescent="0.25">
      <c r="A949" s="271"/>
      <c r="B949" s="271"/>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row>
    <row r="950" spans="1:25" ht="15.75" customHeight="1" x14ac:dyDescent="0.25">
      <c r="A950" s="271"/>
      <c r="B950" s="271"/>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row>
    <row r="951" spans="1:25" ht="15.75" customHeight="1" x14ac:dyDescent="0.25">
      <c r="A951" s="271"/>
      <c r="B951" s="271"/>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row>
    <row r="952" spans="1:25" ht="15.75" customHeight="1" x14ac:dyDescent="0.25">
      <c r="A952" s="271"/>
      <c r="B952" s="271"/>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row>
    <row r="953" spans="1:25" ht="15.75" customHeight="1" x14ac:dyDescent="0.25">
      <c r="A953" s="271"/>
      <c r="B953" s="271"/>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row>
    <row r="954" spans="1:25" ht="15.75" customHeight="1" x14ac:dyDescent="0.25">
      <c r="A954" s="271"/>
      <c r="B954" s="271"/>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row>
    <row r="955" spans="1:25" ht="15.75" customHeight="1" x14ac:dyDescent="0.25">
      <c r="A955" s="271"/>
      <c r="B955" s="271"/>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row>
    <row r="956" spans="1:25" ht="15.75" customHeight="1" x14ac:dyDescent="0.25">
      <c r="A956" s="271"/>
      <c r="B956" s="271"/>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row>
    <row r="957" spans="1:25" ht="15.75" customHeight="1" x14ac:dyDescent="0.25">
      <c r="A957" s="271"/>
      <c r="B957" s="271"/>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row>
    <row r="958" spans="1:25" ht="15.75" customHeight="1" x14ac:dyDescent="0.25">
      <c r="A958" s="271"/>
      <c r="B958" s="271"/>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row>
    <row r="959" spans="1:25" ht="15.75" customHeight="1" x14ac:dyDescent="0.25">
      <c r="A959" s="271"/>
      <c r="B959" s="271"/>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row>
    <row r="960" spans="1:25" ht="15.75" customHeight="1" x14ac:dyDescent="0.25">
      <c r="A960" s="271"/>
      <c r="B960" s="271"/>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row>
    <row r="961" spans="1:25" ht="15.75" customHeight="1" x14ac:dyDescent="0.25">
      <c r="A961" s="271"/>
      <c r="B961" s="271"/>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row>
    <row r="962" spans="1:25" ht="15.75" customHeight="1" x14ac:dyDescent="0.25">
      <c r="A962" s="271"/>
      <c r="B962" s="271"/>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row>
    <row r="963" spans="1:25" ht="15.75" customHeight="1" x14ac:dyDescent="0.25">
      <c r="A963" s="271"/>
      <c r="B963" s="271"/>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row>
    <row r="964" spans="1:25" ht="15.75" customHeight="1" x14ac:dyDescent="0.25">
      <c r="A964" s="271"/>
      <c r="B964" s="271"/>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row>
    <row r="965" spans="1:25" ht="15.75" customHeight="1" x14ac:dyDescent="0.25">
      <c r="A965" s="271"/>
      <c r="B965" s="271"/>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row>
    <row r="966" spans="1:25" ht="15.75" customHeight="1" x14ac:dyDescent="0.25">
      <c r="A966" s="271"/>
      <c r="B966" s="271"/>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row>
    <row r="967" spans="1:25" ht="15.75" customHeight="1" x14ac:dyDescent="0.25">
      <c r="A967" s="271"/>
      <c r="B967" s="271"/>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row>
    <row r="968" spans="1:25" ht="15.75" customHeight="1" x14ac:dyDescent="0.25">
      <c r="A968" s="271"/>
      <c r="B968" s="271"/>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row>
    <row r="969" spans="1:25" ht="15.75" customHeight="1" x14ac:dyDescent="0.25">
      <c r="A969" s="271"/>
      <c r="B969" s="271"/>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row>
    <row r="970" spans="1:25" ht="15.75" customHeight="1" x14ac:dyDescent="0.25">
      <c r="A970" s="271"/>
      <c r="B970" s="271"/>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row>
    <row r="971" spans="1:25" ht="15.75" customHeight="1" x14ac:dyDescent="0.25">
      <c r="A971" s="271"/>
      <c r="B971" s="271"/>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row>
    <row r="972" spans="1:25" ht="15.75" customHeight="1" x14ac:dyDescent="0.25">
      <c r="A972" s="271"/>
      <c r="B972" s="271"/>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row>
    <row r="973" spans="1:25" ht="15.75" customHeight="1" x14ac:dyDescent="0.25">
      <c r="A973" s="271"/>
      <c r="B973" s="271"/>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row>
    <row r="974" spans="1:25" ht="15.75" customHeight="1" x14ac:dyDescent="0.25">
      <c r="A974" s="271"/>
      <c r="B974" s="271"/>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row>
    <row r="975" spans="1:25" ht="15.75" customHeight="1" x14ac:dyDescent="0.25">
      <c r="A975" s="271"/>
      <c r="B975" s="271"/>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row>
    <row r="976" spans="1:25" ht="15.75" customHeight="1" x14ac:dyDescent="0.25">
      <c r="A976" s="271"/>
      <c r="B976" s="271"/>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row>
    <row r="977" spans="1:25" ht="15.75" customHeight="1" x14ac:dyDescent="0.25">
      <c r="A977" s="271"/>
      <c r="B977" s="271"/>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row>
    <row r="978" spans="1:25" ht="15.75" customHeight="1" x14ac:dyDescent="0.25">
      <c r="A978" s="271"/>
      <c r="B978" s="271"/>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row>
    <row r="979" spans="1:25" ht="15.75" customHeight="1" x14ac:dyDescent="0.25">
      <c r="A979" s="271"/>
      <c r="B979" s="271"/>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row>
    <row r="980" spans="1:25" ht="15.75" customHeight="1" x14ac:dyDescent="0.25">
      <c r="A980" s="271"/>
      <c r="B980" s="271"/>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row>
    <row r="981" spans="1:25" ht="15.75" customHeight="1" x14ac:dyDescent="0.25">
      <c r="A981" s="271"/>
      <c r="B981" s="271"/>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row>
    <row r="982" spans="1:25" ht="15.75" customHeight="1" x14ac:dyDescent="0.25">
      <c r="A982" s="271"/>
      <c r="B982" s="271"/>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row>
    <row r="983" spans="1:25" ht="15.75" customHeight="1" x14ac:dyDescent="0.25">
      <c r="A983" s="271"/>
      <c r="B983" s="271"/>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row>
    <row r="984" spans="1:25" ht="15.75" customHeight="1" x14ac:dyDescent="0.25">
      <c r="A984" s="271"/>
      <c r="B984" s="271"/>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row>
    <row r="985" spans="1:25" ht="15.75" customHeight="1" x14ac:dyDescent="0.25">
      <c r="A985" s="271"/>
      <c r="B985" s="271"/>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row>
    <row r="986" spans="1:25" ht="15.75" customHeight="1" x14ac:dyDescent="0.25">
      <c r="A986" s="271"/>
      <c r="B986" s="271"/>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row>
    <row r="987" spans="1:25" ht="15.75" customHeight="1" x14ac:dyDescent="0.25">
      <c r="A987" s="271"/>
      <c r="B987" s="271"/>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row>
    <row r="988" spans="1:25" ht="15.75" customHeight="1" x14ac:dyDescent="0.25">
      <c r="A988" s="271"/>
      <c r="B988" s="271"/>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row>
    <row r="989" spans="1:25" ht="15.75" customHeight="1" x14ac:dyDescent="0.25">
      <c r="A989" s="271"/>
      <c r="B989" s="271"/>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row>
    <row r="990" spans="1:25" ht="15.75" customHeight="1" x14ac:dyDescent="0.25">
      <c r="A990" s="271"/>
      <c r="B990" s="271"/>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row>
    <row r="991" spans="1:25" ht="15.75" customHeight="1" x14ac:dyDescent="0.25">
      <c r="A991" s="271"/>
      <c r="B991" s="271"/>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row>
    <row r="992" spans="1:25" ht="15.75" customHeight="1" x14ac:dyDescent="0.25">
      <c r="A992" s="271"/>
      <c r="B992" s="271"/>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row>
    <row r="993" spans="1:25" ht="15.75" customHeight="1" x14ac:dyDescent="0.25">
      <c r="A993" s="271"/>
      <c r="B993" s="271"/>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row>
    <row r="994" spans="1:25" ht="15.75" customHeight="1" x14ac:dyDescent="0.25">
      <c r="A994" s="271"/>
      <c r="B994" s="271"/>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row>
    <row r="995" spans="1:25" ht="15.75" customHeight="1" x14ac:dyDescent="0.25">
      <c r="A995" s="271"/>
      <c r="B995" s="271"/>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row>
    <row r="996" spans="1:25" ht="15.75" customHeight="1" x14ac:dyDescent="0.25">
      <c r="A996" s="271"/>
      <c r="B996" s="271"/>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row>
    <row r="997" spans="1:25" ht="15.75" customHeight="1" x14ac:dyDescent="0.25">
      <c r="A997" s="271"/>
      <c r="B997" s="271"/>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row>
    <row r="998" spans="1:25" ht="15.75" customHeight="1" x14ac:dyDescent="0.25">
      <c r="A998" s="271"/>
      <c r="B998" s="271"/>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row>
  </sheetData>
  <pageMargins left="1" right="1" top="1" bottom="1" header="0" footer="0"/>
  <pageSetup orientation="portrait"/>
  <headerFooter>
    <oddFooter>&amp;C000000&amp;P</oddFooter>
  </headerFooter>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O20"/>
  <sheetViews>
    <sheetView tabSelected="1" workbookViewId="0">
      <selection activeCell="B20" sqref="B20"/>
    </sheetView>
  </sheetViews>
  <sheetFormatPr baseColWidth="10" defaultRowHeight="12.75" x14ac:dyDescent="0.2"/>
  <cols>
    <col min="2" max="2" width="14.85546875" bestFit="1" customWidth="1"/>
  </cols>
  <sheetData>
    <row r="1" spans="1:67" ht="15.75" x14ac:dyDescent="0.25">
      <c r="A1" s="501" t="s">
        <v>152</v>
      </c>
      <c r="B1" s="214" t="s">
        <v>279</v>
      </c>
      <c r="C1" s="502" t="s">
        <v>229</v>
      </c>
      <c r="D1" s="506" t="s">
        <v>230</v>
      </c>
      <c r="E1" s="506" t="s">
        <v>231</v>
      </c>
      <c r="F1" s="506" t="s">
        <v>233</v>
      </c>
      <c r="G1" s="506" t="s">
        <v>234</v>
      </c>
      <c r="H1" s="506" t="s">
        <v>235</v>
      </c>
      <c r="I1" s="214"/>
      <c r="J1" s="509" t="s">
        <v>236</v>
      </c>
      <c r="K1" s="509" t="s">
        <v>237</v>
      </c>
      <c r="L1" s="214"/>
      <c r="M1" s="502" t="s">
        <v>238</v>
      </c>
      <c r="N1" s="509" t="s">
        <v>239</v>
      </c>
      <c r="O1" s="509" t="s">
        <v>240</v>
      </c>
      <c r="P1" s="509" t="s">
        <v>241</v>
      </c>
      <c r="Q1" s="509" t="s">
        <v>242</v>
      </c>
      <c r="R1" s="510"/>
      <c r="S1" s="502" t="s">
        <v>243</v>
      </c>
      <c r="T1" s="509" t="s">
        <v>244</v>
      </c>
      <c r="U1" s="509" t="s">
        <v>245</v>
      </c>
      <c r="V1" s="214"/>
      <c r="W1" s="502" t="s">
        <v>246</v>
      </c>
      <c r="X1" s="509" t="s">
        <v>247</v>
      </c>
      <c r="Y1" s="509" t="s">
        <v>248</v>
      </c>
      <c r="Z1" s="214"/>
      <c r="AA1" s="502" t="s">
        <v>249</v>
      </c>
      <c r="AB1" s="509" t="s">
        <v>250</v>
      </c>
      <c r="AC1" s="509" t="s">
        <v>252</v>
      </c>
      <c r="AD1" s="509" t="s">
        <v>253</v>
      </c>
      <c r="AE1" s="509" t="s">
        <v>254</v>
      </c>
      <c r="AF1" s="506" t="s">
        <v>255</v>
      </c>
      <c r="AG1" s="510"/>
      <c r="AH1" s="502" t="s">
        <v>256</v>
      </c>
      <c r="AI1" s="509" t="s">
        <v>257</v>
      </c>
      <c r="AJ1" s="509" t="s">
        <v>258</v>
      </c>
      <c r="AK1" s="214"/>
      <c r="AL1" s="502" t="s">
        <v>259</v>
      </c>
      <c r="AM1" s="509" t="s">
        <v>260</v>
      </c>
      <c r="AN1" s="509" t="s">
        <v>202</v>
      </c>
      <c r="AO1" s="509" t="s">
        <v>210</v>
      </c>
      <c r="AP1" s="214"/>
      <c r="AQ1" s="502" t="s">
        <v>261</v>
      </c>
      <c r="AR1" s="509" t="s">
        <v>262</v>
      </c>
      <c r="AS1" s="506" t="s">
        <v>263</v>
      </c>
      <c r="AT1" s="214"/>
      <c r="AU1" s="502" t="s">
        <v>130</v>
      </c>
      <c r="AV1" s="509" t="s">
        <v>264</v>
      </c>
      <c r="AW1" s="509" t="s">
        <v>265</v>
      </c>
      <c r="AX1" s="214"/>
      <c r="AY1" s="214"/>
      <c r="AZ1" s="502" t="s">
        <v>266</v>
      </c>
      <c r="BA1" s="509" t="s">
        <v>267</v>
      </c>
      <c r="BB1" s="509" t="s">
        <v>269</v>
      </c>
      <c r="BC1" s="509" t="s">
        <v>270</v>
      </c>
      <c r="BD1" s="509" t="s">
        <v>271</v>
      </c>
      <c r="BE1" s="214"/>
      <c r="BF1" s="512" t="s">
        <v>278</v>
      </c>
      <c r="BG1" s="515" t="s">
        <v>273</v>
      </c>
      <c r="BH1" s="515" t="s">
        <v>274</v>
      </c>
      <c r="BI1" s="517" t="s">
        <v>275</v>
      </c>
      <c r="BJ1" s="518">
        <v>0.4</v>
      </c>
      <c r="BK1" s="518">
        <v>0.2</v>
      </c>
      <c r="BL1" s="515" t="s">
        <v>276</v>
      </c>
      <c r="BM1" s="519" t="s">
        <v>277</v>
      </c>
      <c r="BN1" s="519" t="s">
        <v>42</v>
      </c>
      <c r="BO1" s="519" t="s">
        <v>43</v>
      </c>
    </row>
    <row r="2" spans="1:67" ht="15.75" x14ac:dyDescent="0.25">
      <c r="A2" s="556">
        <f>EOMONTH(B2,0)</f>
        <v>45046</v>
      </c>
      <c r="B2" s="556">
        <v>45017</v>
      </c>
      <c r="C2" s="503">
        <f>SUM(D2:K2)</f>
        <v>150000</v>
      </c>
      <c r="D2" s="215">
        <f>20000+10000</f>
        <v>30000</v>
      </c>
      <c r="E2" s="215">
        <f>20000+10000</f>
        <v>30000</v>
      </c>
      <c r="F2" s="215">
        <f>20000+10000</f>
        <v>30000</v>
      </c>
      <c r="G2" s="215"/>
      <c r="H2" s="215"/>
      <c r="I2" s="215"/>
      <c r="J2" s="215">
        <f>20000+10000</f>
        <v>30000</v>
      </c>
      <c r="K2" s="215">
        <f>20000+10000</f>
        <v>30000</v>
      </c>
      <c r="L2" s="215"/>
      <c r="M2" s="503">
        <f>SUM(N2:R2)</f>
        <v>7000</v>
      </c>
      <c r="N2" s="215">
        <v>3500</v>
      </c>
      <c r="O2" s="215">
        <v>3500</v>
      </c>
      <c r="P2" s="215"/>
      <c r="Q2" s="215"/>
      <c r="R2" s="215"/>
      <c r="S2" s="503">
        <f>SUM(T2:V2)</f>
        <v>24000</v>
      </c>
      <c r="T2" s="215">
        <v>20000</v>
      </c>
      <c r="U2" s="215">
        <v>4000</v>
      </c>
      <c r="V2" s="215"/>
      <c r="W2" s="503">
        <f>SUM(X2:Z2)</f>
        <v>70500</v>
      </c>
      <c r="X2" s="215">
        <v>37000</v>
      </c>
      <c r="Y2" s="215">
        <v>33500</v>
      </c>
      <c r="Z2" s="215"/>
      <c r="AA2" s="503">
        <f>SUM(AB2:AG2)</f>
        <v>133500</v>
      </c>
      <c r="AB2" s="215">
        <v>28500</v>
      </c>
      <c r="AC2" s="215">
        <v>30000</v>
      </c>
      <c r="AD2" s="215">
        <v>35000</v>
      </c>
      <c r="AE2" s="215">
        <v>40000</v>
      </c>
      <c r="AF2" s="215"/>
      <c r="AG2" s="215"/>
      <c r="AH2" s="503">
        <f>SUM(AI2:AK2)</f>
        <v>45000</v>
      </c>
      <c r="AI2" s="215">
        <v>37000</v>
      </c>
      <c r="AJ2" s="215">
        <v>8000</v>
      </c>
      <c r="AK2" s="215"/>
      <c r="AL2" s="503">
        <f>SUM(AM2:AP2)</f>
        <v>40000</v>
      </c>
      <c r="AM2" s="215">
        <v>30000</v>
      </c>
      <c r="AN2" s="215">
        <v>10000</v>
      </c>
      <c r="AO2" s="215"/>
      <c r="AP2" s="215"/>
      <c r="AQ2" s="503">
        <f>SUM(AR2:AT2)</f>
        <v>60000</v>
      </c>
      <c r="AR2" s="215">
        <v>60000</v>
      </c>
      <c r="AS2" s="215"/>
      <c r="AT2" s="215"/>
      <c r="AU2" s="503"/>
      <c r="AV2" s="215"/>
      <c r="AW2" s="215"/>
      <c r="AX2" s="215"/>
      <c r="AY2" s="215"/>
      <c r="AZ2" s="503">
        <f>SUM(BA2:BE2)</f>
        <v>19500</v>
      </c>
      <c r="BA2" s="215">
        <v>10000</v>
      </c>
      <c r="BB2" s="215"/>
      <c r="BC2" s="215">
        <v>9500</v>
      </c>
      <c r="BD2" s="214"/>
      <c r="BE2" s="214"/>
      <c r="BF2" s="513">
        <f>C2+M2+S2+W2+AA2+AH2+AL2+AQ2+AZ2+AU2</f>
        <v>549500</v>
      </c>
      <c r="BG2" s="516"/>
      <c r="BH2" s="516" t="e">
        <f>BF2/'AVRIL 23'!M7</f>
        <v>#DIV/0!</v>
      </c>
      <c r="BI2" s="215">
        <f>(BF2-W2-AA2-S2)</f>
        <v>321500</v>
      </c>
      <c r="BJ2" s="215">
        <f>BI2*$BJ$1</f>
        <v>128600</v>
      </c>
      <c r="BK2" s="215">
        <f>BI2*$BK$1</f>
        <v>64300</v>
      </c>
      <c r="BL2" s="214"/>
      <c r="BM2" s="215">
        <f>BJ2+W2</f>
        <v>199100</v>
      </c>
      <c r="BN2" s="215">
        <f>BJ2+AA2</f>
        <v>262100</v>
      </c>
      <c r="BO2" s="215">
        <f>BK2+S2</f>
        <v>88300</v>
      </c>
    </row>
    <row r="3" spans="1:67" ht="15.75" x14ac:dyDescent="0.25">
      <c r="A3" s="501" t="s">
        <v>40</v>
      </c>
      <c r="B3" s="214"/>
      <c r="C3" s="504">
        <f>C2/$BF$2</f>
        <v>0.27297543221110099</v>
      </c>
      <c r="D3" s="215"/>
      <c r="E3" s="507"/>
      <c r="F3" s="215"/>
      <c r="G3" s="215"/>
      <c r="H3" s="215"/>
      <c r="I3" s="215"/>
      <c r="J3" s="215"/>
      <c r="K3" s="215"/>
      <c r="L3" s="215"/>
      <c r="M3" s="504">
        <f>M2/$BF$2</f>
        <v>1.2738853503184714E-2</v>
      </c>
      <c r="N3" s="215"/>
      <c r="O3" s="215"/>
      <c r="P3" s="215"/>
      <c r="Q3" s="215"/>
      <c r="R3" s="215"/>
      <c r="S3" s="504">
        <f>S2/$BF$2</f>
        <v>4.3676069153776163E-2</v>
      </c>
      <c r="T3" s="215"/>
      <c r="U3" s="215"/>
      <c r="V3" s="215"/>
      <c r="W3" s="504">
        <f>W2/$BF$2</f>
        <v>0.12829845313921748</v>
      </c>
      <c r="X3" s="215"/>
      <c r="Y3" s="215"/>
      <c r="Z3" s="215"/>
      <c r="AA3" s="504">
        <f>AA2/$BF$2</f>
        <v>0.2429481346678799</v>
      </c>
      <c r="AB3" s="215"/>
      <c r="AC3" s="215"/>
      <c r="AD3" s="215"/>
      <c r="AE3" s="215"/>
      <c r="AF3" s="215"/>
      <c r="AG3" s="215"/>
      <c r="AH3" s="504">
        <f>AH2/$BF$2</f>
        <v>8.1892629663330302E-2</v>
      </c>
      <c r="AI3" s="215"/>
      <c r="AJ3" s="215"/>
      <c r="AK3" s="215"/>
      <c r="AL3" s="504">
        <f>AL2/$BF$2</f>
        <v>7.2793448589626927E-2</v>
      </c>
      <c r="AM3" s="215"/>
      <c r="AN3" s="215"/>
      <c r="AO3" s="215"/>
      <c r="AP3" s="215"/>
      <c r="AQ3" s="504">
        <f>AQ2/$BF$2</f>
        <v>0.1091901728844404</v>
      </c>
      <c r="AR3" s="215"/>
      <c r="AS3" s="215"/>
      <c r="AT3" s="215"/>
      <c r="AU3" s="504"/>
      <c r="AV3" s="215"/>
      <c r="AW3" s="215"/>
      <c r="AX3" s="215"/>
      <c r="AY3" s="215"/>
      <c r="AZ3" s="504">
        <f>AZ2/$BF$2</f>
        <v>3.5486806187443133E-2</v>
      </c>
      <c r="BA3" s="507"/>
      <c r="BB3" s="215"/>
      <c r="BC3" s="215"/>
      <c r="BD3" s="215"/>
      <c r="BE3" s="214"/>
      <c r="BF3" s="513"/>
      <c r="BG3" s="516"/>
      <c r="BH3" s="516"/>
      <c r="BI3" s="214"/>
      <c r="BJ3" s="214"/>
      <c r="BK3" s="214"/>
      <c r="BL3" s="214"/>
      <c r="BM3" s="520">
        <f>BM2/BF2</f>
        <v>0.36232939035486805</v>
      </c>
      <c r="BN3" s="520">
        <f>BN2/$BF$2</f>
        <v>0.4769790718835305</v>
      </c>
      <c r="BO3" s="520">
        <f>BO2/$BF$2</f>
        <v>0.16069153776160144</v>
      </c>
    </row>
    <row r="4" spans="1:67" ht="15.75" x14ac:dyDescent="0.25">
      <c r="A4" s="556">
        <f>EOMONTH(B4,0)</f>
        <v>45077</v>
      </c>
      <c r="B4" s="556">
        <v>45047</v>
      </c>
      <c r="C4" s="503">
        <f>SUM(D4:K4)</f>
        <v>240000</v>
      </c>
      <c r="D4" s="215">
        <v>60000</v>
      </c>
      <c r="E4" s="508" t="s">
        <v>232</v>
      </c>
      <c r="F4" s="215">
        <v>60000</v>
      </c>
      <c r="G4" s="215"/>
      <c r="H4" s="215"/>
      <c r="I4" s="215"/>
      <c r="J4" s="215">
        <v>60000</v>
      </c>
      <c r="K4" s="215">
        <v>60000</v>
      </c>
      <c r="L4" s="215"/>
      <c r="M4" s="503">
        <f>SUM(N4:R4)</f>
        <v>36000</v>
      </c>
      <c r="N4" s="215">
        <v>10000</v>
      </c>
      <c r="O4" s="215">
        <v>10000</v>
      </c>
      <c r="P4" s="215"/>
      <c r="Q4" s="215">
        <v>16000</v>
      </c>
      <c r="R4" s="215"/>
      <c r="S4" s="503">
        <f>SUM(T4:V4)</f>
        <v>84000</v>
      </c>
      <c r="T4" s="215">
        <v>60000</v>
      </c>
      <c r="U4" s="215">
        <f>12000*2</f>
        <v>24000</v>
      </c>
      <c r="V4" s="215"/>
      <c r="W4" s="503">
        <f>SUM(X4:Z4)</f>
        <v>150000</v>
      </c>
      <c r="X4" s="215">
        <v>80000</v>
      </c>
      <c r="Y4" s="215">
        <v>70000</v>
      </c>
      <c r="Z4" s="215"/>
      <c r="AA4" s="503">
        <f>SUM(AB4:AG4)</f>
        <v>280000</v>
      </c>
      <c r="AB4" s="215">
        <v>55000</v>
      </c>
      <c r="AC4" s="215">
        <v>60000</v>
      </c>
      <c r="AD4" s="215">
        <v>75000</v>
      </c>
      <c r="AE4" s="215">
        <v>90000</v>
      </c>
      <c r="AF4" s="215"/>
      <c r="AG4" s="215"/>
      <c r="AH4" s="503">
        <f>SUM(AI4:AK4)</f>
        <v>104000</v>
      </c>
      <c r="AI4" s="215">
        <v>80000</v>
      </c>
      <c r="AJ4" s="215">
        <v>24000</v>
      </c>
      <c r="AK4" s="215"/>
      <c r="AL4" s="503">
        <f>SUM(AM4:AP4)</f>
        <v>120000</v>
      </c>
      <c r="AM4" s="215">
        <v>90000</v>
      </c>
      <c r="AN4" s="215">
        <v>30000</v>
      </c>
      <c r="AO4" s="215"/>
      <c r="AP4" s="215"/>
      <c r="AQ4" s="503">
        <f>SUM(AR4:AT4)</f>
        <v>250000</v>
      </c>
      <c r="AR4" s="215">
        <f>150000+50000</f>
        <v>200000</v>
      </c>
      <c r="AS4" s="215">
        <v>50000</v>
      </c>
      <c r="AT4" s="215"/>
      <c r="AU4" s="503">
        <f>SUM(AV4:AX4)</f>
        <v>50000</v>
      </c>
      <c r="AV4" s="215">
        <v>50000</v>
      </c>
      <c r="AW4" s="215"/>
      <c r="AX4" s="215"/>
      <c r="AY4" s="215"/>
      <c r="AZ4" s="503">
        <f>SUM(BA4:BE4)</f>
        <v>85000</v>
      </c>
      <c r="BA4" s="508" t="s">
        <v>268</v>
      </c>
      <c r="BB4" s="215"/>
      <c r="BC4" s="215">
        <v>30000</v>
      </c>
      <c r="BD4" s="215">
        <f>40000+15000</f>
        <v>55000</v>
      </c>
      <c r="BE4" s="214"/>
      <c r="BF4" s="513">
        <f>C4+M4+S4+W4+AA4+AH4+AL4+AQ4+AZ4+AU4</f>
        <v>1399000</v>
      </c>
      <c r="BG4" s="516">
        <f>BF4/BF2-1</f>
        <v>1.5459508644222022</v>
      </c>
      <c r="BH4" s="516" t="e">
        <f>BF4/'MAI 23'!AH7</f>
        <v>#DIV/0!</v>
      </c>
      <c r="BI4" s="215">
        <f>(BF4-W4-AA4-S4)</f>
        <v>885000</v>
      </c>
      <c r="BJ4" s="215">
        <f>BI4*$BJ$1</f>
        <v>354000</v>
      </c>
      <c r="BK4" s="215">
        <f>BI4*$BK$1</f>
        <v>177000</v>
      </c>
      <c r="BL4" s="214"/>
      <c r="BM4" s="215">
        <f>BJ4+W4</f>
        <v>504000</v>
      </c>
      <c r="BN4" s="215">
        <f>BJ4+AA4</f>
        <v>634000</v>
      </c>
      <c r="BO4" s="215">
        <f>BK4+S4</f>
        <v>261000</v>
      </c>
    </row>
    <row r="5" spans="1:67" ht="15" x14ac:dyDescent="0.25">
      <c r="A5" s="501" t="s">
        <v>40</v>
      </c>
      <c r="B5" s="214"/>
      <c r="C5" s="504">
        <f>C4/$BF$4</f>
        <v>0.17155110793423875</v>
      </c>
      <c r="D5" s="214"/>
      <c r="E5" s="214"/>
      <c r="F5" s="214"/>
      <c r="G5" s="214"/>
      <c r="H5" s="214"/>
      <c r="I5" s="214"/>
      <c r="J5" s="214"/>
      <c r="K5" s="214"/>
      <c r="L5" s="214"/>
      <c r="M5" s="504">
        <f>M4/$BF$4</f>
        <v>2.5732666190135811E-2</v>
      </c>
      <c r="N5" s="214"/>
      <c r="O5" s="214"/>
      <c r="P5" s="214"/>
      <c r="Q5" s="214"/>
      <c r="R5" s="214"/>
      <c r="S5" s="504">
        <f>S4/$BF$4</f>
        <v>6.0042887776983557E-2</v>
      </c>
      <c r="T5" s="214"/>
      <c r="U5" s="214"/>
      <c r="V5" s="214"/>
      <c r="W5" s="504">
        <f>W4/$BF$4</f>
        <v>0.10721944245889921</v>
      </c>
      <c r="X5" s="214"/>
      <c r="Y5" s="214"/>
      <c r="Z5" s="214"/>
      <c r="AA5" s="504">
        <f>AA4/$BF$4</f>
        <v>0.20014295925661185</v>
      </c>
      <c r="AB5" s="214"/>
      <c r="AC5" s="214"/>
      <c r="AD5" s="214"/>
      <c r="AE5" s="214"/>
      <c r="AF5" s="214"/>
      <c r="AG5" s="214"/>
      <c r="AH5" s="504">
        <f>AH4/$BF$4</f>
        <v>7.4338813438170115E-2</v>
      </c>
      <c r="AI5" s="214"/>
      <c r="AJ5" s="214"/>
      <c r="AK5" s="214"/>
      <c r="AL5" s="504">
        <f>AL4/$BF$4</f>
        <v>8.5775553967119375E-2</v>
      </c>
      <c r="AM5" s="214"/>
      <c r="AN5" s="214"/>
      <c r="AO5" s="214"/>
      <c r="AP5" s="214"/>
      <c r="AQ5" s="504">
        <f>AQ4/$BF$4</f>
        <v>0.17869907076483202</v>
      </c>
      <c r="AR5" s="214"/>
      <c r="AS5" s="214"/>
      <c r="AT5" s="214"/>
      <c r="AU5" s="504"/>
      <c r="AV5" s="214"/>
      <c r="AW5" s="214"/>
      <c r="AX5" s="214"/>
      <c r="AY5" s="214"/>
      <c r="AZ5" s="504">
        <f>AZ4/$BF$4</f>
        <v>6.0757684060042887E-2</v>
      </c>
      <c r="BA5" s="214"/>
      <c r="BB5" s="214"/>
      <c r="BC5" s="214"/>
      <c r="BD5" s="214"/>
      <c r="BE5" s="214"/>
      <c r="BF5" s="514"/>
      <c r="BG5" s="214"/>
      <c r="BH5" s="214"/>
      <c r="BI5" s="214"/>
      <c r="BJ5" s="214"/>
      <c r="BK5" s="214"/>
      <c r="BL5" s="214"/>
      <c r="BM5" s="520">
        <f>BM4/BF4</f>
        <v>0.36025732666190136</v>
      </c>
      <c r="BN5" s="520">
        <f>BN4/$BF$4</f>
        <v>0.45318084345961401</v>
      </c>
      <c r="BO5" s="520">
        <f>BO4/$BF$4</f>
        <v>0.18656182987848463</v>
      </c>
    </row>
    <row r="6" spans="1:67" ht="15.75" x14ac:dyDescent="0.25">
      <c r="A6" s="556">
        <f>EOMONTH(B6,0)</f>
        <v>45107</v>
      </c>
      <c r="B6" s="556">
        <v>45078</v>
      </c>
      <c r="C6" s="503">
        <f>SUM(D6:K6)</f>
        <v>327000</v>
      </c>
      <c r="D6" s="215">
        <f>60000+10000</f>
        <v>70000</v>
      </c>
      <c r="E6" s="508" t="s">
        <v>232</v>
      </c>
      <c r="F6" s="215">
        <f>60000+10000</f>
        <v>70000</v>
      </c>
      <c r="G6" s="215">
        <f>40000+7000</f>
        <v>47000</v>
      </c>
      <c r="H6" s="215"/>
      <c r="I6" s="215"/>
      <c r="J6" s="215">
        <f>60000+10000</f>
        <v>70000</v>
      </c>
      <c r="K6" s="215">
        <f>60000+10000</f>
        <v>70000</v>
      </c>
      <c r="L6" s="214"/>
      <c r="M6" s="503">
        <f>SUM(N6:R6)</f>
        <v>86000</v>
      </c>
      <c r="N6" s="215">
        <f>10000+2500</f>
        <v>12500</v>
      </c>
      <c r="O6" s="215">
        <f>10000+2500</f>
        <v>12500</v>
      </c>
      <c r="P6" s="215">
        <f>70000*50%+5000</f>
        <v>40000</v>
      </c>
      <c r="Q6" s="215">
        <v>21000</v>
      </c>
      <c r="R6" s="214"/>
      <c r="S6" s="503">
        <f>SUM(T6:V6)</f>
        <v>98000</v>
      </c>
      <c r="T6" s="215">
        <f>60000+10000</f>
        <v>70000</v>
      </c>
      <c r="U6" s="215">
        <f>12000*2+4000</f>
        <v>28000</v>
      </c>
      <c r="V6" s="214"/>
      <c r="W6" s="503">
        <f>SUM(X6:Z6)</f>
        <v>170000</v>
      </c>
      <c r="X6" s="215">
        <f>80000+10000</f>
        <v>90000</v>
      </c>
      <c r="Y6" s="215">
        <f>70000+10000</f>
        <v>80000</v>
      </c>
      <c r="Z6" s="214"/>
      <c r="AA6" s="503">
        <f>SUM(AB6:AG6)</f>
        <v>315000</v>
      </c>
      <c r="AB6" s="215">
        <f>55000</f>
        <v>55000</v>
      </c>
      <c r="AC6" s="215">
        <f>60000+10000</f>
        <v>70000</v>
      </c>
      <c r="AD6" s="215">
        <f>75000+10000</f>
        <v>85000</v>
      </c>
      <c r="AE6" s="215">
        <f>90000+15000</f>
        <v>105000</v>
      </c>
      <c r="AF6" s="214"/>
      <c r="AG6" s="214"/>
      <c r="AH6" s="503">
        <f>SUM(AI6:AK6)</f>
        <v>125000</v>
      </c>
      <c r="AI6" s="215">
        <f>80000+15000</f>
        <v>95000</v>
      </c>
      <c r="AJ6" s="215">
        <f>24000+6000</f>
        <v>30000</v>
      </c>
      <c r="AK6" s="214"/>
      <c r="AL6" s="503">
        <f>SUM(AM6:AP6)</f>
        <v>140000</v>
      </c>
      <c r="AM6" s="215">
        <f>90000+10000</f>
        <v>100000</v>
      </c>
      <c r="AN6" s="215">
        <f>30000+10000</f>
        <v>40000</v>
      </c>
      <c r="AO6" s="214"/>
      <c r="AP6" s="214"/>
      <c r="AQ6" s="503">
        <f>SUM(AR6:AT6)</f>
        <v>255000</v>
      </c>
      <c r="AR6" s="215">
        <f>150000+50000+30000</f>
        <v>230000</v>
      </c>
      <c r="AS6" s="215">
        <v>25000</v>
      </c>
      <c r="AT6" s="214"/>
      <c r="AU6" s="503">
        <f>SUM(AV6:AX6)</f>
        <v>100000</v>
      </c>
      <c r="AV6" s="215">
        <v>100000</v>
      </c>
      <c r="AW6" s="214"/>
      <c r="AX6" s="214"/>
      <c r="AY6" s="214"/>
      <c r="AZ6" s="503">
        <f>SUM(BA6:BE6)</f>
        <v>120000</v>
      </c>
      <c r="BA6" s="507"/>
      <c r="BB6" s="215">
        <f>60000-8000</f>
        <v>52000</v>
      </c>
      <c r="BC6" s="215">
        <v>28000</v>
      </c>
      <c r="BD6" s="215">
        <v>40000</v>
      </c>
      <c r="BE6" s="214"/>
      <c r="BF6" s="513">
        <f>C6+M6+S6+W6+AA6+AH6+AL6+AQ6+AZ6+AU6</f>
        <v>1736000</v>
      </c>
      <c r="BG6" s="516">
        <f>BF6/BF4-1</f>
        <v>0.24088634739099346</v>
      </c>
      <c r="BH6" s="516" t="e">
        <f>BF6/'JUIN 23'!AG3</f>
        <v>#DIV/0!</v>
      </c>
      <c r="BI6" s="215">
        <f>(BF6-W6-AA6-S6)</f>
        <v>1153000</v>
      </c>
      <c r="BJ6" s="215">
        <f>BI6*$BJ$1</f>
        <v>461200</v>
      </c>
      <c r="BK6" s="215">
        <f>BI6*$BK$1</f>
        <v>230600</v>
      </c>
      <c r="BL6" s="214"/>
      <c r="BM6" s="215">
        <f>BJ6+W6</f>
        <v>631200</v>
      </c>
      <c r="BN6" s="215">
        <f>BJ6+AA6</f>
        <v>776200</v>
      </c>
      <c r="BO6" s="215">
        <f>BK6+S6</f>
        <v>328600</v>
      </c>
    </row>
    <row r="7" spans="1:67" ht="15" x14ac:dyDescent="0.25">
      <c r="A7" s="501" t="s">
        <v>40</v>
      </c>
      <c r="B7" s="214"/>
      <c r="C7" s="504">
        <f>C6/$BF$6</f>
        <v>0.18836405529953917</v>
      </c>
      <c r="D7" s="214"/>
      <c r="E7" s="214"/>
      <c r="F7" s="214"/>
      <c r="G7" s="214"/>
      <c r="H7" s="214"/>
      <c r="I7" s="214"/>
      <c r="J7" s="214"/>
      <c r="K7" s="214"/>
      <c r="L7" s="214"/>
      <c r="M7" s="504">
        <f>M6/$BF$6</f>
        <v>4.9539170506912443E-2</v>
      </c>
      <c r="N7" s="214"/>
      <c r="O7" s="214"/>
      <c r="P7" s="214"/>
      <c r="Q7" s="214"/>
      <c r="R7" s="214"/>
      <c r="S7" s="504">
        <f>S6/$BF$6</f>
        <v>5.6451612903225805E-2</v>
      </c>
      <c r="T7" s="214"/>
      <c r="U7" s="214"/>
      <c r="V7" s="214"/>
      <c r="W7" s="504">
        <f>W6/$BF$6</f>
        <v>9.7926267281105997E-2</v>
      </c>
      <c r="X7" s="214"/>
      <c r="Y7" s="214"/>
      <c r="Z7" s="214"/>
      <c r="AA7" s="504">
        <f>AA6/$BF$6</f>
        <v>0.18145161290322581</v>
      </c>
      <c r="AB7" s="214"/>
      <c r="AC7" s="214"/>
      <c r="AD7" s="214"/>
      <c r="AE7" s="214"/>
      <c r="AF7" s="214"/>
      <c r="AG7" s="214"/>
      <c r="AH7" s="504">
        <f>AH6/$BF$6</f>
        <v>7.2004608294930869E-2</v>
      </c>
      <c r="AI7" s="214"/>
      <c r="AJ7" s="214"/>
      <c r="AK7" s="214"/>
      <c r="AL7" s="504">
        <f>AL6/$BF$6</f>
        <v>8.0645161290322578E-2</v>
      </c>
      <c r="AM7" s="214"/>
      <c r="AN7" s="214"/>
      <c r="AO7" s="214"/>
      <c r="AP7" s="214"/>
      <c r="AQ7" s="504">
        <f>AQ6/$BF$6</f>
        <v>0.14688940092165897</v>
      </c>
      <c r="AR7" s="214"/>
      <c r="AS7" s="214"/>
      <c r="AT7" s="214"/>
      <c r="AU7" s="504">
        <f>AU6/$BF$6</f>
        <v>5.7603686635944701E-2</v>
      </c>
      <c r="AV7" s="214"/>
      <c r="AW7" s="214"/>
      <c r="AX7" s="214"/>
      <c r="AY7" s="214"/>
      <c r="AZ7" s="504">
        <f>AZ6/$BF$6</f>
        <v>6.9124423963133647E-2</v>
      </c>
      <c r="BA7" s="214"/>
      <c r="BB7" s="214"/>
      <c r="BC7" s="214"/>
      <c r="BD7" s="214"/>
      <c r="BE7" s="214"/>
      <c r="BF7" s="514"/>
      <c r="BG7" s="214"/>
      <c r="BH7" s="214"/>
      <c r="BI7" s="214"/>
      <c r="BJ7" s="214"/>
      <c r="BK7" s="214"/>
      <c r="BL7" s="214"/>
      <c r="BM7" s="520">
        <f>BM6/BF6</f>
        <v>0.36359447004608297</v>
      </c>
      <c r="BN7" s="520">
        <f>BN6/$BF$6</f>
        <v>0.44711981566820275</v>
      </c>
      <c r="BO7" s="520">
        <f>BO6/$BF$6</f>
        <v>0.18928571428571428</v>
      </c>
    </row>
    <row r="8" spans="1:67" ht="15.75" x14ac:dyDescent="0.25">
      <c r="A8" s="556">
        <f>EOMONTH(B8,0)</f>
        <v>45138</v>
      </c>
      <c r="B8" s="556">
        <v>45108</v>
      </c>
      <c r="C8" s="503">
        <f>SUM(D8:K8)</f>
        <v>293500</v>
      </c>
      <c r="D8" s="215">
        <f>60000+10000</f>
        <v>70000</v>
      </c>
      <c r="E8" s="508" t="s">
        <v>232</v>
      </c>
      <c r="F8" s="215">
        <v>60000</v>
      </c>
      <c r="G8" s="508" t="s">
        <v>232</v>
      </c>
      <c r="H8" s="215">
        <f>23500</f>
        <v>23500</v>
      </c>
      <c r="I8" s="214"/>
      <c r="J8" s="215">
        <f>J6</f>
        <v>70000</v>
      </c>
      <c r="K8" s="215">
        <f>K6</f>
        <v>70000</v>
      </c>
      <c r="L8" s="214"/>
      <c r="M8" s="503">
        <f>SUM(N8:R8)</f>
        <v>121000</v>
      </c>
      <c r="N8" s="215">
        <v>10000</v>
      </c>
      <c r="O8" s="215">
        <v>10000</v>
      </c>
      <c r="P8" s="215">
        <f>70000+10000</f>
        <v>80000</v>
      </c>
      <c r="Q8" s="215">
        <f>Q6</f>
        <v>21000</v>
      </c>
      <c r="R8" s="214"/>
      <c r="S8" s="503">
        <f>SUM(T8:V8)</f>
        <v>98000</v>
      </c>
      <c r="T8" s="215">
        <f>T6</f>
        <v>70000</v>
      </c>
      <c r="U8" s="215">
        <f>U6</f>
        <v>28000</v>
      </c>
      <c r="V8" s="214"/>
      <c r="W8" s="503">
        <f>SUM(X8:Z8)</f>
        <v>170000</v>
      </c>
      <c r="X8" s="215">
        <f>X6</f>
        <v>90000</v>
      </c>
      <c r="Y8" s="215">
        <f>Y6</f>
        <v>80000</v>
      </c>
      <c r="Z8" s="214"/>
      <c r="AA8" s="503">
        <f>SUM(AB8:AG8)</f>
        <v>300000</v>
      </c>
      <c r="AB8" s="508" t="s">
        <v>251</v>
      </c>
      <c r="AC8" s="215">
        <f>AC6</f>
        <v>70000</v>
      </c>
      <c r="AD8" s="215">
        <f>AD6</f>
        <v>85000</v>
      </c>
      <c r="AE8" s="215">
        <v>100000</v>
      </c>
      <c r="AF8" s="215">
        <v>45000</v>
      </c>
      <c r="AG8" s="215"/>
      <c r="AH8" s="503">
        <f>SUM(AI8:AK8)</f>
        <v>125000</v>
      </c>
      <c r="AI8" s="215">
        <f>AI6</f>
        <v>95000</v>
      </c>
      <c r="AJ8" s="215">
        <f>AJ6</f>
        <v>30000</v>
      </c>
      <c r="AK8" s="511"/>
      <c r="AL8" s="503">
        <f>SUM(AM8:AO8)</f>
        <v>140000</v>
      </c>
      <c r="AM8" s="215">
        <v>75000</v>
      </c>
      <c r="AN8" s="215">
        <f>AN6</f>
        <v>40000</v>
      </c>
      <c r="AO8" s="215">
        <v>25000</v>
      </c>
      <c r="AP8" s="214"/>
      <c r="AQ8" s="503">
        <f>SUM(AR8:AT8)</f>
        <v>310000</v>
      </c>
      <c r="AR8" s="215">
        <f>AR6+10000</f>
        <v>240000</v>
      </c>
      <c r="AS8" s="215">
        <f>50000+20000</f>
        <v>70000</v>
      </c>
      <c r="AT8" s="214"/>
      <c r="AU8" s="503">
        <f>SUM(AV8:AX8)</f>
        <v>124000</v>
      </c>
      <c r="AV8" s="215">
        <f>AV6</f>
        <v>100000</v>
      </c>
      <c r="AW8" s="215">
        <v>24000</v>
      </c>
      <c r="AX8" s="215"/>
      <c r="AY8" s="215"/>
      <c r="AZ8" s="503">
        <f>SUM(BA8:BE8)</f>
        <v>128000</v>
      </c>
      <c r="BA8" s="214"/>
      <c r="BB8" s="215">
        <v>60000</v>
      </c>
      <c r="BC8" s="215">
        <f>BC6</f>
        <v>28000</v>
      </c>
      <c r="BD8" s="215">
        <v>40000</v>
      </c>
      <c r="BE8" s="214"/>
      <c r="BF8" s="513">
        <f>C8+M8+S8+W8+AA8+AH8+AL8+AQ8+AZ8+AU8</f>
        <v>1809500</v>
      </c>
      <c r="BG8" s="516">
        <f>BF8/BF6-1</f>
        <v>4.2338709677419262E-2</v>
      </c>
      <c r="BH8" s="516" t="e">
        <f>BF8/'JUILLET 23'!AH3</f>
        <v>#DIV/0!</v>
      </c>
      <c r="BI8" s="215">
        <f>(BF8-W8-AA8-S8)</f>
        <v>1241500</v>
      </c>
      <c r="BJ8" s="215">
        <f>BI8*$BJ$1</f>
        <v>496600</v>
      </c>
      <c r="BK8" s="215">
        <f>BI8*$BK$1</f>
        <v>248300</v>
      </c>
      <c r="BL8" s="214"/>
      <c r="BM8" s="215">
        <f>BI8+C8</f>
        <v>1535000</v>
      </c>
      <c r="BN8" s="215">
        <f>BJ8+AA8</f>
        <v>796600</v>
      </c>
      <c r="BO8" s="215">
        <f>BK8+S8</f>
        <v>346300</v>
      </c>
    </row>
    <row r="9" spans="1:67" ht="15" x14ac:dyDescent="0.25">
      <c r="A9" s="501" t="s">
        <v>40</v>
      </c>
      <c r="B9" s="214"/>
      <c r="C9" s="504">
        <f>C8/$BF$6</f>
        <v>0.16906682027649769</v>
      </c>
      <c r="D9" s="214"/>
      <c r="E9" s="214"/>
      <c r="F9" s="214"/>
      <c r="G9" s="214"/>
      <c r="H9" s="214"/>
      <c r="I9" s="214"/>
      <c r="J9" s="214"/>
      <c r="K9" s="214"/>
      <c r="L9" s="214"/>
      <c r="M9" s="504">
        <f>M8/$BF$6</f>
        <v>6.9700460829493091E-2</v>
      </c>
      <c r="N9" s="214"/>
      <c r="O9" s="214"/>
      <c r="P9" s="214"/>
      <c r="Q9" s="214"/>
      <c r="R9" s="214"/>
      <c r="S9" s="504">
        <f>S8/$BF$6</f>
        <v>5.6451612903225805E-2</v>
      </c>
      <c r="T9" s="214"/>
      <c r="U9" s="214"/>
      <c r="V9" s="214"/>
      <c r="W9" s="505"/>
      <c r="X9" s="214"/>
      <c r="Y9" s="214"/>
      <c r="Z9" s="214"/>
      <c r="AA9" s="504">
        <f>AA8/$BF$6</f>
        <v>0.1728110599078341</v>
      </c>
      <c r="AB9" s="214"/>
      <c r="AC9" s="214"/>
      <c r="AD9" s="214"/>
      <c r="AE9" s="214"/>
      <c r="AF9" s="214"/>
      <c r="AG9" s="214"/>
      <c r="AH9" s="504">
        <f>AH8/$BF$6</f>
        <v>7.2004608294930869E-2</v>
      </c>
      <c r="AI9" s="214"/>
      <c r="AJ9" s="214"/>
      <c r="AK9" s="214"/>
      <c r="AL9" s="504">
        <f>AL8/$BF$6</f>
        <v>8.0645161290322578E-2</v>
      </c>
      <c r="AM9" s="214"/>
      <c r="AN9" s="214"/>
      <c r="AO9" s="214"/>
      <c r="AP9" s="214"/>
      <c r="AQ9" s="504">
        <f>AQ8/$BF$6</f>
        <v>0.17857142857142858</v>
      </c>
      <c r="AR9" s="214"/>
      <c r="AS9" s="214"/>
      <c r="AT9" s="214"/>
      <c r="AU9" s="504">
        <f>AU8/$BF$6</f>
        <v>7.1428571428571425E-2</v>
      </c>
      <c r="AV9" s="214"/>
      <c r="AW9" s="214"/>
      <c r="AX9" s="214"/>
      <c r="AY9" s="214"/>
      <c r="AZ9" s="504">
        <f>AZ8/$BF$6</f>
        <v>7.3732718894009217E-2</v>
      </c>
      <c r="BA9" s="214"/>
      <c r="BB9" s="214"/>
      <c r="BC9" s="214"/>
      <c r="BD9" s="214"/>
      <c r="BE9" s="214"/>
      <c r="BF9" s="514"/>
      <c r="BG9" s="214"/>
      <c r="BH9" s="214"/>
      <c r="BI9" s="214"/>
      <c r="BJ9" s="214"/>
      <c r="BK9" s="214"/>
      <c r="BL9" s="214"/>
      <c r="BM9" s="378">
        <f>BI9+C9</f>
        <v>0.16906682027649769</v>
      </c>
      <c r="BN9" s="520">
        <f>BN8/$BF$8</f>
        <v>0.44023210831721471</v>
      </c>
      <c r="BO9" s="520">
        <f>BO8/$BF$8</f>
        <v>0.19137883393202543</v>
      </c>
    </row>
    <row r="10" spans="1:67" ht="15.75" x14ac:dyDescent="0.25">
      <c r="A10" s="556">
        <f>EOMONTH(B10,0)</f>
        <v>45169</v>
      </c>
      <c r="B10" s="556">
        <v>45139</v>
      </c>
      <c r="C10" s="505"/>
      <c r="D10" s="214"/>
      <c r="E10" s="214"/>
      <c r="F10" s="214"/>
      <c r="G10" s="214"/>
      <c r="H10" s="214"/>
      <c r="I10" s="214"/>
      <c r="J10" s="214"/>
      <c r="K10" s="214"/>
      <c r="L10" s="214"/>
      <c r="M10" s="505"/>
      <c r="N10" s="214"/>
      <c r="O10" s="214"/>
      <c r="P10" s="214"/>
      <c r="Q10" s="214"/>
      <c r="R10" s="214"/>
      <c r="S10" s="505"/>
      <c r="T10" s="214"/>
      <c r="U10" s="214"/>
      <c r="V10" s="214"/>
      <c r="W10" s="505"/>
      <c r="X10" s="214"/>
      <c r="Y10" s="214"/>
      <c r="Z10" s="214"/>
      <c r="AA10" s="505"/>
      <c r="AB10" s="214"/>
      <c r="AC10" s="214"/>
      <c r="AD10" s="214"/>
      <c r="AE10" s="214"/>
      <c r="AF10" s="214"/>
      <c r="AG10" s="214"/>
      <c r="AH10" s="505"/>
      <c r="AI10" s="214"/>
      <c r="AJ10" s="214"/>
      <c r="AK10" s="214"/>
      <c r="AL10" s="505"/>
      <c r="AM10" s="214"/>
      <c r="AN10" s="214"/>
      <c r="AO10" s="214"/>
      <c r="AP10" s="214"/>
      <c r="AQ10" s="505"/>
      <c r="AR10" s="214"/>
      <c r="AS10" s="214"/>
      <c r="AT10" s="214"/>
      <c r="AU10" s="505"/>
      <c r="AV10" s="214"/>
      <c r="AW10" s="214"/>
      <c r="AX10" s="214"/>
      <c r="AY10" s="214"/>
      <c r="AZ10" s="505"/>
      <c r="BA10" s="214"/>
      <c r="BB10" s="214"/>
      <c r="BC10" s="214"/>
      <c r="BD10" s="214"/>
      <c r="BE10" s="214"/>
      <c r="BF10" s="513">
        <f>C10+M10+S10+W10+AA10+AH10+AL10+AQ10+AZ10+AU10</f>
        <v>0</v>
      </c>
      <c r="BG10" s="214"/>
      <c r="BH10" s="214"/>
      <c r="BI10" s="214"/>
      <c r="BJ10" s="214"/>
      <c r="BK10" s="214"/>
      <c r="BL10" s="214"/>
      <c r="BM10" s="214">
        <f>BI10+C10</f>
        <v>0</v>
      </c>
      <c r="BN10" s="214"/>
      <c r="BO10" s="214"/>
    </row>
    <row r="11" spans="1:67" ht="15" x14ac:dyDescent="0.25">
      <c r="A11" s="501" t="s">
        <v>40</v>
      </c>
      <c r="B11" s="214"/>
      <c r="C11" s="505"/>
      <c r="D11" s="214"/>
      <c r="E11" s="214"/>
      <c r="F11" s="214"/>
      <c r="G11" s="214"/>
      <c r="H11" s="214"/>
      <c r="I11" s="214"/>
      <c r="J11" s="214"/>
      <c r="K11" s="214"/>
      <c r="L11" s="214"/>
      <c r="M11" s="505"/>
      <c r="N11" s="214"/>
      <c r="O11" s="214"/>
      <c r="P11" s="214"/>
      <c r="Q11" s="214"/>
      <c r="R11" s="214"/>
      <c r="S11" s="505"/>
      <c r="T11" s="214"/>
      <c r="U11" s="214"/>
      <c r="V11" s="214"/>
      <c r="W11" s="505"/>
      <c r="X11" s="214"/>
      <c r="Y11" s="214"/>
      <c r="Z11" s="214"/>
      <c r="AA11" s="505"/>
      <c r="AB11" s="214"/>
      <c r="AC11" s="214"/>
      <c r="AD11" s="214"/>
      <c r="AE11" s="214"/>
      <c r="AF11" s="214"/>
      <c r="AG11" s="214"/>
      <c r="AH11" s="505"/>
      <c r="AI11" s="214"/>
      <c r="AJ11" s="214"/>
      <c r="AK11" s="214"/>
      <c r="AL11" s="505"/>
      <c r="AM11" s="214"/>
      <c r="AN11" s="214"/>
      <c r="AO11" s="214"/>
      <c r="AP11" s="214"/>
      <c r="AQ11" s="505"/>
      <c r="AR11" s="214"/>
      <c r="AS11" s="214"/>
      <c r="AT11" s="214"/>
      <c r="AU11" s="505"/>
      <c r="AV11" s="214"/>
      <c r="AW11" s="214"/>
      <c r="AX11" s="214"/>
      <c r="AY11" s="214"/>
      <c r="AZ11" s="505"/>
      <c r="BA11" s="214"/>
      <c r="BB11" s="214"/>
      <c r="BC11" s="214"/>
      <c r="BD11" s="214"/>
      <c r="BE11" s="214"/>
      <c r="BF11" s="514"/>
      <c r="BG11" s="214"/>
      <c r="BH11" s="214"/>
      <c r="BI11" s="214"/>
      <c r="BJ11" s="214"/>
      <c r="BK11" s="214"/>
      <c r="BL11" s="214"/>
      <c r="BM11" s="214">
        <f>BI11+C11</f>
        <v>0</v>
      </c>
      <c r="BN11" s="214"/>
      <c r="BO11" s="214"/>
    </row>
    <row r="12" spans="1:67" ht="15.75" x14ac:dyDescent="0.25">
      <c r="A12" s="556">
        <f>EOMONTH(B12,0)</f>
        <v>45199</v>
      </c>
      <c r="B12" s="556">
        <v>45170</v>
      </c>
      <c r="C12" s="505"/>
      <c r="D12" s="214"/>
      <c r="E12" s="214"/>
      <c r="F12" s="214"/>
      <c r="G12" s="214"/>
      <c r="H12" s="214"/>
      <c r="I12" s="214"/>
      <c r="J12" s="214"/>
      <c r="K12" s="214"/>
      <c r="L12" s="214"/>
      <c r="M12" s="505"/>
      <c r="N12" s="214"/>
      <c r="O12" s="214"/>
      <c r="P12" s="214"/>
      <c r="Q12" s="214"/>
      <c r="R12" s="214"/>
      <c r="S12" s="505"/>
      <c r="T12" s="214"/>
      <c r="U12" s="214"/>
      <c r="V12" s="214"/>
      <c r="W12" s="505"/>
      <c r="X12" s="214"/>
      <c r="Y12" s="214"/>
      <c r="Z12" s="214"/>
      <c r="AA12" s="505"/>
      <c r="AB12" s="214"/>
      <c r="AC12" s="214"/>
      <c r="AD12" s="214"/>
      <c r="AE12" s="214"/>
      <c r="AF12" s="214"/>
      <c r="AG12" s="214"/>
      <c r="AH12" s="505"/>
      <c r="AI12" s="214"/>
      <c r="AJ12" s="214"/>
      <c r="AK12" s="214"/>
      <c r="AL12" s="505"/>
      <c r="AM12" s="214"/>
      <c r="AN12" s="214"/>
      <c r="AO12" s="214"/>
      <c r="AP12" s="214"/>
      <c r="AQ12" s="505"/>
      <c r="AR12" s="214"/>
      <c r="AS12" s="214"/>
      <c r="AT12" s="214"/>
      <c r="AU12" s="505"/>
      <c r="AV12" s="214"/>
      <c r="AW12" s="214"/>
      <c r="AX12" s="214"/>
      <c r="AY12" s="214"/>
      <c r="AZ12" s="505"/>
      <c r="BA12" s="214"/>
      <c r="BB12" s="214"/>
      <c r="BC12" s="214"/>
      <c r="BD12" s="214"/>
      <c r="BE12" s="214"/>
      <c r="BF12" s="513">
        <f>C12+M12+S12+W12+AA12+AH12+AL12+AQ12+AZ12+AU12</f>
        <v>0</v>
      </c>
      <c r="BG12" s="214"/>
      <c r="BH12" s="214"/>
      <c r="BI12" s="214"/>
      <c r="BJ12" s="214"/>
      <c r="BK12" s="214"/>
      <c r="BL12" s="214"/>
      <c r="BM12" s="214">
        <f>BI12+C12</f>
        <v>0</v>
      </c>
      <c r="BN12" s="214"/>
      <c r="BO12" s="214"/>
    </row>
    <row r="13" spans="1:67" ht="15" x14ac:dyDescent="0.25">
      <c r="A13" s="501" t="s">
        <v>40</v>
      </c>
      <c r="B13" s="214"/>
      <c r="C13" s="505"/>
      <c r="D13" s="214"/>
      <c r="E13" s="214"/>
      <c r="F13" s="214"/>
      <c r="G13" s="214"/>
      <c r="H13" s="214"/>
      <c r="I13" s="214"/>
      <c r="J13" s="214"/>
      <c r="K13" s="214"/>
      <c r="L13" s="214"/>
      <c r="M13" s="505"/>
      <c r="N13" s="214"/>
      <c r="O13" s="214"/>
      <c r="P13" s="214"/>
      <c r="Q13" s="214"/>
      <c r="R13" s="214"/>
      <c r="S13" s="505"/>
      <c r="T13" s="214"/>
      <c r="U13" s="214"/>
      <c r="V13" s="214"/>
      <c r="W13" s="505"/>
      <c r="X13" s="214"/>
      <c r="Y13" s="214"/>
      <c r="Z13" s="214"/>
      <c r="AA13" s="505"/>
      <c r="AB13" s="214"/>
      <c r="AC13" s="214"/>
      <c r="AD13" s="214"/>
      <c r="AE13" s="214"/>
      <c r="AF13" s="214"/>
      <c r="AG13" s="214"/>
      <c r="AH13" s="505"/>
      <c r="AI13" s="214"/>
      <c r="AJ13" s="214"/>
      <c r="AK13" s="214"/>
      <c r="AL13" s="505"/>
      <c r="AM13" s="214"/>
      <c r="AN13" s="214"/>
      <c r="AO13" s="214"/>
      <c r="AP13" s="214"/>
      <c r="AQ13" s="505"/>
      <c r="AR13" s="214"/>
      <c r="AS13" s="214"/>
      <c r="AT13" s="214"/>
      <c r="AU13" s="505"/>
      <c r="AV13" s="214"/>
      <c r="AW13" s="214"/>
      <c r="AX13" s="214"/>
      <c r="AY13" s="214"/>
      <c r="AZ13" s="505"/>
      <c r="BA13" s="214"/>
      <c r="BB13" s="214"/>
      <c r="BC13" s="214"/>
      <c r="BD13" s="214"/>
      <c r="BE13" s="214"/>
      <c r="BF13" s="514"/>
      <c r="BG13" s="214"/>
      <c r="BH13" s="214"/>
      <c r="BI13" s="214"/>
      <c r="BJ13" s="214"/>
      <c r="BK13" s="214"/>
      <c r="BL13" s="214"/>
      <c r="BM13" s="214">
        <f>BI13+C13</f>
        <v>0</v>
      </c>
      <c r="BN13" s="214"/>
      <c r="BO13" s="214"/>
    </row>
    <row r="14" spans="1:67" ht="15.75" x14ac:dyDescent="0.25">
      <c r="A14" s="556">
        <f>EOMONTH(B14,0)</f>
        <v>45230</v>
      </c>
      <c r="B14" s="556">
        <v>45200</v>
      </c>
      <c r="C14" s="505"/>
      <c r="D14" s="214"/>
      <c r="E14" s="214"/>
      <c r="F14" s="214"/>
      <c r="G14" s="214"/>
      <c r="H14" s="214"/>
      <c r="I14" s="214"/>
      <c r="J14" s="214"/>
      <c r="K14" s="214"/>
      <c r="L14" s="214"/>
      <c r="M14" s="505"/>
      <c r="N14" s="214"/>
      <c r="O14" s="214"/>
      <c r="P14" s="214"/>
      <c r="Q14" s="214"/>
      <c r="R14" s="214"/>
      <c r="S14" s="505"/>
      <c r="T14" s="214"/>
      <c r="U14" s="214"/>
      <c r="V14" s="214"/>
      <c r="W14" s="505"/>
      <c r="X14" s="214"/>
      <c r="Y14" s="214"/>
      <c r="Z14" s="214"/>
      <c r="AA14" s="505"/>
      <c r="AB14" s="214"/>
      <c r="AC14" s="214"/>
      <c r="AD14" s="214"/>
      <c r="AE14" s="214"/>
      <c r="AF14" s="214"/>
      <c r="AG14" s="214"/>
      <c r="AH14" s="505"/>
      <c r="AI14" s="214"/>
      <c r="AJ14" s="214"/>
      <c r="AK14" s="214"/>
      <c r="AL14" s="505"/>
      <c r="AM14" s="214"/>
      <c r="AN14" s="214"/>
      <c r="AO14" s="214"/>
      <c r="AP14" s="214"/>
      <c r="AQ14" s="505"/>
      <c r="AR14" s="214"/>
      <c r="AS14" s="214"/>
      <c r="AT14" s="214"/>
      <c r="AU14" s="505"/>
      <c r="AV14" s="214"/>
      <c r="AW14" s="214"/>
      <c r="AX14" s="214"/>
      <c r="AY14" s="214"/>
      <c r="AZ14" s="505"/>
      <c r="BA14" s="214"/>
      <c r="BB14" s="214"/>
      <c r="BC14" s="214"/>
      <c r="BD14" s="214"/>
      <c r="BE14" s="214"/>
      <c r="BF14" s="513">
        <f>C14+M14+S14+W14+AA14+AH14+AL14+AQ14+AZ14+AU14</f>
        <v>0</v>
      </c>
      <c r="BG14" s="214"/>
      <c r="BH14" s="214"/>
      <c r="BI14" s="214"/>
      <c r="BJ14" s="214"/>
      <c r="BK14" s="214"/>
      <c r="BL14" s="214"/>
      <c r="BM14" s="214">
        <f>BI14+C14</f>
        <v>0</v>
      </c>
      <c r="BN14" s="214"/>
      <c r="BO14" s="214"/>
    </row>
    <row r="15" spans="1:67" ht="15" x14ac:dyDescent="0.25">
      <c r="A15" s="501" t="s">
        <v>40</v>
      </c>
      <c r="B15" s="214"/>
      <c r="C15" s="505"/>
      <c r="D15" s="214"/>
      <c r="E15" s="214"/>
      <c r="F15" s="214"/>
      <c r="G15" s="214"/>
      <c r="H15" s="214"/>
      <c r="I15" s="214"/>
      <c r="J15" s="214"/>
      <c r="K15" s="214"/>
      <c r="L15" s="214"/>
      <c r="M15" s="505"/>
      <c r="N15" s="214"/>
      <c r="O15" s="214"/>
      <c r="P15" s="214"/>
      <c r="Q15" s="214"/>
      <c r="R15" s="214"/>
      <c r="S15" s="505"/>
      <c r="T15" s="214"/>
      <c r="U15" s="214"/>
      <c r="V15" s="214"/>
      <c r="W15" s="505"/>
      <c r="X15" s="214"/>
      <c r="Y15" s="214"/>
      <c r="Z15" s="214"/>
      <c r="AA15" s="505"/>
      <c r="AB15" s="214"/>
      <c r="AC15" s="214"/>
      <c r="AD15" s="214"/>
      <c r="AE15" s="214"/>
      <c r="AF15" s="214"/>
      <c r="AG15" s="214"/>
      <c r="AH15" s="505"/>
      <c r="AI15" s="214"/>
      <c r="AJ15" s="214"/>
      <c r="AK15" s="214"/>
      <c r="AL15" s="505"/>
      <c r="AM15" s="214"/>
      <c r="AN15" s="214"/>
      <c r="AO15" s="214"/>
      <c r="AP15" s="214"/>
      <c r="AQ15" s="505"/>
      <c r="AR15" s="214"/>
      <c r="AS15" s="214"/>
      <c r="AT15" s="214"/>
      <c r="AU15" s="505"/>
      <c r="AV15" s="214"/>
      <c r="AW15" s="214"/>
      <c r="AX15" s="214"/>
      <c r="AY15" s="214"/>
      <c r="AZ15" s="505"/>
      <c r="BA15" s="214"/>
      <c r="BB15" s="214"/>
      <c r="BC15" s="214"/>
      <c r="BD15" s="214"/>
      <c r="BE15" s="214"/>
      <c r="BF15" s="514"/>
      <c r="BG15" s="214"/>
      <c r="BH15" s="214"/>
      <c r="BI15" s="214"/>
      <c r="BJ15" s="214"/>
      <c r="BK15" s="214"/>
      <c r="BL15" s="214"/>
      <c r="BM15" s="214">
        <f>BI15+C15</f>
        <v>0</v>
      </c>
      <c r="BN15" s="214"/>
      <c r="BO15" s="214"/>
    </row>
    <row r="16" spans="1:67" ht="15.75" x14ac:dyDescent="0.25">
      <c r="A16" s="556">
        <f>EOMONTH(B16,0)</f>
        <v>45260</v>
      </c>
      <c r="B16" s="556">
        <v>45231</v>
      </c>
      <c r="C16" s="505"/>
      <c r="D16" s="214"/>
      <c r="E16" s="214"/>
      <c r="F16" s="214"/>
      <c r="G16" s="214"/>
      <c r="H16" s="214"/>
      <c r="I16" s="214"/>
      <c r="J16" s="214"/>
      <c r="K16" s="214"/>
      <c r="L16" s="214"/>
      <c r="M16" s="505"/>
      <c r="N16" s="214"/>
      <c r="O16" s="214"/>
      <c r="P16" s="214"/>
      <c r="Q16" s="214"/>
      <c r="R16" s="214"/>
      <c r="S16" s="505"/>
      <c r="T16" s="214"/>
      <c r="U16" s="214"/>
      <c r="V16" s="214"/>
      <c r="W16" s="505"/>
      <c r="X16" s="214"/>
      <c r="Y16" s="214"/>
      <c r="Z16" s="214"/>
      <c r="AA16" s="505"/>
      <c r="AB16" s="214"/>
      <c r="AC16" s="214"/>
      <c r="AD16" s="214"/>
      <c r="AE16" s="214"/>
      <c r="AF16" s="214"/>
      <c r="AG16" s="214"/>
      <c r="AH16" s="505"/>
      <c r="AI16" s="214"/>
      <c r="AJ16" s="214"/>
      <c r="AK16" s="214"/>
      <c r="AL16" s="505"/>
      <c r="AM16" s="214"/>
      <c r="AN16" s="214"/>
      <c r="AO16" s="214"/>
      <c r="AP16" s="214"/>
      <c r="AQ16" s="505"/>
      <c r="AR16" s="214"/>
      <c r="AS16" s="214"/>
      <c r="AT16" s="214"/>
      <c r="AU16" s="505"/>
      <c r="AV16" s="214"/>
      <c r="AW16" s="214"/>
      <c r="AX16" s="214"/>
      <c r="AY16" s="214"/>
      <c r="AZ16" s="505"/>
      <c r="BA16" s="214"/>
      <c r="BB16" s="214"/>
      <c r="BC16" s="214"/>
      <c r="BD16" s="214"/>
      <c r="BE16" s="214"/>
      <c r="BF16" s="513">
        <f>C16+M16+S16+W16+AA16+AH16+AL16+AQ16+AZ16+AU16</f>
        <v>0</v>
      </c>
      <c r="BG16" s="214"/>
      <c r="BH16" s="214"/>
      <c r="BI16" s="214"/>
      <c r="BJ16" s="214"/>
      <c r="BK16" s="214"/>
      <c r="BL16" s="214"/>
      <c r="BM16" s="214">
        <f>BI16+C16</f>
        <v>0</v>
      </c>
      <c r="BN16" s="214"/>
      <c r="BO16" s="214"/>
    </row>
    <row r="17" spans="1:67" ht="15" x14ac:dyDescent="0.25">
      <c r="A17" s="501" t="s">
        <v>40</v>
      </c>
      <c r="B17" s="214"/>
      <c r="C17" s="505"/>
      <c r="D17" s="214"/>
      <c r="E17" s="214"/>
      <c r="F17" s="214"/>
      <c r="G17" s="214"/>
      <c r="H17" s="214"/>
      <c r="I17" s="214"/>
      <c r="J17" s="214"/>
      <c r="K17" s="214"/>
      <c r="L17" s="214"/>
      <c r="M17" s="505"/>
      <c r="N17" s="214"/>
      <c r="O17" s="214"/>
      <c r="P17" s="214"/>
      <c r="Q17" s="214"/>
      <c r="R17" s="214"/>
      <c r="S17" s="505"/>
      <c r="T17" s="214"/>
      <c r="U17" s="214"/>
      <c r="V17" s="214"/>
      <c r="W17" s="505"/>
      <c r="X17" s="214"/>
      <c r="Y17" s="214"/>
      <c r="Z17" s="214"/>
      <c r="AA17" s="505"/>
      <c r="AB17" s="214"/>
      <c r="AC17" s="214"/>
      <c r="AD17" s="214"/>
      <c r="AE17" s="214"/>
      <c r="AF17" s="214"/>
      <c r="AG17" s="214"/>
      <c r="AH17" s="505"/>
      <c r="AI17" s="214"/>
      <c r="AJ17" s="214"/>
      <c r="AK17" s="214"/>
      <c r="AL17" s="505"/>
      <c r="AM17" s="214"/>
      <c r="AN17" s="214"/>
      <c r="AO17" s="214"/>
      <c r="AP17" s="214"/>
      <c r="AQ17" s="505"/>
      <c r="AR17" s="214"/>
      <c r="AS17" s="214"/>
      <c r="AT17" s="214"/>
      <c r="AU17" s="505"/>
      <c r="AV17" s="214"/>
      <c r="AW17" s="214"/>
      <c r="AX17" s="214"/>
      <c r="AY17" s="214"/>
      <c r="AZ17" s="505"/>
      <c r="BA17" s="214"/>
      <c r="BB17" s="214"/>
      <c r="BC17" s="214"/>
      <c r="BD17" s="214"/>
      <c r="BE17" s="214"/>
      <c r="BF17" s="514"/>
      <c r="BG17" s="214"/>
      <c r="BH17" s="214"/>
      <c r="BI17" s="214"/>
      <c r="BJ17" s="214"/>
      <c r="BK17" s="214"/>
      <c r="BL17" s="214"/>
      <c r="BM17" s="214">
        <f>BI17+C17</f>
        <v>0</v>
      </c>
      <c r="BN17" s="214"/>
      <c r="BO17" s="214"/>
    </row>
    <row r="18" spans="1:67" ht="15.75" x14ac:dyDescent="0.25">
      <c r="A18" s="556">
        <f>EOMONTH(B18,0)</f>
        <v>45291</v>
      </c>
      <c r="B18" s="556">
        <v>45261</v>
      </c>
      <c r="C18" s="505"/>
      <c r="D18" s="214"/>
      <c r="E18" s="214"/>
      <c r="F18" s="214"/>
      <c r="G18" s="214"/>
      <c r="H18" s="214"/>
      <c r="I18" s="214"/>
      <c r="J18" s="214"/>
      <c r="K18" s="214"/>
      <c r="L18" s="214"/>
      <c r="M18" s="505"/>
      <c r="N18" s="214"/>
      <c r="O18" s="214"/>
      <c r="P18" s="214"/>
      <c r="Q18" s="214"/>
      <c r="R18" s="214"/>
      <c r="S18" s="505"/>
      <c r="T18" s="214"/>
      <c r="U18" s="214"/>
      <c r="V18" s="214"/>
      <c r="W18" s="505"/>
      <c r="X18" s="214"/>
      <c r="Y18" s="214"/>
      <c r="Z18" s="214"/>
      <c r="AA18" s="505"/>
      <c r="AB18" s="214"/>
      <c r="AC18" s="214"/>
      <c r="AD18" s="214"/>
      <c r="AE18" s="214"/>
      <c r="AF18" s="214"/>
      <c r="AG18" s="214"/>
      <c r="AH18" s="505"/>
      <c r="AI18" s="214"/>
      <c r="AJ18" s="214"/>
      <c r="AK18" s="214"/>
      <c r="AL18" s="505"/>
      <c r="AM18" s="214"/>
      <c r="AN18" s="214"/>
      <c r="AO18" s="214"/>
      <c r="AP18" s="214"/>
      <c r="AQ18" s="505"/>
      <c r="AR18" s="214"/>
      <c r="AS18" s="214"/>
      <c r="AT18" s="214"/>
      <c r="AU18" s="505"/>
      <c r="AV18" s="214"/>
      <c r="AW18" s="214"/>
      <c r="AX18" s="214"/>
      <c r="AY18" s="214"/>
      <c r="AZ18" s="505"/>
      <c r="BA18" s="214"/>
      <c r="BB18" s="214"/>
      <c r="BC18" s="214"/>
      <c r="BD18" s="214"/>
      <c r="BE18" s="214"/>
      <c r="BF18" s="513">
        <f>C18+M18+S18+W18+AA18+AH18+AL18+AQ18+AZ18+AU18</f>
        <v>0</v>
      </c>
      <c r="BG18" s="214"/>
      <c r="BH18" s="214"/>
      <c r="BI18" s="214"/>
      <c r="BJ18" s="214"/>
      <c r="BK18" s="214"/>
      <c r="BL18" s="214"/>
      <c r="BM18" s="214">
        <f>BI18+C18</f>
        <v>0</v>
      </c>
      <c r="BN18" s="214"/>
      <c r="BO18" s="214"/>
    </row>
    <row r="19" spans="1:67" ht="15" x14ac:dyDescent="0.25">
      <c r="A19" s="501" t="s">
        <v>40</v>
      </c>
      <c r="B19" s="214"/>
      <c r="C19" s="505"/>
      <c r="D19" s="214"/>
      <c r="E19" s="214"/>
      <c r="F19" s="214"/>
      <c r="G19" s="214"/>
      <c r="H19" s="214"/>
      <c r="I19" s="214"/>
      <c r="J19" s="214"/>
      <c r="K19" s="214"/>
      <c r="L19" s="214"/>
      <c r="M19" s="505"/>
      <c r="N19" s="214"/>
      <c r="O19" s="214"/>
      <c r="P19" s="214"/>
      <c r="Q19" s="214"/>
      <c r="R19" s="214"/>
      <c r="S19" s="505"/>
      <c r="T19" s="214"/>
      <c r="U19" s="214"/>
      <c r="V19" s="214"/>
      <c r="W19" s="505"/>
      <c r="X19" s="214"/>
      <c r="Y19" s="214"/>
      <c r="Z19" s="214"/>
      <c r="AA19" s="505"/>
      <c r="AB19" s="214"/>
      <c r="AC19" s="214"/>
      <c r="AD19" s="214"/>
      <c r="AE19" s="214"/>
      <c r="AF19" s="214"/>
      <c r="AG19" s="214"/>
      <c r="AH19" s="505"/>
      <c r="AI19" s="214"/>
      <c r="AJ19" s="214"/>
      <c r="AK19" s="214"/>
      <c r="AL19" s="505"/>
      <c r="AM19" s="214"/>
      <c r="AN19" s="214"/>
      <c r="AO19" s="214"/>
      <c r="AP19" s="214"/>
      <c r="AQ19" s="505"/>
      <c r="AR19" s="214"/>
      <c r="AS19" s="214"/>
      <c r="AT19" s="214"/>
      <c r="AU19" s="505"/>
      <c r="AV19" s="214"/>
      <c r="AW19" s="214"/>
      <c r="AX19" s="214"/>
      <c r="AY19" s="214"/>
      <c r="AZ19" s="505"/>
      <c r="BA19" s="214"/>
      <c r="BB19" s="214"/>
      <c r="BC19" s="214"/>
      <c r="BD19" s="214"/>
      <c r="BE19" s="214"/>
      <c r="BF19" s="514"/>
      <c r="BG19" s="214"/>
      <c r="BH19" s="214"/>
      <c r="BI19" s="214"/>
      <c r="BJ19" s="214"/>
      <c r="BK19" s="214"/>
      <c r="BL19" s="214"/>
      <c r="BM19" s="214">
        <f>BI19+C19</f>
        <v>0</v>
      </c>
      <c r="BN19" s="214"/>
      <c r="BO19" s="214"/>
    </row>
    <row r="20" spans="1:67" ht="15.75" x14ac:dyDescent="0.25">
      <c r="A20" s="556">
        <f>EOMONTH(B20,0)</f>
        <v>45322</v>
      </c>
      <c r="B20" s="556">
        <v>45292</v>
      </c>
      <c r="C20" s="505"/>
      <c r="D20" s="214"/>
      <c r="E20" s="214"/>
      <c r="F20" s="214"/>
      <c r="G20" s="214"/>
      <c r="H20" s="214"/>
      <c r="I20" s="214"/>
      <c r="J20" s="214"/>
      <c r="K20" s="214"/>
      <c r="L20" s="214"/>
      <c r="M20" s="505"/>
      <c r="N20" s="214"/>
      <c r="O20" s="214"/>
      <c r="P20" s="214"/>
      <c r="Q20" s="214"/>
      <c r="R20" s="214"/>
      <c r="S20" s="505"/>
      <c r="T20" s="214"/>
      <c r="U20" s="214"/>
      <c r="V20" s="214"/>
      <c r="W20" s="505"/>
      <c r="X20" s="214"/>
      <c r="Y20" s="214"/>
      <c r="Z20" s="214"/>
      <c r="AA20" s="505"/>
      <c r="AB20" s="214"/>
      <c r="AC20" s="214"/>
      <c r="AD20" s="214"/>
      <c r="AE20" s="214"/>
      <c r="AF20" s="214"/>
      <c r="AG20" s="214"/>
      <c r="AH20" s="505"/>
      <c r="AI20" s="214"/>
      <c r="AJ20" s="214"/>
      <c r="AK20" s="214"/>
      <c r="AL20" s="505"/>
      <c r="AM20" s="214"/>
      <c r="AN20" s="214"/>
      <c r="AO20" s="214"/>
      <c r="AP20" s="214"/>
      <c r="AQ20" s="505"/>
      <c r="AR20" s="214"/>
      <c r="AS20" s="214"/>
      <c r="AT20" s="214"/>
      <c r="AU20" s="505"/>
      <c r="AV20" s="214"/>
      <c r="AW20" s="214"/>
      <c r="AX20" s="214"/>
      <c r="AY20" s="214"/>
      <c r="AZ20" s="505"/>
      <c r="BA20" s="214"/>
      <c r="BB20" s="214"/>
      <c r="BC20" s="214"/>
      <c r="BD20" s="214"/>
      <c r="BE20" s="214"/>
      <c r="BF20" s="513">
        <f>C20+M20+S20+W20+AA20+AH20+AL20+AQ20+AZ20+AU20</f>
        <v>0</v>
      </c>
      <c r="BG20" s="214"/>
      <c r="BH20" s="214"/>
      <c r="BI20" s="214"/>
      <c r="BJ20" s="214"/>
      <c r="BK20" s="214"/>
      <c r="BL20" s="214"/>
      <c r="BM20" s="214">
        <f>BI20+C20</f>
        <v>0</v>
      </c>
      <c r="BN20" s="214"/>
      <c r="BO20" s="214"/>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Analyse Globale</vt:lpstr>
      <vt:lpstr>Analyse Catégorielle</vt:lpstr>
      <vt:lpstr>Analyse CA Initial</vt:lpstr>
      <vt:lpstr>Détail Dépenses</vt:lpstr>
      <vt:lpstr>AVRIL 23</vt:lpstr>
      <vt:lpstr>MAI 23</vt:lpstr>
      <vt:lpstr>JUIN 23</vt:lpstr>
      <vt:lpstr>JUILLET 23</vt:lpstr>
      <vt:lpstr>AOUT 23</vt:lpstr>
      <vt:lpstr>RHv</vt:lpstr>
      <vt:lpstr>RH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Designer</dc:creator>
  <cp:lastModifiedBy>Utilisateur Windows</cp:lastModifiedBy>
  <dcterms:created xsi:type="dcterms:W3CDTF">2019-09-10T18:31:51Z</dcterms:created>
  <dcterms:modified xsi:type="dcterms:W3CDTF">2023-08-17T16:38:20Z</dcterms:modified>
</cp:coreProperties>
</file>