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btb\"/>
    </mc:Choice>
  </mc:AlternateContent>
  <xr:revisionPtr revIDLastSave="0" documentId="13_ncr:1_{33B49257-290F-42E4-9100-E6242FD43E56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cost calculation" sheetId="1" r:id="rId1"/>
    <sheet name="Characteristic analysis" sheetId="2" r:id="rId2"/>
    <sheet name="Boxen" sheetId="3" r:id="rId3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C18" i="3"/>
  <c r="D17" i="3"/>
  <c r="F17" i="3" s="1"/>
  <c r="G17" i="3" s="1"/>
  <c r="D16" i="3"/>
  <c r="F16" i="3" s="1"/>
  <c r="G16" i="3" s="1"/>
  <c r="D15" i="3"/>
  <c r="F15" i="3" s="1"/>
  <c r="G15" i="3" s="1"/>
  <c r="D14" i="3"/>
  <c r="F14" i="3" s="1"/>
  <c r="G14" i="3" s="1"/>
  <c r="D13" i="3"/>
  <c r="F13" i="3" s="1"/>
  <c r="G13" i="3" s="1"/>
  <c r="G12" i="3"/>
  <c r="F12" i="3"/>
  <c r="D12" i="3"/>
  <c r="G11" i="3"/>
  <c r="F11" i="3"/>
  <c r="D11" i="3"/>
  <c r="F10" i="3"/>
  <c r="G10" i="3" s="1"/>
  <c r="D10" i="3"/>
  <c r="D9" i="3"/>
  <c r="F9" i="3" s="1"/>
  <c r="G9" i="3" s="1"/>
  <c r="D8" i="3"/>
  <c r="F8" i="3" s="1"/>
  <c r="G8" i="3" s="1"/>
  <c r="G7" i="3"/>
  <c r="F7" i="3"/>
  <c r="D7" i="3"/>
  <c r="F6" i="3"/>
  <c r="G6" i="3" s="1"/>
  <c r="D6" i="3"/>
  <c r="D5" i="3"/>
  <c r="F5" i="3" s="1"/>
  <c r="G5" i="3" s="1"/>
  <c r="G4" i="3"/>
  <c r="F4" i="3"/>
  <c r="D4" i="3"/>
  <c r="I24" i="2"/>
  <c r="I21" i="2" s="1"/>
  <c r="H24" i="2"/>
  <c r="H21" i="2" s="1"/>
  <c r="G24" i="2"/>
  <c r="F24" i="2"/>
  <c r="F21" i="2" s="1"/>
  <c r="E24" i="2"/>
  <c r="D24" i="2"/>
  <c r="C24" i="2"/>
  <c r="H22" i="2"/>
  <c r="G22" i="2"/>
  <c r="E22" i="2"/>
  <c r="D22" i="2"/>
  <c r="C22" i="2"/>
  <c r="G21" i="2"/>
  <c r="E21" i="2"/>
  <c r="D21" i="2"/>
  <c r="C21" i="2"/>
  <c r="F20" i="2"/>
  <c r="E20" i="2"/>
  <c r="D20" i="2"/>
  <c r="C20" i="2"/>
  <c r="I19" i="2"/>
  <c r="E19" i="2"/>
  <c r="D19" i="2"/>
  <c r="C19" i="2"/>
  <c r="I18" i="2"/>
  <c r="H18" i="2"/>
  <c r="E18" i="2"/>
  <c r="D18" i="2"/>
  <c r="C18" i="2"/>
  <c r="H17" i="2"/>
  <c r="G17" i="2"/>
  <c r="E17" i="2"/>
  <c r="D17" i="2"/>
  <c r="C17" i="2"/>
  <c r="F16" i="2"/>
  <c r="E16" i="2"/>
  <c r="D16" i="2"/>
  <c r="C16" i="2"/>
  <c r="E15" i="2"/>
  <c r="E26" i="2" s="1"/>
  <c r="E27" i="2" s="1"/>
  <c r="D15" i="2"/>
  <c r="D26" i="2" s="1"/>
  <c r="D27" i="2" s="1"/>
  <c r="C15" i="2"/>
  <c r="C26" i="2" s="1"/>
  <c r="C27" i="2" s="1"/>
  <c r="L11" i="2"/>
  <c r="I20" i="2" s="1"/>
  <c r="L10" i="2"/>
  <c r="H19" i="2" s="1"/>
  <c r="L9" i="2"/>
  <c r="G18" i="2" s="1"/>
  <c r="L8" i="2"/>
  <c r="F17" i="2" s="1"/>
  <c r="L7" i="2"/>
  <c r="I16" i="2" s="1"/>
  <c r="L6" i="2"/>
  <c r="I15" i="2" s="1"/>
  <c r="I4" i="2"/>
  <c r="H4" i="2"/>
  <c r="G4" i="2"/>
  <c r="F4" i="2"/>
  <c r="E4" i="2"/>
  <c r="D4" i="2"/>
  <c r="C4" i="2"/>
  <c r="O40" i="1"/>
  <c r="M40" i="1"/>
  <c r="J40" i="1"/>
  <c r="I40" i="1"/>
  <c r="R39" i="1"/>
  <c r="U38" i="1"/>
  <c r="R38" i="1"/>
  <c r="P38" i="1"/>
  <c r="U37" i="1"/>
  <c r="R37" i="1"/>
  <c r="P37" i="1"/>
  <c r="K37" i="1"/>
  <c r="K39" i="1" s="1"/>
  <c r="U36" i="1"/>
  <c r="R36" i="1"/>
  <c r="P36" i="1"/>
  <c r="U35" i="1"/>
  <c r="R35" i="1"/>
  <c r="P35" i="1"/>
  <c r="U34" i="1"/>
  <c r="R34" i="1"/>
  <c r="P34" i="1"/>
  <c r="U33" i="1"/>
  <c r="R33" i="1"/>
  <c r="P33" i="1"/>
  <c r="L33" i="1"/>
  <c r="U32" i="1"/>
  <c r="R32" i="1"/>
  <c r="P32" i="1"/>
  <c r="U31" i="1"/>
  <c r="R31" i="1"/>
  <c r="P31" i="1"/>
  <c r="U30" i="1"/>
  <c r="R30" i="1"/>
  <c r="P30" i="1"/>
  <c r="K30" i="1"/>
  <c r="U29" i="1"/>
  <c r="R29" i="1"/>
  <c r="P29" i="1"/>
  <c r="R28" i="1"/>
  <c r="N28" i="1"/>
  <c r="U28" i="1" s="1"/>
  <c r="U27" i="1"/>
  <c r="R27" i="1"/>
  <c r="P27" i="1"/>
  <c r="U26" i="1"/>
  <c r="R26" i="1"/>
  <c r="P26" i="1"/>
  <c r="U25" i="1"/>
  <c r="R25" i="1"/>
  <c r="P25" i="1"/>
  <c r="U24" i="1"/>
  <c r="R24" i="1"/>
  <c r="P24" i="1"/>
  <c r="U23" i="1"/>
  <c r="R23" i="1"/>
  <c r="P23" i="1"/>
  <c r="U22" i="1"/>
  <c r="U41" i="1" s="1"/>
  <c r="J6" i="1" s="1"/>
  <c r="R22" i="1"/>
  <c r="R40" i="1" s="1"/>
  <c r="N22" i="1"/>
  <c r="N40" i="1" s="1"/>
  <c r="L22" i="1"/>
  <c r="P22" i="1" s="1"/>
  <c r="E18" i="1"/>
  <c r="G17" i="1"/>
  <c r="G16" i="1"/>
  <c r="G15" i="1"/>
  <c r="G14" i="1"/>
  <c r="G13" i="1"/>
  <c r="G12" i="1"/>
  <c r="G11" i="1"/>
  <c r="G18" i="1" s="1"/>
  <c r="F18" i="3" l="1"/>
  <c r="U39" i="1"/>
  <c r="U42" i="1" s="1"/>
  <c r="K6" i="1" s="1"/>
  <c r="P39" i="1"/>
  <c r="P40" i="1" s="1"/>
  <c r="C6" i="1" s="1"/>
  <c r="C7" i="1" s="1"/>
  <c r="K40" i="1"/>
  <c r="L40" i="1"/>
  <c r="I5" i="1"/>
  <c r="F15" i="2"/>
  <c r="G16" i="2"/>
  <c r="G15" i="2"/>
  <c r="G26" i="2" s="1"/>
  <c r="G27" i="2" s="1"/>
  <c r="H16" i="2"/>
  <c r="I17" i="2"/>
  <c r="I26" i="2" s="1"/>
  <c r="I27" i="2" s="1"/>
  <c r="F22" i="2"/>
  <c r="H15" i="2"/>
  <c r="P28" i="1"/>
  <c r="F19" i="2"/>
  <c r="G20" i="2"/>
  <c r="I22" i="2"/>
  <c r="U40" i="1"/>
  <c r="I6" i="1" s="1"/>
  <c r="F18" i="2"/>
  <c r="G19" i="2"/>
  <c r="H20" i="2"/>
  <c r="I7" i="1" l="1"/>
  <c r="F26" i="2"/>
  <c r="F27" i="2" s="1"/>
  <c r="H26" i="2"/>
  <c r="H27" i="2" s="1"/>
  <c r="J27" i="2" l="1"/>
</calcChain>
</file>

<file path=xl/sharedStrings.xml><?xml version="1.0" encoding="utf-8"?>
<sst xmlns="http://schemas.openxmlformats.org/spreadsheetml/2006/main" count="186" uniqueCount="142">
  <si>
    <t>Kai</t>
  </si>
  <si>
    <t>Orks</t>
  </si>
  <si>
    <t>v1.8</t>
  </si>
  <si>
    <t>Magic rating</t>
  </si>
  <si>
    <t>Warband Rating</t>
  </si>
  <si>
    <t>gold crown</t>
  </si>
  <si>
    <t>rout test</t>
  </si>
  <si>
    <t>used</t>
  </si>
  <si>
    <t>Equip rating</t>
  </si>
  <si>
    <t>not used</t>
  </si>
  <si>
    <t>Warband</t>
  </si>
  <si>
    <t>gold/einheit</t>
  </si>
  <si>
    <t>anzahl</t>
  </si>
  <si>
    <t>Exp</t>
  </si>
  <si>
    <t>summe</t>
  </si>
  <si>
    <t>O</t>
  </si>
  <si>
    <t>Orks (Leader, Bit'Uns)</t>
  </si>
  <si>
    <t>heros</t>
  </si>
  <si>
    <t>ork boss/leader (1)</t>
  </si>
  <si>
    <t>S</t>
  </si>
  <si>
    <t>Shaman</t>
  </si>
  <si>
    <t>schaman (0-1)</t>
  </si>
  <si>
    <t>G</t>
  </si>
  <si>
    <t>Goblins/Orks</t>
  </si>
  <si>
    <t>big'uns (0-3)</t>
  </si>
  <si>
    <t>henchmen</t>
  </si>
  <si>
    <t>goblin warrior (max 2x anz boyz)</t>
  </si>
  <si>
    <t>cave squig</t>
  </si>
  <si>
    <t>ork boy</t>
  </si>
  <si>
    <t>troll</t>
  </si>
  <si>
    <t>Gesamt</t>
  </si>
  <si>
    <t>Anzahl</t>
  </si>
  <si>
    <t>heroes</t>
  </si>
  <si>
    <t>(schlecht) 1 .. 10 (sehr gut)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</si>
  <si>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</si>
  <si>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</si>
  <si>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</si>
  <si>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</si>
  <si>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</si>
  <si>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</si>
  <si>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</si>
  <si>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</si>
  <si>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big'uns</t>
  </si>
  <si>
    <t>goblin</t>
  </si>
  <si>
    <t>squig</t>
  </si>
  <si>
    <t>boy</t>
  </si>
  <si>
    <t>cost</t>
  </si>
  <si>
    <t>whish</t>
  </si>
  <si>
    <t>whish cost</t>
  </si>
  <si>
    <t>group</t>
  </si>
  <si>
    <t>rating</t>
  </si>
  <si>
    <t>Warband Equip Rating</t>
  </si>
  <si>
    <t>dagger</t>
  </si>
  <si>
    <t>cc</t>
  </si>
  <si>
    <t>+1 enemy armour save / 6+ armour save</t>
  </si>
  <si>
    <t>OSG</t>
  </si>
  <si>
    <t>battle axe</t>
  </si>
  <si>
    <t>user</t>
  </si>
  <si>
    <t>cutting edge enemy armor save -1</t>
  </si>
  <si>
    <t>OS</t>
  </si>
  <si>
    <t>morning star</t>
  </si>
  <si>
    <t>Heavy, Difficult to Use, S+1 (1st turn per h-t-h cc)</t>
  </si>
  <si>
    <t>sword</t>
  </si>
  <si>
    <t>parry</t>
  </si>
  <si>
    <t>double handed</t>
  </si>
  <si>
    <t>user+2</t>
  </si>
  <si>
    <t>Two-Handed, Last strike</t>
  </si>
  <si>
    <t>helbeard</t>
  </si>
  <si>
    <t>user+1</t>
  </si>
  <si>
    <t>Two-Handed</t>
  </si>
  <si>
    <t>hand/throw weapon</t>
  </si>
  <si>
    <t>crossbow</t>
  </si>
  <si>
    <t>mw</t>
  </si>
  <si>
    <t>30"</t>
  </si>
  <si>
    <t>Move or Fire</t>
  </si>
  <si>
    <t>bow</t>
  </si>
  <si>
    <t>24"</t>
  </si>
  <si>
    <t>club</t>
  </si>
  <si>
    <t>spear</t>
  </si>
  <si>
    <t>Strike First, Unwieldy, Cavalery Bonus</t>
  </si>
  <si>
    <t>short bow</t>
  </si>
  <si>
    <t>16"</t>
  </si>
  <si>
    <t>squig podder</t>
  </si>
  <si>
    <t>-</t>
  </si>
  <si>
    <t>12"</t>
  </si>
  <si>
    <t>ball and chain</t>
  </si>
  <si>
    <t>Two-Handed, Incredible, Force, Cumbersome, Unwieldy, Random</t>
  </si>
  <si>
    <t xml:space="preserve">Mad Cap Mushroom </t>
  </si>
  <si>
    <t>light armor</t>
  </si>
  <si>
    <t>armor</t>
  </si>
  <si>
    <t>save 5+</t>
  </si>
  <si>
    <t>shield</t>
  </si>
  <si>
    <t>save +1</t>
  </si>
  <si>
    <t>OG</t>
  </si>
  <si>
    <t>helm</t>
  </si>
  <si>
    <t>4+ D6 for knock down instead of stunned</t>
  </si>
  <si>
    <t>er ges</t>
  </si>
  <si>
    <t>er off</t>
  </si>
  <si>
    <t>er deff</t>
  </si>
  <si>
    <t>Beggar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</si>
  <si>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</si>
  <si>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</si>
  <si>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</si>
  <si>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</si>
  <si>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</si>
  <si>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</si>
  <si>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</si>
  <si>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</si>
  <si>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</si>
  <si>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</si>
  <si>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</si>
  <si>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</si>
  <si>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</si>
  <si>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</si>
  <si>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</si>
  <si>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</si>
  <si>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</si>
  <si>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</si>
  <si>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</si>
  <si>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Mögliche einheiten</t>
  </si>
  <si>
    <t>€/Packung</t>
  </si>
  <si>
    <t>€/Figur</t>
  </si>
  <si>
    <t>Genutzte figuren</t>
  </si>
  <si>
    <t>€ genutzt/Packung</t>
  </si>
  <si>
    <t>Prozentuale Nutzung</t>
  </si>
  <si>
    <t>Goblin Hero (Gamezone)</t>
  </si>
  <si>
    <t>Nartz (Freebooters Fate)</t>
  </si>
  <si>
    <t>3  Fiese Schlitzer (GW)</t>
  </si>
  <si>
    <t>3 Goblin Speerträger (Gamezone)</t>
  </si>
  <si>
    <t>Orcs Troll Bruiser (Kings Of War)</t>
  </si>
  <si>
    <t>Orc Shaman (Avatars of War)</t>
  </si>
  <si>
    <t>20 Bonesplitterz Savage Orruks (GW)</t>
  </si>
  <si>
    <t>10 Orc Skulks (Kings of War)</t>
  </si>
  <si>
    <t>10 Orc Morax Troop (Kings of War)</t>
  </si>
  <si>
    <t>Orc Flagger (Kings of War)</t>
  </si>
  <si>
    <t>3 Ogre Berserker Braves (Kings of War)</t>
  </si>
  <si>
    <t>2 Orc War Drum (Kings of War)</t>
  </si>
  <si>
    <t>Orc Greatax Regiment (Kings of War)</t>
  </si>
  <si>
    <t>10 Orruks (GW)</t>
  </si>
  <si>
    <t>Kosten Warband</t>
  </si>
  <si>
    <t>xp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</si>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</sst>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&quot; €&quot;;[Red]\-#,##0.00&quot; €&quot;"/>
    <numFmt numFmtId="166" formatCode="0.00\ %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sz val="10"/>
      <color rgb="FF548235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0" fillId="0" borderId="4" xfId="0" applyBorder="1"/>
    <xf numFmtId="0" fontId="3" fillId="0" borderId="3" xfId="0" applyFont="1" applyBorder="1"/>
    <xf numFmtId="0" fontId="3" fillId="0" borderId="2" xfId="0" applyFont="1" applyBorder="1"/>
    <xf numFmtId="0" fontId="3" fillId="0" borderId="5" xfId="0" applyFont="1" applyBorder="1"/>
    <xf numFmtId="0" fontId="0" fillId="0" borderId="6" xfId="0" applyBorder="1"/>
    <xf numFmtId="0" fontId="3" fillId="0" borderId="3" xfId="0" applyFont="1" applyBorder="1"/>
    <xf numFmtId="164" fontId="0" fillId="0" borderId="0" xfId="0" applyNumberFormat="1"/>
    <xf numFmtId="0" fontId="0" fillId="2" borderId="0" xfId="0" applyFont="1" applyFill="1" applyAlignment="1">
      <alignment wrapText="1"/>
    </xf>
    <xf numFmtId="165" fontId="0" fillId="0" borderId="0" xfId="0" applyNumberFormat="1"/>
    <xf numFmtId="166" fontId="0" fillId="0" borderId="0" xfId="0" applyNumberFormat="1"/>
    <xf numFmtId="165" fontId="3" fillId="0" borderId="0" xfId="0" applyNumberFormat="1" applyFont="1"/>
  </cellXfs>
  <cellStyles count="1">
    <cellStyle name="Standard" xfId="0" builtinId="0"/>
  </cellStyles>
  <dxfs count="7"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C21:U39" totalsRowShown="0">
  <autoFilter ref="C21:U39" xr:uid="{00000000-0009-0000-0100-000001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leader"/>
    <tableColumn id="8" xr3:uid="{00000000-0010-0000-0000-000008000000}" name="shaman"/>
    <tableColumn id="9" xr3:uid="{00000000-0010-0000-0000-000009000000}" name="big'uns"/>
    <tableColumn id="10" xr3:uid="{00000000-0010-0000-0000-00000A000000}" name="goblin"/>
    <tableColumn id="11" xr3:uid="{00000000-0010-0000-0000-00000B000000}" name="squig"/>
    <tableColumn id="12" xr3:uid="{00000000-0010-0000-0000-00000C000000}" name="boy"/>
    <tableColumn id="13" xr3:uid="{00000000-0010-0000-0000-00000D000000}" name="troll"/>
    <tableColumn id="14" xr3:uid="{00000000-0010-0000-0000-00000E000000}" name="cost"/>
    <tableColumn id="15" xr3:uid="{00000000-0010-0000-0000-00000F000000}" name="whish"/>
    <tableColumn id="16" xr3:uid="{00000000-0010-0000-0000-000010000000}" name="whish cost"/>
    <tableColumn id="17" xr3:uid="{00000000-0010-0000-0000-000011000000}" name="group"/>
    <tableColumn id="18" xr3:uid="{00000000-0010-0000-0000-000012000000}" name="rating"/>
    <tableColumn id="19" xr3:uid="{00000000-0010-0000-0000-000013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B3:G17" totalsRowShown="0">
  <autoFilter ref="B3:G17" xr:uid="{00000000-0009-0000-0100-000002000000}"/>
  <tableColumns count="6">
    <tableColumn id="1" xr3:uid="{00000000-0010-0000-0100-000001000000}" name="Mögliche einheiten"/>
    <tableColumn id="2" xr3:uid="{00000000-0010-0000-0100-000002000000}" name="€/Packung"/>
    <tableColumn id="3" xr3:uid="{00000000-0010-0000-0100-000003000000}" name="€/Figur"/>
    <tableColumn id="4" xr3:uid="{00000000-0010-0000-0100-000004000000}" name="Genutzte figuren"/>
    <tableColumn id="5" xr3:uid="{00000000-0010-0000-0100-000005000000}" name="€ genutzt/Packung"/>
    <tableColumn id="6" xr3:uid="{00000000-0010-0000-0100-000006000000}" name="Prozentuale Nutzu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4"/>
  <sheetViews>
    <sheetView tabSelected="1" topLeftCell="C1" zoomScale="85" zoomScaleNormal="85" workbookViewId="0">
      <selection activeCell="I4" sqref="I4"/>
    </sheetView>
  </sheetViews>
  <sheetFormatPr baseColWidth="10" defaultColWidth="9.140625" defaultRowHeight="12.75" x14ac:dyDescent="0.2"/>
  <cols>
    <col min="1" max="1" width="10.7109375" customWidth="1"/>
    <col min="2" max="2" width="11" customWidth="1"/>
    <col min="3" max="3" width="27.42578125" customWidth="1"/>
    <col min="4" max="4" width="12.85546875" customWidth="1"/>
    <col min="5" max="5" width="10.42578125" customWidth="1"/>
    <col min="6" max="6" width="10.28515625" customWidth="1"/>
    <col min="7" max="7" width="35.5703125" customWidth="1"/>
    <col min="8" max="8" width="14.28515625" customWidth="1"/>
    <col min="9" max="9" width="11.140625" customWidth="1"/>
    <col min="10" max="10" width="13.7109375" customWidth="1"/>
    <col min="11" max="11" width="11.28515625" customWidth="1"/>
    <col min="12" max="12" width="10.5703125" customWidth="1"/>
    <col min="13" max="13" width="9.5703125" customWidth="1"/>
    <col min="14" max="14" width="7.85546875" customWidth="1"/>
    <col min="15" max="15" width="8.5703125" customWidth="1"/>
    <col min="16" max="16" width="10.5703125" customWidth="1"/>
    <col min="17" max="17" width="11.28515625" customWidth="1"/>
    <col min="18" max="18" width="18.140625" customWidth="1"/>
    <col min="19" max="19" width="11.42578125" customWidth="1"/>
    <col min="20" max="20" width="23.85546875" customWidth="1"/>
    <col min="21" max="21" width="26" customWidth="1"/>
    <col min="22" max="23" width="7.42578125" customWidth="1"/>
    <col min="24" max="25" width="12.42578125" customWidth="1"/>
    <col min="26" max="26" width="18.28515625" customWidth="1"/>
    <col min="27" max="27" width="5.7109375" customWidth="1"/>
    <col min="28" max="28" width="6.85546875" customWidth="1"/>
    <col min="29" max="29" width="6.7109375" customWidth="1"/>
    <col min="30" max="30" width="55.85546875" customWidth="1"/>
    <col min="31" max="31" width="10.7109375" customWidth="1"/>
    <col min="32" max="33" width="7.42578125" customWidth="1"/>
    <col min="34" max="34" width="13" customWidth="1"/>
    <col min="35" max="35" width="23.85546875" customWidth="1"/>
    <col min="36" max="1025" width="10.7109375" customWidth="1"/>
  </cols>
  <sheetData>
    <row r="2" spans="2:18" ht="18" x14ac:dyDescent="0.25">
      <c r="B2" s="4" t="s">
        <v>0</v>
      </c>
      <c r="C2" s="5" t="s">
        <v>1</v>
      </c>
      <c r="D2" s="5"/>
      <c r="E2" s="5"/>
      <c r="F2" s="6">
        <v>43473</v>
      </c>
    </row>
    <row r="3" spans="2:18" ht="18" x14ac:dyDescent="0.25">
      <c r="B3" s="4" t="s">
        <v>2</v>
      </c>
      <c r="E3" s="7"/>
      <c r="F3" s="8"/>
      <c r="H3" t="s">
        <v>3</v>
      </c>
      <c r="I3" s="9">
        <v>10</v>
      </c>
    </row>
    <row r="4" spans="2:18" x14ac:dyDescent="0.2">
      <c r="H4" s="4" t="s">
        <v>4</v>
      </c>
      <c r="I4" s="7">
        <f>5*E18+E11*F11+E12*F12+E13*F13+E14*F14+E15*F15+E16*F16+E17*F17+5+(D44*(F44-5))</f>
        <v>168</v>
      </c>
    </row>
    <row r="5" spans="2:18" ht="15" x14ac:dyDescent="0.2">
      <c r="B5" s="10" t="s">
        <v>5</v>
      </c>
      <c r="C5" s="10">
        <v>500</v>
      </c>
      <c r="H5" t="s">
        <v>6</v>
      </c>
      <c r="I5" s="7">
        <f>ROUNDUP(E18/4,0)</f>
        <v>5</v>
      </c>
    </row>
    <row r="6" spans="2:18" ht="15" x14ac:dyDescent="0.2">
      <c r="B6" s="10" t="s">
        <v>7</v>
      </c>
      <c r="C6" s="10">
        <f>G18+P40+D44*E44</f>
        <v>499</v>
      </c>
      <c r="H6" s="11" t="s">
        <v>8</v>
      </c>
      <c r="I6" s="12">
        <f>U40</f>
        <v>24</v>
      </c>
      <c r="J6">
        <f>U41</f>
        <v>24</v>
      </c>
      <c r="K6">
        <f>U42</f>
        <v>0</v>
      </c>
    </row>
    <row r="7" spans="2:18" ht="15.75" x14ac:dyDescent="0.25">
      <c r="B7" s="13" t="s">
        <v>9</v>
      </c>
      <c r="C7" s="14">
        <f>C5-C6</f>
        <v>1</v>
      </c>
      <c r="I7" s="15">
        <f>I3+(I6+I4)*I5</f>
        <v>970</v>
      </c>
    </row>
    <row r="10" spans="2:18" x14ac:dyDescent="0.2"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Q10" t="s">
        <v>15</v>
      </c>
      <c r="R10" t="s">
        <v>16</v>
      </c>
    </row>
    <row r="11" spans="2:18" x14ac:dyDescent="0.2">
      <c r="B11" s="3" t="s">
        <v>17</v>
      </c>
      <c r="C11" t="s">
        <v>18</v>
      </c>
      <c r="D11">
        <v>80</v>
      </c>
      <c r="E11" s="17">
        <v>1</v>
      </c>
      <c r="F11" s="17">
        <v>20</v>
      </c>
      <c r="G11">
        <f t="shared" ref="G11:G17" si="0">E11*D11</f>
        <v>80</v>
      </c>
      <c r="Q11" t="s">
        <v>19</v>
      </c>
      <c r="R11" t="s">
        <v>20</v>
      </c>
    </row>
    <row r="12" spans="2:18" x14ac:dyDescent="0.2">
      <c r="B12" s="3"/>
      <c r="C12" t="s">
        <v>21</v>
      </c>
      <c r="D12">
        <v>40</v>
      </c>
      <c r="E12" s="17">
        <v>1</v>
      </c>
      <c r="F12" s="17">
        <v>10</v>
      </c>
      <c r="G12">
        <f t="shared" si="0"/>
        <v>40</v>
      </c>
      <c r="Q12" t="s">
        <v>22</v>
      </c>
      <c r="R12" t="s">
        <v>23</v>
      </c>
    </row>
    <row r="13" spans="2:18" x14ac:dyDescent="0.2">
      <c r="B13" s="3"/>
      <c r="C13" t="s">
        <v>24</v>
      </c>
      <c r="D13">
        <v>40</v>
      </c>
      <c r="E13" s="17">
        <v>3</v>
      </c>
      <c r="F13" s="17">
        <v>15</v>
      </c>
      <c r="G13">
        <f t="shared" si="0"/>
        <v>120</v>
      </c>
    </row>
    <row r="14" spans="2:18" x14ac:dyDescent="0.2">
      <c r="B14" s="3" t="s">
        <v>25</v>
      </c>
      <c r="C14" t="s">
        <v>26</v>
      </c>
      <c r="D14">
        <v>15</v>
      </c>
      <c r="E14" s="17">
        <v>5</v>
      </c>
      <c r="F14" s="17">
        <v>0</v>
      </c>
      <c r="G14">
        <f t="shared" si="0"/>
        <v>75</v>
      </c>
    </row>
    <row r="15" spans="2:18" x14ac:dyDescent="0.2">
      <c r="B15" s="3"/>
      <c r="C15" t="s">
        <v>27</v>
      </c>
      <c r="D15">
        <v>15</v>
      </c>
      <c r="E15" s="17">
        <v>3</v>
      </c>
      <c r="F15" s="17">
        <v>0</v>
      </c>
      <c r="G15">
        <f t="shared" si="0"/>
        <v>45</v>
      </c>
    </row>
    <row r="16" spans="2:18" x14ac:dyDescent="0.2">
      <c r="B16" s="3"/>
      <c r="C16" t="s">
        <v>28</v>
      </c>
      <c r="D16">
        <v>25</v>
      </c>
      <c r="E16" s="17">
        <v>3</v>
      </c>
      <c r="F16" s="17">
        <v>0</v>
      </c>
      <c r="G16">
        <f t="shared" si="0"/>
        <v>75</v>
      </c>
    </row>
    <row r="17" spans="2:21" x14ac:dyDescent="0.2">
      <c r="B17" s="3"/>
      <c r="C17" s="11" t="s">
        <v>29</v>
      </c>
      <c r="D17" s="18">
        <v>200</v>
      </c>
      <c r="E17" s="19">
        <v>0</v>
      </c>
      <c r="F17" s="19">
        <v>0</v>
      </c>
      <c r="G17" s="18">
        <f t="shared" si="0"/>
        <v>0</v>
      </c>
    </row>
    <row r="18" spans="2:21" ht="15.75" x14ac:dyDescent="0.25">
      <c r="C18" s="20" t="s">
        <v>30</v>
      </c>
      <c r="E18" s="15">
        <f>SUM(E11:E17)+D44</f>
        <v>17</v>
      </c>
      <c r="G18" s="15">
        <f>SUM(G11:G17)</f>
        <v>435</v>
      </c>
    </row>
    <row r="19" spans="2:21" x14ac:dyDescent="0.2">
      <c r="B19" s="21"/>
      <c r="F19" s="9"/>
      <c r="I19" s="2" t="s">
        <v>31</v>
      </c>
      <c r="J19" s="2"/>
      <c r="K19" s="2"/>
      <c r="L19" s="2"/>
      <c r="M19" s="2"/>
      <c r="N19" s="2"/>
      <c r="O19" s="2"/>
    </row>
    <row r="20" spans="2:21" ht="15.75" x14ac:dyDescent="0.25">
      <c r="B20" s="15"/>
      <c r="C20" s="15"/>
      <c r="I20" s="2" t="s">
        <v>32</v>
      </c>
      <c r="J20" s="2"/>
      <c r="K20" s="2"/>
      <c r="L20" s="2" t="s">
        <v>25</v>
      </c>
      <c r="M20" s="2"/>
      <c r="N20" s="2"/>
      <c r="O20" s="2"/>
      <c r="T20" t="s">
        <v>33</v>
      </c>
    </row>
    <row r="21" spans="2:21" x14ac:dyDescent="0.2">
      <c r="C21" s="16" t="s">
        <v>34</v>
      </c>
      <c r="D21" s="22" t="s">
        <v>35</v>
      </c>
      <c r="E21" s="22" t="s">
        <v>36</v>
      </c>
      <c r="F21" s="22" t="s">
        <v>37</v>
      </c>
      <c r="G21" s="22" t="s">
        <v>38</v>
      </c>
      <c r="H21" s="16" t="s">
        <v>39</v>
      </c>
      <c r="I21" s="16" t="s">
        <v>40</v>
      </c>
      <c r="J21" s="16" t="s">
        <v>41</v>
      </c>
      <c r="K21" s="16" t="s">
        <v>42</v>
      </c>
      <c r="L21" s="16" t="s">
        <v>43</v>
      </c>
      <c r="M21" s="16" t="s">
        <v>44</v>
      </c>
      <c r="N21" s="16" t="s">
        <v>45</v>
      </c>
      <c r="O21" s="16" t="s">
        <v>29</v>
      </c>
      <c r="P21" s="16" t="s">
        <v>46</v>
      </c>
      <c r="Q21" s="16" t="s">
        <v>47</v>
      </c>
      <c r="R21" s="16" t="s">
        <v>48</v>
      </c>
      <c r="S21" s="16" t="s">
        <v>49</v>
      </c>
      <c r="T21" s="16" t="s">
        <v>50</v>
      </c>
      <c r="U21" s="16" t="s">
        <v>51</v>
      </c>
    </row>
    <row r="22" spans="2:21" x14ac:dyDescent="0.2">
      <c r="C22" t="s">
        <v>52</v>
      </c>
      <c r="D22" t="s">
        <v>53</v>
      </c>
      <c r="F22" s="23"/>
      <c r="G22" t="s">
        <v>54</v>
      </c>
      <c r="H22">
        <v>2</v>
      </c>
      <c r="I22">
        <v>1</v>
      </c>
      <c r="J22">
        <v>1</v>
      </c>
      <c r="K22">
        <v>0</v>
      </c>
      <c r="L22">
        <f>E14</f>
        <v>5</v>
      </c>
      <c r="M22">
        <v>0</v>
      </c>
      <c r="N22">
        <f>E16</f>
        <v>3</v>
      </c>
      <c r="O22">
        <v>0</v>
      </c>
      <c r="P22">
        <f>SUM(Tabelle2[[#This Row],[leader]:[troll]])*Tabelle2[[#This Row],[gc/unit]]</f>
        <v>20</v>
      </c>
      <c r="Q22">
        <v>0</v>
      </c>
      <c r="R22">
        <f>Tabelle2[[#This Row],[gc/unit]]*Tabelle2[[#This Row],[whish]]</f>
        <v>0</v>
      </c>
      <c r="S22" s="24" t="s">
        <v>55</v>
      </c>
      <c r="T22" s="25">
        <v>1</v>
      </c>
      <c r="U22" s="24">
        <f>Tabelle2[[#This Row],[rating]]*SUM(Tabelle2[[#This Row],[leader]:[troll]])</f>
        <v>10</v>
      </c>
    </row>
    <row r="23" spans="2:21" x14ac:dyDescent="0.2">
      <c r="C23" t="s">
        <v>56</v>
      </c>
      <c r="D23" t="s">
        <v>53</v>
      </c>
      <c r="F23" s="23" t="s">
        <v>57</v>
      </c>
      <c r="G23" t="s">
        <v>58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SUM(Tabelle2[[#This Row],[leader]:[troll]])*Tabelle2[[#This Row],[gc/unit]]</f>
        <v>0</v>
      </c>
      <c r="Q23">
        <v>0</v>
      </c>
      <c r="R23">
        <f>Tabelle2[[#This Row],[gc/unit]]*Tabelle2[[#This Row],[whish]]</f>
        <v>0</v>
      </c>
      <c r="S23" s="24" t="s">
        <v>59</v>
      </c>
      <c r="T23" s="25">
        <v>4</v>
      </c>
      <c r="U23" s="24">
        <f>Tabelle2[[#This Row],[rating]]*SUM(Tabelle2[[#This Row],[leader]:[troll]])</f>
        <v>0</v>
      </c>
    </row>
    <row r="24" spans="2:21" x14ac:dyDescent="0.2">
      <c r="C24" t="s">
        <v>60</v>
      </c>
      <c r="D24" t="s">
        <v>53</v>
      </c>
      <c r="F24" s="23" t="s">
        <v>57</v>
      </c>
      <c r="G24" t="s">
        <v>61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SUM(Tabelle2[[#This Row],[leader]:[troll]])*Tabelle2[[#This Row],[gc/unit]]</f>
        <v>0</v>
      </c>
      <c r="Q24">
        <v>0</v>
      </c>
      <c r="R24">
        <f>Tabelle2[[#This Row],[gc/unit]]*Tabelle2[[#This Row],[whish]]</f>
        <v>0</v>
      </c>
      <c r="S24" s="24" t="s">
        <v>59</v>
      </c>
      <c r="T24" s="25">
        <v>9</v>
      </c>
      <c r="U24" s="24">
        <f>Tabelle2[[#This Row],[rating]]*SUM(Tabelle2[[#This Row],[leader]:[troll]])</f>
        <v>0</v>
      </c>
    </row>
    <row r="25" spans="2:21" x14ac:dyDescent="0.2">
      <c r="C25" t="s">
        <v>62</v>
      </c>
      <c r="D25" t="s">
        <v>53</v>
      </c>
      <c r="F25" s="23" t="s">
        <v>57</v>
      </c>
      <c r="G25" t="s">
        <v>63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SUM(Tabelle2[[#This Row],[leader]:[troll]])*Tabelle2[[#This Row],[gc/unit]]</f>
        <v>0</v>
      </c>
      <c r="Q25">
        <v>0</v>
      </c>
      <c r="R25">
        <f>Tabelle2[[#This Row],[gc/unit]]*Tabelle2[[#This Row],[whish]]</f>
        <v>0</v>
      </c>
      <c r="S25" s="24" t="s">
        <v>55</v>
      </c>
      <c r="T25" s="25">
        <v>5</v>
      </c>
      <c r="U25" s="24">
        <f>Tabelle2[[#This Row],[rating]]*SUM(Tabelle2[[#This Row],[leader]:[troll]])</f>
        <v>0</v>
      </c>
    </row>
    <row r="26" spans="2:21" x14ac:dyDescent="0.2">
      <c r="C26" t="s">
        <v>64</v>
      </c>
      <c r="D26" t="s">
        <v>53</v>
      </c>
      <c r="F26" s="23" t="s">
        <v>65</v>
      </c>
      <c r="G26" t="s">
        <v>66</v>
      </c>
      <c r="H26">
        <v>10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>SUM(Tabelle2[[#This Row],[leader]:[troll]])*Tabelle2[[#This Row],[gc/unit]]</f>
        <v>0</v>
      </c>
      <c r="Q26">
        <v>0</v>
      </c>
      <c r="R26">
        <f>Tabelle2[[#This Row],[gc/unit]]*Tabelle2[[#This Row],[whish]]</f>
        <v>0</v>
      </c>
      <c r="S26" s="24" t="s">
        <v>59</v>
      </c>
      <c r="T26" s="25">
        <v>8</v>
      </c>
      <c r="U26" s="24">
        <f>Tabelle2[[#This Row],[rating]]*SUM(Tabelle2[[#This Row],[leader]:[troll]])</f>
        <v>0</v>
      </c>
    </row>
    <row r="27" spans="2:21" x14ac:dyDescent="0.2">
      <c r="C27" t="s">
        <v>67</v>
      </c>
      <c r="D27" t="s">
        <v>53</v>
      </c>
      <c r="F27" s="23" t="s">
        <v>68</v>
      </c>
      <c r="G27" t="s">
        <v>69</v>
      </c>
      <c r="H27">
        <v>10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>SUM(Tabelle2[[#This Row],[leader]:[troll]])*Tabelle2[[#This Row],[gc/unit]]</f>
        <v>0</v>
      </c>
      <c r="Q27">
        <v>0</v>
      </c>
      <c r="R27">
        <f>Tabelle2[[#This Row],[gc/unit]]*Tabelle2[[#This Row],[whish]]</f>
        <v>0</v>
      </c>
      <c r="S27" s="24" t="s">
        <v>59</v>
      </c>
      <c r="T27" s="25">
        <v>7</v>
      </c>
      <c r="U27" s="24">
        <f>Tabelle2[[#This Row],[rating]]*SUM(Tabelle2[[#This Row],[leader]:[troll]])</f>
        <v>0</v>
      </c>
    </row>
    <row r="28" spans="2:21" x14ac:dyDescent="0.2">
      <c r="C28" t="s">
        <v>70</v>
      </c>
      <c r="D28" t="s">
        <v>53</v>
      </c>
      <c r="F28" s="23" t="s">
        <v>57</v>
      </c>
      <c r="H28">
        <v>3</v>
      </c>
      <c r="I28">
        <v>0</v>
      </c>
      <c r="J28">
        <v>0</v>
      </c>
      <c r="K28">
        <v>3</v>
      </c>
      <c r="L28">
        <v>0</v>
      </c>
      <c r="M28">
        <v>0</v>
      </c>
      <c r="N28">
        <f>0</f>
        <v>0</v>
      </c>
      <c r="O28">
        <v>0</v>
      </c>
      <c r="P28">
        <f>SUM(Tabelle2[[#This Row],[leader]:[troll]])*Tabelle2[[#This Row],[gc/unit]]</f>
        <v>9</v>
      </c>
      <c r="Q28">
        <v>0</v>
      </c>
      <c r="R28">
        <f>Tabelle2[[#This Row],[gc/unit]]*Tabelle2[[#This Row],[whish]]</f>
        <v>0</v>
      </c>
      <c r="S28" s="24" t="s">
        <v>55</v>
      </c>
      <c r="T28" s="25">
        <v>2</v>
      </c>
      <c r="U28" s="24">
        <f>Tabelle2[[#This Row],[rating]]*SUM(Tabelle2[[#This Row],[leader]:[troll]])</f>
        <v>6</v>
      </c>
    </row>
    <row r="29" spans="2:21" x14ac:dyDescent="0.2">
      <c r="C29" t="s">
        <v>71</v>
      </c>
      <c r="D29" t="s">
        <v>72</v>
      </c>
      <c r="E29" t="s">
        <v>73</v>
      </c>
      <c r="F29" s="23">
        <v>4</v>
      </c>
      <c r="G29" t="s">
        <v>74</v>
      </c>
      <c r="H29">
        <v>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>SUM(Tabelle2[[#This Row],[leader]:[troll]])*Tabelle2[[#This Row],[gc/unit]]</f>
        <v>0</v>
      </c>
      <c r="Q29">
        <v>0</v>
      </c>
      <c r="R29">
        <f>Tabelle2[[#This Row],[gc/unit]]*Tabelle2[[#This Row],[whish]]</f>
        <v>0</v>
      </c>
      <c r="S29" s="24" t="s">
        <v>59</v>
      </c>
      <c r="T29" s="25">
        <v>6</v>
      </c>
      <c r="U29" s="24">
        <f>Tabelle2[[#This Row],[rating]]*SUM(Tabelle2[[#This Row],[leader]:[troll]])</f>
        <v>0</v>
      </c>
    </row>
    <row r="30" spans="2:21" x14ac:dyDescent="0.2">
      <c r="C30" t="s">
        <v>75</v>
      </c>
      <c r="D30" t="s">
        <v>72</v>
      </c>
      <c r="E30" t="s">
        <v>76</v>
      </c>
      <c r="F30" s="23">
        <v>3</v>
      </c>
      <c r="H30">
        <v>10</v>
      </c>
      <c r="I30">
        <v>0</v>
      </c>
      <c r="J30">
        <v>0</v>
      </c>
      <c r="K30">
        <f>0</f>
        <v>0</v>
      </c>
      <c r="L30">
        <v>0</v>
      </c>
      <c r="M30">
        <v>0</v>
      </c>
      <c r="N30">
        <v>0</v>
      </c>
      <c r="O30">
        <v>0</v>
      </c>
      <c r="P30">
        <f>SUM(Tabelle2[[#This Row],[leader]:[troll]])*Tabelle2[[#This Row],[gc/unit]]</f>
        <v>0</v>
      </c>
      <c r="Q30">
        <v>0</v>
      </c>
      <c r="R30">
        <f>Tabelle2[[#This Row],[gc/unit]]*Tabelle2[[#This Row],[whish]]</f>
        <v>0</v>
      </c>
      <c r="S30" s="24" t="s">
        <v>59</v>
      </c>
      <c r="T30" s="25">
        <v>6</v>
      </c>
      <c r="U30" s="24">
        <f>Tabelle2[[#This Row],[rating]]*SUM(Tabelle2[[#This Row],[leader]:[troll]])</f>
        <v>0</v>
      </c>
    </row>
    <row r="31" spans="2:21" x14ac:dyDescent="0.2">
      <c r="C31" t="s">
        <v>77</v>
      </c>
      <c r="D31" t="s">
        <v>53</v>
      </c>
      <c r="F31" s="23" t="s">
        <v>57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SUM(Tabelle2[[#This Row],[leader]:[troll]])*Tabelle2[[#This Row],[gc/unit]]</f>
        <v>0</v>
      </c>
      <c r="Q31">
        <v>0</v>
      </c>
      <c r="R31">
        <f>Tabelle2[[#This Row],[gc/unit]]*Tabelle2[[#This Row],[whish]]</f>
        <v>0</v>
      </c>
      <c r="S31" s="24" t="s">
        <v>22</v>
      </c>
      <c r="T31" s="25">
        <v>2</v>
      </c>
      <c r="U31" s="24">
        <f>Tabelle2[[#This Row],[rating]]*SUM(Tabelle2[[#This Row],[leader]:[troll]])</f>
        <v>0</v>
      </c>
    </row>
    <row r="32" spans="2:21" x14ac:dyDescent="0.2">
      <c r="C32" t="s">
        <v>78</v>
      </c>
      <c r="D32" t="s">
        <v>53</v>
      </c>
      <c r="F32" s="23" t="s">
        <v>57</v>
      </c>
      <c r="G32" t="s">
        <v>79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>SUM(Tabelle2[[#This Row],[leader]:[troll]])*Tabelle2[[#This Row],[gc/unit]]</f>
        <v>0</v>
      </c>
      <c r="Q32">
        <v>0</v>
      </c>
      <c r="R32">
        <f>Tabelle2[[#This Row],[gc/unit]]*Tabelle2[[#This Row],[whish]]</f>
        <v>0</v>
      </c>
      <c r="S32" s="24" t="s">
        <v>22</v>
      </c>
      <c r="T32" s="25">
        <v>5</v>
      </c>
      <c r="U32" s="24">
        <f>Tabelle2[[#This Row],[rating]]*SUM(Tabelle2[[#This Row],[leader]:[troll]])</f>
        <v>0</v>
      </c>
    </row>
    <row r="33" spans="3:21" x14ac:dyDescent="0.2">
      <c r="C33" t="s">
        <v>80</v>
      </c>
      <c r="D33" t="s">
        <v>72</v>
      </c>
      <c r="E33" t="s">
        <v>81</v>
      </c>
      <c r="F33" s="23">
        <v>3</v>
      </c>
      <c r="H33">
        <v>5</v>
      </c>
      <c r="I33">
        <v>0</v>
      </c>
      <c r="J33">
        <v>0</v>
      </c>
      <c r="K33">
        <v>0</v>
      </c>
      <c r="L33">
        <f>1</f>
        <v>1</v>
      </c>
      <c r="M33">
        <v>0</v>
      </c>
      <c r="N33">
        <v>0</v>
      </c>
      <c r="O33">
        <v>0</v>
      </c>
      <c r="P33">
        <f>SUM(Tabelle2[[#This Row],[leader]:[troll]])*Tabelle2[[#This Row],[gc/unit]]</f>
        <v>5</v>
      </c>
      <c r="Q33">
        <v>0</v>
      </c>
      <c r="R33">
        <f>Tabelle2[[#This Row],[gc/unit]]*Tabelle2[[#This Row],[whish]]</f>
        <v>0</v>
      </c>
      <c r="S33" s="24" t="s">
        <v>22</v>
      </c>
      <c r="T33" s="25">
        <v>5</v>
      </c>
      <c r="U33" s="24">
        <f>Tabelle2[[#This Row],[rating]]*SUM(Tabelle2[[#This Row],[leader]:[troll]])</f>
        <v>5</v>
      </c>
    </row>
    <row r="34" spans="3:21" x14ac:dyDescent="0.2">
      <c r="C34" t="s">
        <v>82</v>
      </c>
      <c r="D34" t="s">
        <v>83</v>
      </c>
      <c r="E34" t="s">
        <v>84</v>
      </c>
      <c r="F34" s="23"/>
      <c r="H34">
        <v>15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f>SUM(Tabelle2[[#This Row],[leader]:[troll]])*Tabelle2[[#This Row],[gc/unit]]</f>
        <v>15</v>
      </c>
      <c r="Q34">
        <v>0</v>
      </c>
      <c r="R34">
        <f>Tabelle2[[#This Row],[gc/unit]]*Tabelle2[[#This Row],[whish]]</f>
        <v>0</v>
      </c>
      <c r="S34" s="24" t="s">
        <v>22</v>
      </c>
      <c r="T34" s="25">
        <v>3</v>
      </c>
      <c r="U34" s="24">
        <f>Tabelle2[[#This Row],[rating]]*SUM(Tabelle2[[#This Row],[leader]:[troll]])</f>
        <v>3</v>
      </c>
    </row>
    <row r="35" spans="3:21" x14ac:dyDescent="0.2">
      <c r="C35" t="s">
        <v>85</v>
      </c>
      <c r="D35" t="s">
        <v>53</v>
      </c>
      <c r="F35" s="23" t="s">
        <v>65</v>
      </c>
      <c r="G35" t="s">
        <v>86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>SUM(Tabelle2[[#This Row],[leader]:[troll]])*Tabelle2[[#This Row],[gc/unit]]</f>
        <v>0</v>
      </c>
      <c r="Q35">
        <v>0</v>
      </c>
      <c r="R35">
        <f>Tabelle2[[#This Row],[gc/unit]]*Tabelle2[[#This Row],[whish]]</f>
        <v>0</v>
      </c>
      <c r="S35" s="24" t="s">
        <v>22</v>
      </c>
      <c r="T35" s="25">
        <v>9</v>
      </c>
      <c r="U35" s="24">
        <f>Tabelle2[[#This Row],[rating]]*SUM(Tabelle2[[#This Row],[leader]:[troll]])</f>
        <v>0</v>
      </c>
    </row>
    <row r="36" spans="3:21" x14ac:dyDescent="0.2">
      <c r="C36" s="26" t="s">
        <v>87</v>
      </c>
      <c r="D36" s="26" t="s">
        <v>83</v>
      </c>
      <c r="E36" s="26"/>
      <c r="F36" s="27"/>
      <c r="G36" s="26"/>
      <c r="H36" s="28">
        <v>25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f>SUM(Tabelle2[[#This Row],[leader]:[troll]])*Tabelle2[[#This Row],[gc/unit]]</f>
        <v>0</v>
      </c>
      <c r="Q36">
        <v>0</v>
      </c>
      <c r="R36">
        <f>Tabelle2[[#This Row],[gc/unit]]*Tabelle2[[#This Row],[whish]]</f>
        <v>0</v>
      </c>
      <c r="S36" s="24" t="s">
        <v>22</v>
      </c>
      <c r="T36" s="25">
        <v>5</v>
      </c>
      <c r="U36" s="24">
        <f>Tabelle2[[#This Row],[rating]]*SUM(Tabelle2[[#This Row],[leader]:[troll]])</f>
        <v>0</v>
      </c>
    </row>
    <row r="37" spans="3:21" x14ac:dyDescent="0.2">
      <c r="C37" t="s">
        <v>88</v>
      </c>
      <c r="D37" t="s">
        <v>89</v>
      </c>
      <c r="F37" s="23"/>
      <c r="G37" t="s">
        <v>90</v>
      </c>
      <c r="H37">
        <v>20</v>
      </c>
      <c r="I37">
        <v>0</v>
      </c>
      <c r="J37">
        <v>0</v>
      </c>
      <c r="K37">
        <f>0</f>
        <v>0</v>
      </c>
      <c r="L37">
        <v>0</v>
      </c>
      <c r="M37">
        <v>0</v>
      </c>
      <c r="N37">
        <v>0</v>
      </c>
      <c r="O37">
        <v>0</v>
      </c>
      <c r="P37">
        <f>SUM(Tabelle2[[#This Row],[leader]:[troll]])*Tabelle2[[#This Row],[gc/unit]]</f>
        <v>0</v>
      </c>
      <c r="Q37">
        <v>0</v>
      </c>
      <c r="R37">
        <f>Tabelle2[[#This Row],[gc/unit]]*Tabelle2[[#This Row],[whish]]</f>
        <v>0</v>
      </c>
      <c r="S37" s="24" t="s">
        <v>15</v>
      </c>
      <c r="T37" s="25">
        <v>8</v>
      </c>
      <c r="U37" s="24">
        <f>Tabelle2[[#This Row],[rating]]*SUM(Tabelle2[[#This Row],[leader]:[troll]])</f>
        <v>0</v>
      </c>
    </row>
    <row r="38" spans="3:21" x14ac:dyDescent="0.2">
      <c r="C38" t="s">
        <v>91</v>
      </c>
      <c r="D38" s="26" t="s">
        <v>89</v>
      </c>
      <c r="E38" s="26"/>
      <c r="F38" s="27"/>
      <c r="G38" s="26" t="s">
        <v>92</v>
      </c>
      <c r="H38">
        <v>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>SUM(Tabelle2[[#This Row],[leader]:[troll]])*Tabelle2[[#This Row],[gc/unit]]</f>
        <v>0</v>
      </c>
      <c r="Q38">
        <v>0</v>
      </c>
      <c r="R38">
        <f>Tabelle2[[#This Row],[gc/unit]]*Tabelle2[[#This Row],[whish]]</f>
        <v>0</v>
      </c>
      <c r="S38" s="24" t="s">
        <v>93</v>
      </c>
      <c r="T38" s="25">
        <v>7</v>
      </c>
      <c r="U38" s="24">
        <f>Tabelle2[[#This Row],[rating]]*SUM(Tabelle2[[#This Row],[leader]:[troll]])</f>
        <v>0</v>
      </c>
    </row>
    <row r="39" spans="3:21" x14ac:dyDescent="0.2">
      <c r="C39" s="26" t="s">
        <v>94</v>
      </c>
      <c r="D39" s="26" t="s">
        <v>89</v>
      </c>
      <c r="E39" s="26"/>
      <c r="F39" s="27"/>
      <c r="G39" s="26" t="s">
        <v>95</v>
      </c>
      <c r="H39" s="28">
        <v>10</v>
      </c>
      <c r="I39">
        <v>0</v>
      </c>
      <c r="J39">
        <v>0</v>
      </c>
      <c r="K39">
        <f>K37</f>
        <v>0</v>
      </c>
      <c r="L39">
        <v>0</v>
      </c>
      <c r="M39">
        <v>0</v>
      </c>
      <c r="N39">
        <v>0</v>
      </c>
      <c r="O39">
        <v>0</v>
      </c>
      <c r="P39">
        <f>SUM(Tabelle2[[#This Row],[leader]:[troll]])*Tabelle2[[#This Row],[gc/unit]]</f>
        <v>0</v>
      </c>
      <c r="Q39">
        <v>0</v>
      </c>
      <c r="R39">
        <f>Tabelle2[[#This Row],[gc/unit]]*Tabelle2[[#This Row],[whish]]</f>
        <v>0</v>
      </c>
      <c r="S39" s="24" t="s">
        <v>93</v>
      </c>
      <c r="T39" s="25">
        <v>7</v>
      </c>
      <c r="U39" s="24">
        <f>Tabelle2[[#This Row],[rating]]*SUM(Tabelle2[[#This Row],[leader]:[troll]])</f>
        <v>0</v>
      </c>
    </row>
    <row r="40" spans="3:21" ht="15.75" x14ac:dyDescent="0.25">
      <c r="C40" s="26"/>
      <c r="D40" s="26"/>
      <c r="E40" s="26"/>
      <c r="F40" s="27"/>
      <c r="G40" s="26"/>
      <c r="H40" s="28"/>
      <c r="I40" s="29">
        <f t="shared" ref="I40:O40" si="1">I22*$H22+I23*$H23+I24*$H24+I25*$H25+I26*$H26+I27*$H27+I28*$H28+I29*$H29+I30*$H30+I31*$H31+I32*$H32+I33*$H33+I34*$H34+I35*$H35+I36*$H36+I37*$H37+I38*$H38+I39*$H39</f>
        <v>2</v>
      </c>
      <c r="J40" s="29">
        <f t="shared" si="1"/>
        <v>2</v>
      </c>
      <c r="K40" s="29">
        <f t="shared" si="1"/>
        <v>9</v>
      </c>
      <c r="L40" s="29">
        <f t="shared" si="1"/>
        <v>30</v>
      </c>
      <c r="M40" s="29">
        <f t="shared" si="1"/>
        <v>0</v>
      </c>
      <c r="N40" s="29">
        <f t="shared" si="1"/>
        <v>6</v>
      </c>
      <c r="O40" s="29">
        <f t="shared" si="1"/>
        <v>0</v>
      </c>
      <c r="P40" s="15">
        <f>SUM(P22:P39)</f>
        <v>49</v>
      </c>
      <c r="Q40" s="26"/>
      <c r="R40" s="30">
        <f>SUM(Tabelle2[whish cost])</f>
        <v>0</v>
      </c>
      <c r="S40" s="31"/>
      <c r="T40" t="s">
        <v>96</v>
      </c>
      <c r="U40" s="15">
        <f>SUM(Tabelle2[Warband Equip Rating])</f>
        <v>24</v>
      </c>
    </row>
    <row r="41" spans="3:21" x14ac:dyDescent="0.2">
      <c r="F41" s="23"/>
      <c r="S41" s="24"/>
      <c r="T41" t="s">
        <v>97</v>
      </c>
      <c r="U41">
        <f>SUM(U22:U36)</f>
        <v>24</v>
      </c>
    </row>
    <row r="42" spans="3:21" x14ac:dyDescent="0.2">
      <c r="F42" s="23"/>
      <c r="S42" s="24"/>
      <c r="T42" t="s">
        <v>98</v>
      </c>
      <c r="U42">
        <f>SUM(U37:U39)</f>
        <v>0</v>
      </c>
    </row>
    <row r="43" spans="3:21" x14ac:dyDescent="0.2">
      <c r="C43" s="26"/>
      <c r="D43" s="26" t="s">
        <v>141</v>
      </c>
      <c r="E43" s="26" t="s">
        <v>46</v>
      </c>
      <c r="F43" s="27" t="s">
        <v>140</v>
      </c>
      <c r="G43" s="26"/>
      <c r="H43" s="28"/>
      <c r="I43" s="26"/>
      <c r="J43" s="26"/>
      <c r="K43" s="26"/>
      <c r="L43" s="26"/>
      <c r="M43" s="26"/>
      <c r="N43" s="26"/>
      <c r="O43" s="26"/>
      <c r="P43" s="28"/>
      <c r="Q43" s="26"/>
      <c r="R43" s="26"/>
      <c r="S43" s="31"/>
    </row>
    <row r="44" spans="3:21" ht="15.75" x14ac:dyDescent="0.25">
      <c r="C44" t="s">
        <v>99</v>
      </c>
      <c r="D44">
        <v>1</v>
      </c>
      <c r="E44">
        <v>15</v>
      </c>
      <c r="F44">
        <v>8</v>
      </c>
      <c r="L44" s="10"/>
      <c r="M44" s="10"/>
      <c r="N44" s="10"/>
      <c r="O44" s="10"/>
      <c r="P44" s="15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6" priority="2" operator="greaterThan">
      <formula>$C$5</formula>
    </cfRule>
  </conditionalFormatting>
  <conditionalFormatting sqref="G11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5" priority="11" operator="greaterThan">
      <formula>0</formula>
    </cfRule>
  </conditionalFormatting>
  <conditionalFormatting sqref="J22:O22">
    <cfRule type="cellIs" dxfId="4" priority="12" operator="greaterThan">
      <formula>0</formula>
    </cfRule>
  </conditionalFormatting>
  <conditionalFormatting sqref="I23:I39">
    <cfRule type="cellIs" dxfId="3" priority="13" operator="greaterThan">
      <formula>0</formula>
    </cfRule>
  </conditionalFormatting>
  <conditionalFormatting sqref="J23:O39">
    <cfRule type="cellIs" dxfId="2" priority="14" operator="greaterThan">
      <formula>0</formula>
    </cfRule>
  </conditionalFormatting>
  <conditionalFormatting sqref="I22:O39">
    <cfRule type="cellIs" dxfId="1" priority="15" operator="greaterThan">
      <formula>0</formula>
    </cfRule>
  </conditionalFormatting>
  <conditionalFormatting sqref="E11:E17">
    <cfRule type="cellIs" dxfId="0" priority="16" operator="greaterThan">
      <formula>0</formula>
    </cfRule>
  </conditionalFormatting>
  <conditionalFormatting sqref="T22:T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85" zoomScaleNormal="85" workbookViewId="0">
      <selection activeCell="G22" sqref="G22"/>
    </sheetView>
  </sheetViews>
  <sheetFormatPr baseColWidth="10" defaultColWidth="9.140625" defaultRowHeight="12.75" x14ac:dyDescent="0.2"/>
  <cols>
    <col min="1" max="1" width="11.5703125"/>
    <col min="2" max="2" width="26.7109375" customWidth="1"/>
    <col min="3" max="3" width="17.7109375" customWidth="1"/>
    <col min="4" max="4" width="13.85546875" customWidth="1"/>
    <col min="5" max="5" width="12.5703125" customWidth="1"/>
    <col min="6" max="6" width="30" customWidth="1"/>
    <col min="7" max="7" width="16.85546875" customWidth="1"/>
    <col min="8" max="8" width="8.140625" customWidth="1"/>
    <col min="9" max="9" width="6.140625" customWidth="1"/>
    <col min="10" max="10" width="16.85546875" customWidth="1"/>
    <col min="11" max="11" width="7.5703125" customWidth="1"/>
    <col min="12" max="12" width="10.85546875" customWidth="1"/>
    <col min="13" max="1025" width="11.5703125"/>
  </cols>
  <sheetData>
    <row r="2" spans="2:12" ht="15.75" x14ac:dyDescent="0.25">
      <c r="B2" s="15" t="s">
        <v>100</v>
      </c>
    </row>
    <row r="3" spans="2:12" ht="15.75" x14ac:dyDescent="0.25">
      <c r="C3" s="1" t="s">
        <v>32</v>
      </c>
      <c r="D3" s="1"/>
      <c r="E3" s="1"/>
      <c r="F3" s="1"/>
      <c r="G3" s="1" t="s">
        <v>25</v>
      </c>
      <c r="H3" s="1"/>
      <c r="I3" s="1"/>
    </row>
    <row r="4" spans="2:12" x14ac:dyDescent="0.2">
      <c r="B4" s="32"/>
      <c r="C4" s="16" t="str">
        <f>'cost calculation'!C11</f>
        <v>ork boss/leader (1)</v>
      </c>
      <c r="D4" s="16" t="str">
        <f>'cost calculation'!C12</f>
        <v>schaman (0-1)</v>
      </c>
      <c r="E4" s="16" t="str">
        <f>'cost calculation'!C13</f>
        <v>big'uns (0-3)</v>
      </c>
      <c r="F4" s="16" t="str">
        <f>'cost calculation'!C14</f>
        <v>goblin warrior (max 2x anz boyz)</v>
      </c>
      <c r="G4" s="16" t="str">
        <f>'cost calculation'!C15</f>
        <v>cave squig</v>
      </c>
      <c r="H4" s="16" t="str">
        <f>'cost calculation'!C16</f>
        <v>ork boy</v>
      </c>
      <c r="I4" s="16" t="str">
        <f>'cost calculation'!C17</f>
        <v>troll</v>
      </c>
      <c r="K4" s="2" t="s">
        <v>101</v>
      </c>
      <c r="L4" s="2"/>
    </row>
    <row r="5" spans="2:12" x14ac:dyDescent="0.2">
      <c r="B5" s="33" t="s">
        <v>102</v>
      </c>
      <c r="C5">
        <v>4</v>
      </c>
      <c r="D5">
        <v>4</v>
      </c>
      <c r="E5">
        <v>4</v>
      </c>
      <c r="F5">
        <v>4</v>
      </c>
      <c r="G5" s="21">
        <v>0</v>
      </c>
      <c r="H5">
        <v>4</v>
      </c>
      <c r="I5">
        <v>6</v>
      </c>
      <c r="K5" s="34" t="s">
        <v>32</v>
      </c>
      <c r="L5" s="35" t="s">
        <v>25</v>
      </c>
    </row>
    <row r="6" spans="2:12" x14ac:dyDescent="0.2">
      <c r="B6" s="33" t="s">
        <v>103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>
        <v>10</v>
      </c>
      <c r="L6" s="36">
        <f t="shared" ref="L6:L11" si="0">K6-3</f>
        <v>7</v>
      </c>
    </row>
    <row r="7" spans="2:12" x14ac:dyDescent="0.2">
      <c r="B7" s="33" t="s">
        <v>104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>
        <v>10</v>
      </c>
      <c r="L7" s="36">
        <f t="shared" si="0"/>
        <v>7</v>
      </c>
    </row>
    <row r="8" spans="2:12" x14ac:dyDescent="0.2">
      <c r="B8" s="33" t="s">
        <v>19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>
        <v>8</v>
      </c>
      <c r="L8" s="36">
        <f t="shared" si="0"/>
        <v>5</v>
      </c>
    </row>
    <row r="9" spans="2:12" x14ac:dyDescent="0.2">
      <c r="B9" s="33" t="s">
        <v>105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>
        <v>8</v>
      </c>
      <c r="L9" s="36">
        <f t="shared" si="0"/>
        <v>5</v>
      </c>
    </row>
    <row r="10" spans="2:12" x14ac:dyDescent="0.2">
      <c r="B10" s="33" t="s">
        <v>106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>
        <v>3</v>
      </c>
      <c r="L10" s="36">
        <f t="shared" si="0"/>
        <v>0</v>
      </c>
    </row>
    <row r="11" spans="2:12" x14ac:dyDescent="0.2">
      <c r="B11" s="33" t="s">
        <v>107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>
        <v>4</v>
      </c>
      <c r="L11" s="36">
        <f t="shared" si="0"/>
        <v>1</v>
      </c>
    </row>
    <row r="12" spans="2:12" x14ac:dyDescent="0.2">
      <c r="B12" s="33" t="s">
        <v>108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>
        <v>1</v>
      </c>
      <c r="L12" s="36">
        <v>0.5</v>
      </c>
    </row>
    <row r="13" spans="2:12" x14ac:dyDescent="0.2">
      <c r="B13" s="33" t="s">
        <v>109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>
        <v>1</v>
      </c>
      <c r="L13" s="36">
        <v>0.5</v>
      </c>
    </row>
    <row r="15" spans="2:12" x14ac:dyDescent="0.2">
      <c r="B15" s="37" t="s">
        <v>110</v>
      </c>
      <c r="C15" s="38">
        <f t="shared" ref="C15:E22" si="1">$K6*C6/C$24</f>
        <v>0.5</v>
      </c>
      <c r="D15" s="38">
        <f t="shared" si="1"/>
        <v>0.75</v>
      </c>
      <c r="E15" s="38">
        <f t="shared" si="1"/>
        <v>1</v>
      </c>
      <c r="F15" s="38">
        <f t="shared" ref="F15:I22" si="2">$L6*F6/F$24</f>
        <v>0.93333333333333335</v>
      </c>
      <c r="G15" s="38">
        <f t="shared" si="2"/>
        <v>1.8666666666666667</v>
      </c>
      <c r="H15" s="38">
        <f t="shared" si="2"/>
        <v>0.84</v>
      </c>
      <c r="I15" s="38">
        <f t="shared" si="2"/>
        <v>0.105</v>
      </c>
    </row>
    <row r="16" spans="2:12" x14ac:dyDescent="0.2">
      <c r="B16" s="37" t="s">
        <v>111</v>
      </c>
      <c r="C16" s="38">
        <f t="shared" si="1"/>
        <v>0.5</v>
      </c>
      <c r="D16" s="38">
        <f t="shared" si="1"/>
        <v>0.75</v>
      </c>
      <c r="E16" s="38">
        <f t="shared" si="1"/>
        <v>0.75</v>
      </c>
      <c r="F16" s="38">
        <f t="shared" si="2"/>
        <v>1.4</v>
      </c>
      <c r="G16" s="38">
        <f t="shared" si="2"/>
        <v>0</v>
      </c>
      <c r="H16" s="38">
        <f t="shared" si="2"/>
        <v>0.84</v>
      </c>
      <c r="I16" s="38">
        <f t="shared" si="2"/>
        <v>3.5000000000000003E-2</v>
      </c>
    </row>
    <row r="17" spans="2:10" x14ac:dyDescent="0.2">
      <c r="B17" s="37" t="s">
        <v>112</v>
      </c>
      <c r="C17" s="38">
        <f t="shared" si="1"/>
        <v>0.4</v>
      </c>
      <c r="D17" s="38">
        <f t="shared" si="1"/>
        <v>0.6</v>
      </c>
      <c r="E17" s="38">
        <f t="shared" si="1"/>
        <v>0.6</v>
      </c>
      <c r="F17" s="38">
        <f t="shared" si="2"/>
        <v>1</v>
      </c>
      <c r="G17" s="38">
        <f t="shared" si="2"/>
        <v>1.3333333333333333</v>
      </c>
      <c r="H17" s="38">
        <f t="shared" si="2"/>
        <v>0.6</v>
      </c>
      <c r="I17" s="38">
        <f t="shared" si="2"/>
        <v>0.125</v>
      </c>
    </row>
    <row r="18" spans="2:10" x14ac:dyDescent="0.2">
      <c r="B18" s="37" t="s">
        <v>113</v>
      </c>
      <c r="C18" s="38">
        <f t="shared" si="1"/>
        <v>0.4</v>
      </c>
      <c r="D18" s="38">
        <f t="shared" si="1"/>
        <v>0.8</v>
      </c>
      <c r="E18" s="38">
        <f t="shared" si="1"/>
        <v>0.8</v>
      </c>
      <c r="F18" s="38">
        <f t="shared" si="2"/>
        <v>1</v>
      </c>
      <c r="G18" s="38">
        <f t="shared" si="2"/>
        <v>1</v>
      </c>
      <c r="H18" s="38">
        <f t="shared" si="2"/>
        <v>0.8</v>
      </c>
      <c r="I18" s="38">
        <f t="shared" si="2"/>
        <v>0.1</v>
      </c>
    </row>
    <row r="19" spans="2:10" x14ac:dyDescent="0.2">
      <c r="B19" s="37" t="s">
        <v>114</v>
      </c>
      <c r="C19" s="38">
        <f t="shared" si="1"/>
        <v>3.7499999999999999E-2</v>
      </c>
      <c r="D19" s="38">
        <f t="shared" si="1"/>
        <v>7.4999999999999997E-2</v>
      </c>
      <c r="E19" s="38">
        <f t="shared" si="1"/>
        <v>7.4999999999999997E-2</v>
      </c>
      <c r="F19" s="38">
        <f t="shared" si="2"/>
        <v>0</v>
      </c>
      <c r="G19" s="38">
        <f t="shared" si="2"/>
        <v>0</v>
      </c>
      <c r="H19" s="38">
        <f t="shared" si="2"/>
        <v>0</v>
      </c>
      <c r="I19" s="38">
        <f t="shared" si="2"/>
        <v>0</v>
      </c>
    </row>
    <row r="20" spans="2:10" x14ac:dyDescent="0.2">
      <c r="B20" s="37" t="s">
        <v>115</v>
      </c>
      <c r="C20" s="38">
        <f t="shared" si="1"/>
        <v>0.15</v>
      </c>
      <c r="D20" s="38">
        <f t="shared" si="1"/>
        <v>0.3</v>
      </c>
      <c r="E20" s="38">
        <f t="shared" si="1"/>
        <v>0.3</v>
      </c>
      <c r="F20" s="38">
        <f t="shared" si="2"/>
        <v>0.2</v>
      </c>
      <c r="G20" s="38">
        <f t="shared" si="2"/>
        <v>0.26666666666666666</v>
      </c>
      <c r="H20" s="38">
        <f t="shared" si="2"/>
        <v>0.08</v>
      </c>
      <c r="I20" s="38">
        <f t="shared" si="2"/>
        <v>5.0000000000000001E-3</v>
      </c>
    </row>
    <row r="21" spans="2:10" x14ac:dyDescent="0.2">
      <c r="B21" s="37" t="s">
        <v>116</v>
      </c>
      <c r="C21" s="38">
        <f t="shared" si="1"/>
        <v>1.2500000000000001E-2</v>
      </c>
      <c r="D21" s="38">
        <f t="shared" si="1"/>
        <v>2.5000000000000001E-2</v>
      </c>
      <c r="E21" s="38">
        <f t="shared" si="1"/>
        <v>2.5000000000000001E-2</v>
      </c>
      <c r="F21" s="38">
        <f t="shared" si="2"/>
        <v>3.3333333333333333E-2</v>
      </c>
      <c r="G21" s="38">
        <f t="shared" si="2"/>
        <v>3.3333333333333333E-2</v>
      </c>
      <c r="H21" s="38">
        <f t="shared" si="2"/>
        <v>0.02</v>
      </c>
      <c r="I21" s="38">
        <f t="shared" si="2"/>
        <v>7.4999999999999997E-3</v>
      </c>
    </row>
    <row r="22" spans="2:10" x14ac:dyDescent="0.2">
      <c r="B22" s="37" t="s">
        <v>117</v>
      </c>
      <c r="C22" s="38">
        <f t="shared" si="1"/>
        <v>0.1</v>
      </c>
      <c r="D22" s="38">
        <f t="shared" si="1"/>
        <v>0.17499999999999999</v>
      </c>
      <c r="E22" s="38">
        <f t="shared" si="1"/>
        <v>0.17499999999999999</v>
      </c>
      <c r="F22" s="38">
        <f t="shared" si="2"/>
        <v>0.16666666666666666</v>
      </c>
      <c r="G22" s="38">
        <f t="shared" si="2"/>
        <v>0.16666666666666666</v>
      </c>
      <c r="H22" s="38">
        <f t="shared" si="2"/>
        <v>0.14000000000000001</v>
      </c>
      <c r="I22" s="38">
        <f t="shared" si="2"/>
        <v>0.01</v>
      </c>
    </row>
    <row r="23" spans="2:10" x14ac:dyDescent="0.2">
      <c r="E23" s="9"/>
    </row>
    <row r="24" spans="2:10" x14ac:dyDescent="0.2">
      <c r="B24" s="20" t="s">
        <v>118</v>
      </c>
      <c r="C24" s="4">
        <f>'cost calculation'!D11</f>
        <v>80</v>
      </c>
      <c r="D24" s="4">
        <f>'cost calculation'!D12</f>
        <v>40</v>
      </c>
      <c r="E24" s="4">
        <f>'cost calculation'!D13</f>
        <v>40</v>
      </c>
      <c r="F24" s="4">
        <f>'cost calculation'!D14</f>
        <v>15</v>
      </c>
      <c r="G24" s="4">
        <f>'cost calculation'!D15</f>
        <v>15</v>
      </c>
      <c r="H24" s="4">
        <f>'cost calculation'!D16</f>
        <v>25</v>
      </c>
      <c r="I24" s="4">
        <f>'cost calculation'!D17</f>
        <v>200</v>
      </c>
    </row>
    <row r="26" spans="2:10" x14ac:dyDescent="0.2">
      <c r="C26" s="38">
        <f t="shared" ref="C26:I26" si="3">SUM(C15:C22)</f>
        <v>2.0999999999999996</v>
      </c>
      <c r="D26" s="38">
        <f t="shared" si="3"/>
        <v>3.4750000000000001</v>
      </c>
      <c r="E26" s="38">
        <f t="shared" si="3"/>
        <v>3.7250000000000001</v>
      </c>
      <c r="F26" s="38">
        <f t="shared" si="3"/>
        <v>4.7333333333333334</v>
      </c>
      <c r="G26" s="38">
        <f t="shared" si="3"/>
        <v>4.666666666666667</v>
      </c>
      <c r="H26" s="38">
        <f t="shared" si="3"/>
        <v>3.3200000000000003</v>
      </c>
      <c r="I26" s="38">
        <f t="shared" si="3"/>
        <v>0.38750000000000001</v>
      </c>
    </row>
    <row r="27" spans="2:10" x14ac:dyDescent="0.2">
      <c r="C27">
        <f>'cost calculation'!$E11*'Characteristic analysis'!C26</f>
        <v>2.0999999999999996</v>
      </c>
      <c r="D27">
        <f>'cost calculation'!$E12*'Characteristic analysis'!D26</f>
        <v>3.4750000000000001</v>
      </c>
      <c r="E27">
        <f>'cost calculation'!$E13*'Characteristic analysis'!E26</f>
        <v>11.175000000000001</v>
      </c>
      <c r="F27">
        <f>'cost calculation'!$E14*'Characteristic analysis'!F26</f>
        <v>23.666666666666668</v>
      </c>
      <c r="G27">
        <f>'cost calculation'!$E15*'Characteristic analysis'!G26</f>
        <v>14</v>
      </c>
      <c r="H27">
        <f>'cost calculation'!$E16*'Characteristic analysis'!H26</f>
        <v>9.9600000000000009</v>
      </c>
      <c r="I27">
        <f>'cost calculation'!$E17*'Characteristic analysis'!I26</f>
        <v>0</v>
      </c>
      <c r="J27" s="9">
        <f>SUM(C27:I27)</f>
        <v>64.376666666666665</v>
      </c>
    </row>
  </sheetData>
  <mergeCells count="3">
    <mergeCell ref="C3:F3"/>
    <mergeCell ref="G3:I3"/>
    <mergeCell ref="K4:L4"/>
  </mergeCells>
  <conditionalFormatting sqref="C5:I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85" zoomScaleNormal="85" workbookViewId="0">
      <selection activeCell="B12" sqref="B12"/>
    </sheetView>
  </sheetViews>
  <sheetFormatPr baseColWidth="10" defaultColWidth="9.140625" defaultRowHeight="12.75" x14ac:dyDescent="0.2"/>
  <cols>
    <col min="2" max="2" width="34.28515625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customWidth="1"/>
  </cols>
  <sheetData>
    <row r="3" spans="2:7" x14ac:dyDescent="0.2">
      <c r="B3" s="9" t="s">
        <v>119</v>
      </c>
      <c r="C3" s="29" t="s">
        <v>120</v>
      </c>
      <c r="D3" s="29" t="s">
        <v>121</v>
      </c>
      <c r="E3" s="29" t="s">
        <v>122</v>
      </c>
      <c r="F3" s="29" t="s">
        <v>123</v>
      </c>
      <c r="G3" s="29" t="s">
        <v>124</v>
      </c>
    </row>
    <row r="4" spans="2:7" x14ac:dyDescent="0.2">
      <c r="B4" s="39" t="s">
        <v>125</v>
      </c>
      <c r="C4" s="40">
        <v>6.3</v>
      </c>
      <c r="D4" s="40">
        <f>C4/1</f>
        <v>6.3</v>
      </c>
      <c r="E4">
        <v>1</v>
      </c>
      <c r="F4" s="40">
        <f t="shared" ref="F4:F17" si="0">E4*D4</f>
        <v>6.3</v>
      </c>
      <c r="G4" s="41">
        <f>Tabelle4[[#This Row],[€ genutzt/Packung]]/Tabelle4[[#This Row],[€/Packung]]</f>
        <v>1</v>
      </c>
    </row>
    <row r="5" spans="2:7" x14ac:dyDescent="0.2">
      <c r="B5" s="39" t="s">
        <v>126</v>
      </c>
      <c r="C5" s="40">
        <v>10.71</v>
      </c>
      <c r="D5" s="40">
        <f>C5/1</f>
        <v>10.71</v>
      </c>
      <c r="E5">
        <v>0</v>
      </c>
      <c r="F5" s="40">
        <f t="shared" si="0"/>
        <v>0</v>
      </c>
      <c r="G5" s="41">
        <f>Tabelle4[[#This Row],[€ genutzt/Packung]]/Tabelle4[[#This Row],[€/Packung]]</f>
        <v>0</v>
      </c>
    </row>
    <row r="6" spans="2:7" x14ac:dyDescent="0.2">
      <c r="B6" s="39" t="s">
        <v>127</v>
      </c>
      <c r="C6" s="40">
        <v>8.9499999999999993</v>
      </c>
      <c r="D6" s="40">
        <f>C6/3</f>
        <v>2.9833333333333329</v>
      </c>
      <c r="E6">
        <v>0</v>
      </c>
      <c r="F6" s="40">
        <f t="shared" si="0"/>
        <v>0</v>
      </c>
      <c r="G6" s="41">
        <f>Tabelle4[[#This Row],[€ genutzt/Packung]]/Tabelle4[[#This Row],[€/Packung]]</f>
        <v>0</v>
      </c>
    </row>
    <row r="7" spans="2:7" x14ac:dyDescent="0.2">
      <c r="B7" s="39" t="s">
        <v>128</v>
      </c>
      <c r="C7" s="40">
        <v>9.4499999999999993</v>
      </c>
      <c r="D7" s="40">
        <f>C7/3</f>
        <v>3.15</v>
      </c>
      <c r="E7">
        <v>3</v>
      </c>
      <c r="F7" s="40">
        <f t="shared" si="0"/>
        <v>9.4499999999999993</v>
      </c>
      <c r="G7" s="41">
        <f>Tabelle4[[#This Row],[€ genutzt/Packung]]/Tabelle4[[#This Row],[€/Packung]]</f>
        <v>1</v>
      </c>
    </row>
    <row r="8" spans="2:7" x14ac:dyDescent="0.2">
      <c r="B8" s="39" t="s">
        <v>129</v>
      </c>
      <c r="C8" s="40">
        <v>11.99</v>
      </c>
      <c r="D8" s="40">
        <f>C8/1</f>
        <v>11.99</v>
      </c>
      <c r="E8">
        <v>0</v>
      </c>
      <c r="F8" s="40">
        <f t="shared" si="0"/>
        <v>0</v>
      </c>
      <c r="G8" s="41">
        <f>Tabelle4[[#This Row],[€ genutzt/Packung]]/Tabelle4[[#This Row],[€/Packung]]</f>
        <v>0</v>
      </c>
    </row>
    <row r="9" spans="2:7" x14ac:dyDescent="0.2">
      <c r="B9" s="39" t="s">
        <v>130</v>
      </c>
      <c r="C9" s="40">
        <v>10.36</v>
      </c>
      <c r="D9" s="40">
        <f>C9/1</f>
        <v>10.36</v>
      </c>
      <c r="E9">
        <v>1</v>
      </c>
      <c r="F9" s="40">
        <f t="shared" si="0"/>
        <v>10.36</v>
      </c>
      <c r="G9" s="41">
        <f>Tabelle4[[#This Row],[€ genutzt/Packung]]/Tabelle4[[#This Row],[€/Packung]]</f>
        <v>1</v>
      </c>
    </row>
    <row r="10" spans="2:7" x14ac:dyDescent="0.2">
      <c r="B10" s="39" t="s">
        <v>131</v>
      </c>
      <c r="C10" s="40">
        <v>35.200000000000003</v>
      </c>
      <c r="D10" s="40">
        <f>C10/20</f>
        <v>1.7600000000000002</v>
      </c>
      <c r="E10">
        <v>0</v>
      </c>
      <c r="F10" s="40">
        <f t="shared" si="0"/>
        <v>0</v>
      </c>
      <c r="G10" s="41">
        <f>Tabelle4[[#This Row],[€ genutzt/Packung]]/Tabelle4[[#This Row],[€/Packung]]</f>
        <v>0</v>
      </c>
    </row>
    <row r="11" spans="2:7" x14ac:dyDescent="0.2">
      <c r="B11" s="39" t="s">
        <v>132</v>
      </c>
      <c r="C11" s="40">
        <v>21.49</v>
      </c>
      <c r="D11" s="40">
        <f>C11/10</f>
        <v>2.149</v>
      </c>
      <c r="E11">
        <v>0</v>
      </c>
      <c r="F11" s="40">
        <f t="shared" si="0"/>
        <v>0</v>
      </c>
      <c r="G11" s="41">
        <f>Tabelle4[[#This Row],[€ genutzt/Packung]]/Tabelle4[[#This Row],[€/Packung]]</f>
        <v>0</v>
      </c>
    </row>
    <row r="12" spans="2:7" x14ac:dyDescent="0.2">
      <c r="B12" s="39" t="s">
        <v>133</v>
      </c>
      <c r="C12" s="40">
        <v>19.989999999999998</v>
      </c>
      <c r="D12" s="40">
        <f>C12/10</f>
        <v>1.9989999999999999</v>
      </c>
      <c r="E12">
        <v>0</v>
      </c>
      <c r="F12" s="40">
        <f t="shared" si="0"/>
        <v>0</v>
      </c>
      <c r="G12" s="41">
        <f>Tabelle4[[#This Row],[€ genutzt/Packung]]/Tabelle4[[#This Row],[€/Packung]]</f>
        <v>0</v>
      </c>
    </row>
    <row r="13" spans="2:7" x14ac:dyDescent="0.2">
      <c r="B13" s="39" t="s">
        <v>134</v>
      </c>
      <c r="C13" s="40">
        <v>7.99</v>
      </c>
      <c r="D13" s="40">
        <f>C13/1</f>
        <v>7.99</v>
      </c>
      <c r="E13">
        <v>0</v>
      </c>
      <c r="F13" s="40">
        <f t="shared" si="0"/>
        <v>0</v>
      </c>
      <c r="G13" s="41">
        <f>Tabelle4[[#This Row],[€ genutzt/Packung]]/Tabelle4[[#This Row],[€/Packung]]</f>
        <v>0</v>
      </c>
    </row>
    <row r="14" spans="2:7" x14ac:dyDescent="0.2">
      <c r="B14" s="39" t="s">
        <v>135</v>
      </c>
      <c r="C14" s="40">
        <v>19.989999999999998</v>
      </c>
      <c r="D14" s="40">
        <f>C14/3</f>
        <v>6.6633333333333331</v>
      </c>
      <c r="E14">
        <v>0</v>
      </c>
      <c r="F14" s="40">
        <f t="shared" si="0"/>
        <v>0</v>
      </c>
      <c r="G14" s="41">
        <f>Tabelle4[[#This Row],[€ genutzt/Packung]]/Tabelle4[[#This Row],[€/Packung]]</f>
        <v>0</v>
      </c>
    </row>
    <row r="15" spans="2:7" x14ac:dyDescent="0.2">
      <c r="B15" s="39" t="s">
        <v>136</v>
      </c>
      <c r="C15" s="40">
        <v>11.99</v>
      </c>
      <c r="D15" s="40">
        <f>C15/2</f>
        <v>5.9950000000000001</v>
      </c>
      <c r="E15">
        <v>0</v>
      </c>
      <c r="F15" s="40">
        <f t="shared" si="0"/>
        <v>0</v>
      </c>
      <c r="G15" s="41">
        <f>Tabelle4[[#This Row],[€ genutzt/Packung]]/Tabelle4[[#This Row],[€/Packung]]</f>
        <v>0</v>
      </c>
    </row>
    <row r="16" spans="2:7" x14ac:dyDescent="0.2">
      <c r="B16" s="39" t="s">
        <v>137</v>
      </c>
      <c r="C16" s="40">
        <v>19.989999999999998</v>
      </c>
      <c r="D16" s="40">
        <f>C16/20</f>
        <v>0.99949999999999994</v>
      </c>
      <c r="E16">
        <v>0</v>
      </c>
      <c r="F16" s="40">
        <f t="shared" si="0"/>
        <v>0</v>
      </c>
      <c r="G16" s="41">
        <f>Tabelle4[[#This Row],[€ genutzt/Packung]]/Tabelle4[[#This Row],[€/Packung]]</f>
        <v>0</v>
      </c>
    </row>
    <row r="17" spans="2:7" x14ac:dyDescent="0.2">
      <c r="B17" s="39" t="s">
        <v>138</v>
      </c>
      <c r="C17" s="40">
        <v>22.75</v>
      </c>
      <c r="D17" s="40">
        <f>C17/10</f>
        <v>2.2749999999999999</v>
      </c>
      <c r="E17">
        <v>12</v>
      </c>
      <c r="F17" s="40">
        <f t="shared" si="0"/>
        <v>27.299999999999997</v>
      </c>
      <c r="G17" s="41">
        <f>Tabelle4[[#This Row],[€ genutzt/Packung]]/Tabelle4[[#This Row],[€/Packung]]</f>
        <v>1.2</v>
      </c>
    </row>
    <row r="18" spans="2:7" x14ac:dyDescent="0.2">
      <c r="B18" s="9" t="s">
        <v>30</v>
      </c>
      <c r="C18" s="42">
        <f>SUM(C4:C17)</f>
        <v>217.15000000000003</v>
      </c>
      <c r="E18" s="9" t="s">
        <v>139</v>
      </c>
      <c r="F18" s="42">
        <f>SUM(F4:F17)</f>
        <v>53.41</v>
      </c>
    </row>
  </sheetData>
  <conditionalFormatting sqref="C4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2</cp:revision>
  <dcterms:created xsi:type="dcterms:W3CDTF">2019-01-10T11:20:09Z</dcterms:created>
  <dcterms:modified xsi:type="dcterms:W3CDTF">2019-01-11T19:02:26Z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