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2A4B1FBC-9725-4885-9622-7B258CE86BD8}" xr6:coauthVersionLast="40" xr6:coauthVersionMax="40" xr10:uidLastSave="{00000000-0000-0000-0000-000000000000}"/>
  <bookViews>
    <workbookView xWindow="0" yWindow="0" windowWidth="17205" windowHeight="8640" xr2:uid="{00000000-000D-0000-FFFF-FFFF00000000}"/>
  </bookViews>
  <sheets>
    <sheet name="Member" sheetId="1" r:id="rId1"/>
    <sheet name="Characteristik analy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2" l="1"/>
  <c r="H31" i="2"/>
  <c r="G31" i="2"/>
  <c r="F31" i="2"/>
  <c r="J31" i="2" s="1"/>
  <c r="H6" i="1" s="1"/>
  <c r="E31" i="2"/>
  <c r="D31" i="2"/>
  <c r="C31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I23" i="2"/>
  <c r="H23" i="2"/>
  <c r="G23" i="2"/>
  <c r="F23" i="2"/>
  <c r="E23" i="2"/>
  <c r="D23" i="2"/>
  <c r="C23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6" i="2"/>
  <c r="H6" i="2"/>
  <c r="G6" i="2"/>
  <c r="F6" i="2"/>
  <c r="E6" i="2"/>
  <c r="D6" i="2"/>
  <c r="C6" i="2"/>
  <c r="D42" i="1"/>
  <c r="I41" i="1"/>
  <c r="H41" i="1"/>
  <c r="D41" i="1"/>
  <c r="R40" i="1"/>
  <c r="N38" i="1"/>
  <c r="M38" i="1"/>
  <c r="L38" i="1"/>
  <c r="J38" i="1"/>
  <c r="I38" i="1"/>
  <c r="H38" i="1"/>
  <c r="R37" i="1"/>
  <c r="O37" i="1"/>
  <c r="R36" i="1"/>
  <c r="O36" i="1"/>
  <c r="R35" i="1"/>
  <c r="O35" i="1"/>
  <c r="R34" i="1"/>
  <c r="O34" i="1"/>
  <c r="R33" i="1"/>
  <c r="O33" i="1"/>
  <c r="R32" i="1"/>
  <c r="O32" i="1"/>
  <c r="R31" i="1"/>
  <c r="O31" i="1"/>
  <c r="R30" i="1"/>
  <c r="O30" i="1"/>
  <c r="L30" i="1"/>
  <c r="R29" i="1"/>
  <c r="O29" i="1"/>
  <c r="R28" i="1"/>
  <c r="O28" i="1"/>
  <c r="R27" i="1"/>
  <c r="O27" i="1"/>
  <c r="R26" i="1"/>
  <c r="O26" i="1"/>
  <c r="R25" i="1"/>
  <c r="O25" i="1"/>
  <c r="J25" i="1"/>
  <c r="K24" i="1"/>
  <c r="K38" i="1" s="1"/>
  <c r="R23" i="1"/>
  <c r="O23" i="1"/>
  <c r="M23" i="1"/>
  <c r="L23" i="1"/>
  <c r="K23" i="1"/>
  <c r="J23" i="1"/>
  <c r="I23" i="1"/>
  <c r="H19" i="1"/>
  <c r="G19" i="1"/>
  <c r="D19" i="1"/>
  <c r="D20" i="1" s="1"/>
  <c r="H4" i="1" s="1"/>
  <c r="F18" i="1"/>
  <c r="F17" i="1"/>
  <c r="F16" i="1"/>
  <c r="F15" i="1"/>
  <c r="F19" i="1" s="1"/>
  <c r="F14" i="1"/>
  <c r="F13" i="1"/>
  <c r="F12" i="1"/>
  <c r="J8" i="1"/>
  <c r="H7" i="1"/>
  <c r="N5" i="1"/>
  <c r="B5" i="1"/>
  <c r="N4" i="1"/>
  <c r="H2" i="1"/>
  <c r="R24" i="1" l="1"/>
  <c r="O24" i="1"/>
  <c r="O38" i="1"/>
  <c r="B6" i="1" s="1"/>
  <c r="B7" i="1" s="1"/>
  <c r="R39" i="1"/>
  <c r="I8" i="1" s="1"/>
  <c r="H5" i="1"/>
  <c r="R41" i="1"/>
  <c r="H8" i="1" s="1"/>
  <c r="H9" i="1" l="1"/>
</calcChain>
</file>

<file path=xl/sharedStrings.xml><?xml version="1.0" encoding="utf-8"?>
<sst xmlns="http://schemas.openxmlformats.org/spreadsheetml/2006/main" count="158" uniqueCount="120">
  <si>
    <t>gold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</si>
  <si>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</si>
  <si>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</si>
  <si>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</si>
  <si>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</si>
  <si>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</si>
  <si>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</si>
  <si>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</si>
  <si>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</si>
  <si>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</si>
  <si>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</si>
  <si>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</si>
  <si>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</si>
  <si>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</si>
  <si>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</si>
  <si>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</si>
  <si>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</si>
  <si>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</si>
  <si>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</si>
  <si>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</si>
  <si>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</si>
  <si>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</si>
  <si>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</si>
  <si>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</si>
  <si>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</si>
  <si>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</si>
  <si>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</si>
  <si>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</si>
  <si>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</si>
  <si>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Gesamt</t>
  </si>
  <si>
    <t>heroes</t>
  </si>
  <si>
    <t>henchmen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</si>
  <si>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</si>
  <si>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</si>
  <si>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</si>
  <si>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</si>
  <si>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</si>
  <si>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</si>
  <si>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</si>
  <si>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</si>
  <si>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</si>
  <si>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</si>
  <si>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ausrüstung gesamt</t>
  </si>
  <si>
    <t>Gruppe</t>
  </si>
  <si>
    <t>young'uns</t>
  </si>
  <si>
    <t>shootaz</t>
  </si>
  <si>
    <t>orc boss (1)</t>
  </si>
  <si>
    <t>Black Orcs</t>
  </si>
  <si>
    <t>buckler</t>
  </si>
  <si>
    <t>*</t>
  </si>
  <si>
    <t>black orks</t>
  </si>
  <si>
    <t>boyz</t>
  </si>
  <si>
    <t>young'uns upgrade</t>
  </si>
  <si>
    <t>hero</t>
  </si>
  <si>
    <t>black orcs (0-2)</t>
  </si>
  <si>
    <t>young'uns (0-2)</t>
  </si>
  <si>
    <t>troll (0-1)</t>
  </si>
  <si>
    <t>savage orcs (0-4)</t>
  </si>
  <si>
    <t>shootaz (&lt;=boyz)</t>
  </si>
  <si>
    <t>boss</t>
  </si>
  <si>
    <t>savage</t>
  </si>
  <si>
    <t>+1 enemy armour save</t>
  </si>
  <si>
    <t>cutting edge</t>
  </si>
  <si>
    <t>parry</t>
  </si>
  <si>
    <t>Heavy, Difficult to Use, S+1 (1st turn per h-t-h cc)</t>
  </si>
  <si>
    <t>Strike First, Unwiedly, Cavalery Bonus</t>
  </si>
  <si>
    <t>Two-Handed, Last strike</t>
  </si>
  <si>
    <t>save 5+ D6</t>
  </si>
  <si>
    <t>general 6+save</t>
  </si>
  <si>
    <t>Anzahl</t>
  </si>
  <si>
    <t>Magic rating</t>
  </si>
  <si>
    <t>Rout test by</t>
  </si>
  <si>
    <t>Equip rating</t>
  </si>
  <si>
    <t>Bewertung</t>
  </si>
  <si>
    <t>Warband equip rating</t>
  </si>
  <si>
    <t>heavy armor</t>
  </si>
  <si>
    <t>light armor</t>
  </si>
  <si>
    <t>helmet</t>
  </si>
  <si>
    <t>shield</t>
  </si>
  <si>
    <t>crossbow</t>
  </si>
  <si>
    <t>bow</t>
  </si>
  <si>
    <t>double-handed wapon</t>
  </si>
  <si>
    <t>spear</t>
  </si>
  <si>
    <t>choppa (morningstar)</t>
  </si>
  <si>
    <t>sword</t>
  </si>
  <si>
    <t>battle axe</t>
  </si>
  <si>
    <t>dagger 2nd</t>
  </si>
  <si>
    <t>S3</t>
  </si>
  <si>
    <t>Move or Fire S3</t>
  </si>
  <si>
    <t>save 6+ or +1</t>
  </si>
  <si>
    <t>Member rating</t>
  </si>
  <si>
    <t>deffensive rating</t>
  </si>
  <si>
    <t>offensive rating</t>
  </si>
  <si>
    <t>armor save</t>
  </si>
  <si>
    <t>weights</t>
  </si>
  <si>
    <t>armor save/g</t>
  </si>
  <si>
    <t>save 4+ D6</t>
  </si>
  <si>
    <t>bonus</t>
  </si>
  <si>
    <t>oi behave (lesser animosity)</t>
  </si>
  <si>
    <t>equip rating</t>
  </si>
  <si>
    <t>hired swords</t>
  </si>
  <si>
    <t>black ork</t>
  </si>
  <si>
    <t>wb rating</t>
  </si>
  <si>
    <t>xp</t>
  </si>
  <si>
    <t>cost</t>
  </si>
  <si>
    <t>upkeep</t>
  </si>
  <si>
    <t>amount</t>
  </si>
  <si>
    <t>beggar</t>
  </si>
  <si>
    <t>member rating</t>
  </si>
  <si>
    <t>Hired sword eq rating</t>
  </si>
  <si>
    <t>Characteristic analysis</t>
  </si>
  <si>
    <t>v1.14</t>
  </si>
  <si>
    <t>UpKeep</t>
  </si>
  <si>
    <t>Income</t>
  </si>
  <si>
    <t>up keep</t>
  </si>
  <si>
    <t>wb rating addition</t>
  </si>
  <si>
    <t>*=henchmen+young'uns</t>
  </si>
  <si>
    <t>hero=leader+black orks</t>
  </si>
  <si>
    <t>gained xp</t>
  </si>
  <si>
    <t>shooty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</si>
</sst>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\.m\.yyyy;@"/>
  </numFmts>
  <fonts count="12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8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5" fillId="0" borderId="1" xfId="0" applyFont="1" applyBorder="1"/>
    <xf numFmtId="0" fontId="0" fillId="0" borderId="0" xfId="0" applyNumberFormat="1"/>
    <xf numFmtId="0" fontId="9" fillId="0" borderId="2" xfId="0" applyFont="1" applyBorder="1"/>
    <xf numFmtId="164" fontId="1" fillId="0" borderId="0" xfId="0" applyNumberFormat="1" applyFont="1"/>
    <xf numFmtId="0" fontId="5" fillId="0" borderId="0" xfId="0" applyFont="1" applyBorder="1"/>
    <xf numFmtId="0" fontId="3" fillId="0" borderId="0" xfId="0" applyFont="1" applyBorder="1"/>
    <xf numFmtId="0" fontId="9" fillId="0" borderId="0" xfId="0" applyFont="1" applyBorder="1"/>
    <xf numFmtId="2" fontId="5" fillId="0" borderId="0" xfId="0" applyNumberFormat="1" applyFont="1"/>
    <xf numFmtId="0" fontId="1" fillId="0" borderId="0" xfId="0" applyFont="1" applyBorder="1"/>
    <xf numFmtId="0" fontId="0" fillId="0" borderId="5" xfId="0" applyFill="1" applyBorder="1"/>
    <xf numFmtId="2" fontId="2" fillId="0" borderId="0" xfId="0" applyNumberFormat="1" applyFont="1"/>
    <xf numFmtId="164" fontId="0" fillId="0" borderId="0" xfId="0" applyNumberFormat="1" applyFont="1"/>
    <xf numFmtId="164" fontId="10" fillId="0" borderId="0" xfId="0" applyNumberFormat="1" applyFont="1"/>
    <xf numFmtId="1" fontId="10" fillId="0" borderId="0" xfId="0" applyNumberFormat="1" applyFont="1" applyFill="1" applyBorder="1"/>
    <xf numFmtId="0" fontId="11" fillId="0" borderId="0" xfId="0" applyNumberFormat="1" applyFont="1" applyFill="1" applyBorder="1"/>
    <xf numFmtId="0" fontId="2" fillId="0" borderId="7" xfId="0" applyNumberFormat="1" applyFont="1" applyFill="1" applyBorder="1"/>
    <xf numFmtId="0" fontId="1" fillId="0" borderId="2" xfId="0" applyNumberFormat="1" applyFont="1" applyFill="1" applyBorder="1" applyAlignment="1" applyProtection="1"/>
    <xf numFmtId="165" fontId="5" fillId="0" borderId="3" xfId="0" applyNumberFormat="1" applyFont="1" applyFill="1" applyBorder="1"/>
    <xf numFmtId="1" fontId="5" fillId="0" borderId="0" xfId="0" applyNumberFormat="1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22:R37" totalsRowShown="0" headerRowDxfId="8" headerRowBorderDxfId="7" tableBorderDxfId="6">
  <autoFilter ref="B22:R37" xr:uid="{00000000-0009-0000-0100-000002000000}"/>
  <tableColumns count="17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5"/>
    <tableColumn id="5" xr3:uid="{00000000-0010-0000-0000-000005000000}" name="SP"/>
    <tableColumn id="6" xr3:uid="{00000000-0010-0000-0000-000006000000}" name="gold/stück"/>
    <tableColumn id="7" xr3:uid="{00000000-0010-0000-0000-000007000000}" name="boss" dataDxfId="4">
      <calculatedColumnFormula>#REF!+#REF!+#REF!+#REF!+#REF!+#REF!+#REF!</calculatedColumnFormula>
    </tableColumn>
    <tableColumn id="17" xr3:uid="{00000000-0010-0000-0000-000011000000}" name="black orks"/>
    <tableColumn id="16" xr3:uid="{00000000-0010-0000-0000-000010000000}" name="young'uns"/>
    <tableColumn id="15" xr3:uid="{00000000-0010-0000-0000-00000F000000}" name="boyz"/>
    <tableColumn id="14" xr3:uid="{00000000-0010-0000-0000-00000E000000}" name="shootaz"/>
    <tableColumn id="13" xr3:uid="{00000000-0010-0000-0000-00000D000000}" name="savage"/>
    <tableColumn id="12" xr3:uid="{00000000-0010-0000-0000-00000C000000}" name="troll"/>
    <tableColumn id="8" xr3:uid="{00000000-0010-0000-0000-000008000000}" name="kosten" dataDxfId="3">
      <calculatedColumnFormula>SUM(Tabelle2[[#This Row],[boss]:[troll]])*Tabelle2[[#This Row],[gold/stück]]</calculatedColumnFormula>
    </tableColumn>
    <tableColumn id="11" xr3:uid="{00000000-0010-0000-0000-00000B000000}" name="Gruppe" dataDxfId="2"/>
    <tableColumn id="18" xr3:uid="{00000000-0010-0000-0000-000012000000}" name="Bewertung" dataDxfId="1"/>
    <tableColumn id="19" xr3:uid="{00000000-0010-0000-0000-000013000000}" name="Warband equip rating" dataDxfId="0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15"/>
  <sheetViews>
    <sheetView tabSelected="1" zoomScaleNormal="100" workbookViewId="0">
      <selection activeCell="G42" sqref="G42"/>
    </sheetView>
  </sheetViews>
  <sheetFormatPr baseColWidth="10" defaultColWidth="10.7109375" defaultRowHeight="12.75" x14ac:dyDescent="0.2"/>
  <cols>
    <col min="1" max="1" width="10.5703125" bestFit="1" customWidth="1"/>
    <col min="2" max="2" width="20.5703125" bestFit="1" customWidth="1"/>
    <col min="3" max="3" width="12.140625" bestFit="1" customWidth="1"/>
    <col min="4" max="4" width="9.42578125" style="6" bestFit="1" customWidth="1"/>
    <col min="5" max="5" width="10.140625" customWidth="1"/>
    <col min="6" max="6" width="42.5703125" customWidth="1"/>
    <col min="7" max="7" width="18.5703125" bestFit="1" customWidth="1"/>
    <col min="8" max="8" width="12" bestFit="1" customWidth="1"/>
    <col min="9" max="9" width="24.28515625" style="6" bestFit="1" customWidth="1"/>
    <col min="10" max="10" width="13" style="6" bestFit="1" customWidth="1"/>
    <col min="11" max="11" width="8.140625" style="6" bestFit="1" customWidth="1"/>
    <col min="12" max="12" width="10.7109375" style="6" bestFit="1" customWidth="1"/>
    <col min="13" max="13" width="14.5703125" style="6" bestFit="1" customWidth="1"/>
    <col min="14" max="14" width="17.42578125" style="6" bestFit="1" customWidth="1"/>
    <col min="15" max="15" width="9.7109375" bestFit="1" customWidth="1"/>
    <col min="16" max="16" width="10.42578125" style="6" bestFit="1" customWidth="1"/>
    <col min="17" max="17" width="14.140625" style="6" bestFit="1" customWidth="1"/>
    <col min="18" max="18" width="23.28515625" bestFit="1" customWidth="1"/>
    <col min="19" max="20" width="7.42578125" bestFit="1" customWidth="1"/>
    <col min="21" max="22" width="12.42578125" bestFit="1" customWidth="1"/>
    <col min="23" max="23" width="18.28515625" bestFit="1" customWidth="1"/>
    <col min="24" max="24" width="5.7109375" style="6" bestFit="1" customWidth="1"/>
    <col min="25" max="25" width="6.85546875" style="6" bestFit="1" customWidth="1"/>
    <col min="26" max="26" width="6.7109375" style="6" bestFit="1" customWidth="1"/>
    <col min="27" max="27" width="55.85546875" style="6" bestFit="1" customWidth="1"/>
    <col min="28" max="28" width="10.7109375" bestFit="1" customWidth="1"/>
    <col min="29" max="30" width="7.42578125" bestFit="1" customWidth="1"/>
    <col min="31" max="31" width="13" bestFit="1" customWidth="1"/>
    <col min="32" max="32" width="23.85546875" bestFit="1" customWidth="1"/>
  </cols>
  <sheetData>
    <row r="2" spans="1:16" ht="18" x14ac:dyDescent="0.25">
      <c r="A2" s="8" t="s">
        <v>6</v>
      </c>
      <c r="B2" s="17" t="s">
        <v>47</v>
      </c>
      <c r="C2" s="17"/>
      <c r="D2" s="17"/>
      <c r="E2" s="19">
        <v>43445</v>
      </c>
      <c r="G2" t="s">
        <v>97</v>
      </c>
      <c r="H2" s="35">
        <f>1.25+J41*G41+J42*G42</f>
        <v>1.375</v>
      </c>
      <c r="I2" s="6" t="s">
        <v>98</v>
      </c>
    </row>
    <row r="3" spans="1:16" s="6" customFormat="1" ht="18" x14ac:dyDescent="0.25">
      <c r="A3" s="8" t="s">
        <v>111</v>
      </c>
      <c r="B3" s="8"/>
      <c r="C3" s="7"/>
      <c r="D3" s="7"/>
      <c r="E3" s="18"/>
      <c r="G3" s="33" t="s">
        <v>70</v>
      </c>
      <c r="H3" s="35">
        <v>0</v>
      </c>
      <c r="I3" s="33"/>
      <c r="M3" s="53" t="s">
        <v>113</v>
      </c>
      <c r="N3" s="53" t="s">
        <v>112</v>
      </c>
      <c r="O3" s="53" t="s">
        <v>118</v>
      </c>
    </row>
    <row r="4" spans="1:16" x14ac:dyDescent="0.2">
      <c r="G4" s="36" t="s">
        <v>40</v>
      </c>
      <c r="H4" s="35">
        <f>5*(D20)+D12*E12+D13*E13+D14*E14+D15*E15+D16*E16+D17*E17+D18*20+G41*D41+G42*D42+H19+O4</f>
        <v>144</v>
      </c>
      <c r="L4" s="54">
        <v>43422</v>
      </c>
      <c r="M4" s="6">
        <v>200</v>
      </c>
      <c r="N4" s="6">
        <f>15</f>
        <v>15</v>
      </c>
      <c r="O4">
        <v>10</v>
      </c>
    </row>
    <row r="5" spans="1:16" ht="15" x14ac:dyDescent="0.2">
      <c r="A5" s="4" t="s">
        <v>0</v>
      </c>
      <c r="B5" s="4">
        <f>500+M4</f>
        <v>700</v>
      </c>
      <c r="G5" s="33" t="s">
        <v>71</v>
      </c>
      <c r="H5" s="35">
        <f>ROUNDUP((G41+G42+D19)/4,0)</f>
        <v>4</v>
      </c>
      <c r="I5" s="33"/>
      <c r="J5" s="33"/>
      <c r="L5" s="54">
        <v>43449</v>
      </c>
      <c r="N5" s="6">
        <f>G19*D18+F41*G41+F42*G42</f>
        <v>20</v>
      </c>
    </row>
    <row r="6" spans="1:16" ht="15" x14ac:dyDescent="0.2">
      <c r="A6" s="4" t="s">
        <v>8</v>
      </c>
      <c r="B6" s="4">
        <f>F19+Member!O38+G41*E41+G42*E42+N4</f>
        <v>687</v>
      </c>
      <c r="G6" t="s">
        <v>90</v>
      </c>
      <c r="H6" s="44">
        <f>'Characteristik analyse'!J31+I41*G41+G42</f>
        <v>52.071111111111001</v>
      </c>
      <c r="I6" s="33"/>
      <c r="J6" s="33"/>
    </row>
    <row r="7" spans="1:16" x14ac:dyDescent="0.2">
      <c r="A7" s="23" t="s">
        <v>5</v>
      </c>
      <c r="B7" s="30">
        <f>B5-B6</f>
        <v>13</v>
      </c>
      <c r="G7" t="s">
        <v>109</v>
      </c>
      <c r="H7" s="55">
        <f>H41*G41</f>
        <v>0</v>
      </c>
    </row>
    <row r="8" spans="1:16" x14ac:dyDescent="0.2">
      <c r="G8" s="34" t="s">
        <v>72</v>
      </c>
      <c r="H8" s="37">
        <f>R41</f>
        <v>49</v>
      </c>
      <c r="I8" s="33">
        <f>R39</f>
        <v>42</v>
      </c>
      <c r="J8" s="33">
        <f>R40</f>
        <v>7</v>
      </c>
    </row>
    <row r="9" spans="1:16" s="6" customFormat="1" ht="15.75" x14ac:dyDescent="0.25">
      <c r="G9" s="33"/>
      <c r="H9" s="47">
        <f>(H3+H4+H7+H8)*H2*H5*H6</f>
        <v>55273.48444444433</v>
      </c>
    </row>
    <row r="10" spans="1:16" s="6" customFormat="1" x14ac:dyDescent="0.2"/>
    <row r="11" spans="1:16" x14ac:dyDescent="0.2">
      <c r="B11" s="9" t="s">
        <v>7</v>
      </c>
      <c r="C11" s="9" t="s">
        <v>9</v>
      </c>
      <c r="D11" s="9" t="s">
        <v>3</v>
      </c>
      <c r="E11" s="9" t="s">
        <v>41</v>
      </c>
      <c r="F11" s="9" t="s">
        <v>4</v>
      </c>
      <c r="G11" s="9" t="s">
        <v>114</v>
      </c>
      <c r="H11" s="9" t="s">
        <v>115</v>
      </c>
    </row>
    <row r="12" spans="1:16" x14ac:dyDescent="0.2">
      <c r="A12" s="56" t="s">
        <v>30</v>
      </c>
      <c r="B12" t="s">
        <v>46</v>
      </c>
      <c r="C12">
        <v>90</v>
      </c>
      <c r="D12" s="8">
        <v>1</v>
      </c>
      <c r="E12" s="24">
        <v>20</v>
      </c>
      <c r="F12">
        <f t="shared" ref="F12:F18" si="0">D12*C12</f>
        <v>90</v>
      </c>
      <c r="G12">
        <v>0</v>
      </c>
      <c r="H12">
        <v>10</v>
      </c>
    </row>
    <row r="13" spans="1:16" x14ac:dyDescent="0.2">
      <c r="A13" s="56"/>
      <c r="B13" t="s">
        <v>54</v>
      </c>
      <c r="C13">
        <v>60</v>
      </c>
      <c r="D13" s="8">
        <v>2</v>
      </c>
      <c r="E13" s="24">
        <v>8</v>
      </c>
      <c r="F13">
        <f t="shared" si="0"/>
        <v>120</v>
      </c>
      <c r="G13">
        <v>0</v>
      </c>
    </row>
    <row r="14" spans="1:16" x14ac:dyDescent="0.2">
      <c r="A14" s="56"/>
      <c r="B14" t="s">
        <v>55</v>
      </c>
      <c r="C14">
        <v>25</v>
      </c>
      <c r="D14" s="8">
        <v>2</v>
      </c>
      <c r="E14" s="24">
        <v>0</v>
      </c>
      <c r="F14">
        <f t="shared" si="0"/>
        <v>50</v>
      </c>
      <c r="G14">
        <v>0</v>
      </c>
    </row>
    <row r="15" spans="1:16" x14ac:dyDescent="0.2">
      <c r="A15" s="56" t="s">
        <v>31</v>
      </c>
      <c r="B15" t="s">
        <v>51</v>
      </c>
      <c r="C15">
        <v>25</v>
      </c>
      <c r="D15" s="8">
        <v>6</v>
      </c>
      <c r="E15" s="24">
        <v>0</v>
      </c>
      <c r="F15">
        <f t="shared" si="0"/>
        <v>150</v>
      </c>
      <c r="G15">
        <v>0</v>
      </c>
      <c r="P15" s="6" t="s">
        <v>119</v>
      </c>
    </row>
    <row r="16" spans="1:16" x14ac:dyDescent="0.2">
      <c r="A16" s="56"/>
      <c r="B16" t="s">
        <v>58</v>
      </c>
      <c r="C16">
        <v>25</v>
      </c>
      <c r="D16" s="8">
        <v>0</v>
      </c>
      <c r="E16" s="24">
        <v>0</v>
      </c>
      <c r="F16">
        <f t="shared" si="0"/>
        <v>0</v>
      </c>
      <c r="G16">
        <v>0</v>
      </c>
      <c r="J16" s="33"/>
      <c r="P16" s="15" t="s">
        <v>116</v>
      </c>
    </row>
    <row r="17" spans="1:18" x14ac:dyDescent="0.2">
      <c r="A17" s="56"/>
      <c r="B17" t="s">
        <v>57</v>
      </c>
      <c r="C17">
        <v>40</v>
      </c>
      <c r="D17" s="8">
        <v>0</v>
      </c>
      <c r="E17" s="24">
        <v>0</v>
      </c>
      <c r="F17">
        <f t="shared" si="0"/>
        <v>0</v>
      </c>
      <c r="G17">
        <v>0</v>
      </c>
      <c r="P17" s="15" t="s">
        <v>117</v>
      </c>
    </row>
    <row r="18" spans="1:18" x14ac:dyDescent="0.2">
      <c r="A18" s="56"/>
      <c r="B18" s="5" t="s">
        <v>56</v>
      </c>
      <c r="C18" s="5">
        <v>200</v>
      </c>
      <c r="D18" s="29">
        <v>1</v>
      </c>
      <c r="E18" s="25">
        <v>0</v>
      </c>
      <c r="F18" s="5">
        <f t="shared" si="0"/>
        <v>200</v>
      </c>
      <c r="G18">
        <v>15</v>
      </c>
    </row>
    <row r="19" spans="1:18" ht="15.75" x14ac:dyDescent="0.25">
      <c r="B19" s="13" t="s">
        <v>29</v>
      </c>
      <c r="D19" s="2">
        <f>SUM(D12:D18)</f>
        <v>12</v>
      </c>
      <c r="E19" s="6"/>
      <c r="F19" s="2">
        <f>SUM(F12:F18)</f>
        <v>610</v>
      </c>
      <c r="G19" s="52">
        <f>SUM(G12:G18)</f>
        <v>15</v>
      </c>
      <c r="H19" s="52">
        <f>SUM(H12:H18)</f>
        <v>10</v>
      </c>
    </row>
    <row r="20" spans="1:18" s="6" customFormat="1" ht="16.5" x14ac:dyDescent="0.25">
      <c r="A20" s="14"/>
      <c r="D20" s="51">
        <f>D19+SUM(G41:G45)</f>
        <v>13</v>
      </c>
      <c r="E20" s="1"/>
      <c r="H20" s="57" t="s">
        <v>69</v>
      </c>
      <c r="I20" s="57"/>
      <c r="J20" s="57"/>
      <c r="K20" s="57"/>
      <c r="L20" s="57"/>
      <c r="M20" s="57"/>
      <c r="N20" s="57"/>
    </row>
    <row r="21" spans="1:18" ht="15.75" x14ac:dyDescent="0.25">
      <c r="A21" s="2"/>
      <c r="B21" s="2"/>
      <c r="H21" s="57" t="s">
        <v>30</v>
      </c>
      <c r="I21" s="57"/>
      <c r="J21" s="57"/>
      <c r="K21" s="57" t="s">
        <v>31</v>
      </c>
      <c r="L21" s="57"/>
      <c r="M21" s="57"/>
      <c r="N21" s="57"/>
    </row>
    <row r="22" spans="1:18" s="6" customFormat="1" x14ac:dyDescent="0.2">
      <c r="B22" s="9" t="s">
        <v>42</v>
      </c>
      <c r="C22" s="16" t="s">
        <v>32</v>
      </c>
      <c r="D22" s="16" t="s">
        <v>37</v>
      </c>
      <c r="E22" s="16" t="s">
        <v>14</v>
      </c>
      <c r="F22" s="16" t="s">
        <v>38</v>
      </c>
      <c r="G22" s="9" t="s">
        <v>10</v>
      </c>
      <c r="H22" s="9" t="s">
        <v>59</v>
      </c>
      <c r="I22" s="9" t="s">
        <v>50</v>
      </c>
      <c r="J22" s="9" t="s">
        <v>44</v>
      </c>
      <c r="K22" s="9" t="s">
        <v>51</v>
      </c>
      <c r="L22" s="9" t="s">
        <v>45</v>
      </c>
      <c r="M22" s="9" t="s">
        <v>60</v>
      </c>
      <c r="N22" s="9" t="s">
        <v>1</v>
      </c>
      <c r="O22" s="9" t="s">
        <v>2</v>
      </c>
      <c r="P22" s="9" t="s">
        <v>43</v>
      </c>
      <c r="Q22" s="39" t="s">
        <v>73</v>
      </c>
      <c r="R22" s="39" t="s">
        <v>74</v>
      </c>
    </row>
    <row r="23" spans="1:18" s="33" customFormat="1" x14ac:dyDescent="0.2">
      <c r="B23" s="33" t="s">
        <v>86</v>
      </c>
      <c r="C23" s="42" t="s">
        <v>33</v>
      </c>
      <c r="D23" s="42"/>
      <c r="E23" s="42"/>
      <c r="F23" s="15" t="s">
        <v>61</v>
      </c>
      <c r="G23" s="33">
        <v>0</v>
      </c>
      <c r="H23" s="33">
        <v>1</v>
      </c>
      <c r="I23" s="33">
        <f>D13</f>
        <v>2</v>
      </c>
      <c r="J23" s="33">
        <f>D14</f>
        <v>2</v>
      </c>
      <c r="K23" s="33">
        <f>D15</f>
        <v>6</v>
      </c>
      <c r="L23" s="33">
        <f>D16</f>
        <v>0</v>
      </c>
      <c r="M23" s="33">
        <f>D17</f>
        <v>0</v>
      </c>
      <c r="N23" s="33">
        <v>0</v>
      </c>
      <c r="O23" s="33">
        <f>SUM(Tabelle2[[#This Row],[boss]:[troll]])*Tabelle2[[#This Row],[gold/stück]]</f>
        <v>0</v>
      </c>
      <c r="P23" s="41"/>
      <c r="Q23" s="38">
        <v>1</v>
      </c>
      <c r="R23" s="43">
        <f>Tabelle2[[#This Row],[Bewertung]]*SUM(Tabelle2[[#This Row],[boss]:[troll]])</f>
        <v>11</v>
      </c>
    </row>
    <row r="24" spans="1:18" s="6" customFormat="1" x14ac:dyDescent="0.2">
      <c r="B24" s="6" t="s">
        <v>86</v>
      </c>
      <c r="C24" s="6" t="s">
        <v>33</v>
      </c>
      <c r="E24" s="26"/>
      <c r="F24" s="15" t="s">
        <v>61</v>
      </c>
      <c r="G24" s="6">
        <v>2</v>
      </c>
      <c r="H24" s="6">
        <v>0</v>
      </c>
      <c r="I24" s="6">
        <v>0</v>
      </c>
      <c r="J24" s="6">
        <v>0</v>
      </c>
      <c r="K24" s="6">
        <f>D15</f>
        <v>6</v>
      </c>
      <c r="L24" s="6">
        <v>0</v>
      </c>
      <c r="M24" s="6">
        <v>0</v>
      </c>
      <c r="N24" s="6">
        <v>0</v>
      </c>
      <c r="O24" s="6">
        <f>SUM(Tabelle2[[#This Row],[boss]:[troll]])*Tabelle2[[#This Row],[gold/stück]]</f>
        <v>12</v>
      </c>
      <c r="P24" s="27" t="s">
        <v>49</v>
      </c>
      <c r="Q24" s="38">
        <v>1</v>
      </c>
      <c r="R24" s="38">
        <f>Tabelle2[[#This Row],[Bewertung]]*SUM(Tabelle2[[#This Row],[boss]:[troll]])</f>
        <v>6</v>
      </c>
    </row>
    <row r="25" spans="1:18" s="6" customFormat="1" x14ac:dyDescent="0.2">
      <c r="B25" s="6" t="s">
        <v>85</v>
      </c>
      <c r="C25" s="6" t="s">
        <v>33</v>
      </c>
      <c r="E25" s="26"/>
      <c r="F25" s="6" t="s">
        <v>62</v>
      </c>
      <c r="G25" s="6">
        <v>5</v>
      </c>
      <c r="H25" s="6">
        <v>1</v>
      </c>
      <c r="I25" s="6">
        <v>2</v>
      </c>
      <c r="J25" s="6">
        <f>D14</f>
        <v>2</v>
      </c>
      <c r="K25" s="6">
        <v>0</v>
      </c>
      <c r="L25" s="6">
        <v>0</v>
      </c>
      <c r="M25" s="6">
        <v>0</v>
      </c>
      <c r="N25" s="6">
        <v>0</v>
      </c>
      <c r="O25" s="6">
        <f>SUM(Tabelle2[[#This Row],[boss]:[troll]])*Tabelle2[[#This Row],[gold/stück]]</f>
        <v>25</v>
      </c>
      <c r="P25" s="27" t="s">
        <v>49</v>
      </c>
      <c r="Q25" s="38">
        <v>5</v>
      </c>
      <c r="R25" s="38">
        <f>Tabelle2[[#This Row],[Bewertung]]*SUM(Tabelle2[[#This Row],[boss]:[troll]])</f>
        <v>25</v>
      </c>
    </row>
    <row r="26" spans="1:18" s="6" customFormat="1" x14ac:dyDescent="0.2">
      <c r="B26" s="6" t="s">
        <v>84</v>
      </c>
      <c r="C26" s="6" t="s">
        <v>33</v>
      </c>
      <c r="E26" s="26"/>
      <c r="F26" s="6" t="s">
        <v>63</v>
      </c>
      <c r="G26" s="6">
        <v>10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f>SUM(Tabelle2[[#This Row],[boss]:[troll]])*Tabelle2[[#This Row],[gold/stück]]</f>
        <v>0</v>
      </c>
      <c r="P26" s="27" t="s">
        <v>49</v>
      </c>
      <c r="Q26" s="38">
        <v>5</v>
      </c>
      <c r="R26" s="38">
        <f>Tabelle2[[#This Row],[Bewertung]]*SUM(Tabelle2[[#This Row],[boss]:[troll]])</f>
        <v>0</v>
      </c>
    </row>
    <row r="27" spans="1:18" s="6" customFormat="1" x14ac:dyDescent="0.2">
      <c r="B27" s="6" t="s">
        <v>83</v>
      </c>
      <c r="C27" s="6" t="s">
        <v>33</v>
      </c>
      <c r="E27" s="26"/>
      <c r="F27" s="6" t="s">
        <v>64</v>
      </c>
      <c r="G27" s="6">
        <v>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33">
        <v>0</v>
      </c>
      <c r="N27" s="6">
        <v>0</v>
      </c>
      <c r="O27" s="6">
        <f>SUM(Tabelle2[[#This Row],[boss]:[troll]])*Tabelle2[[#This Row],[gold/stück]]</f>
        <v>0</v>
      </c>
      <c r="P27" s="27" t="s">
        <v>49</v>
      </c>
      <c r="Q27" s="38">
        <v>7</v>
      </c>
      <c r="R27" s="38">
        <f>Tabelle2[[#This Row],[Bewertung]]*SUM(Tabelle2[[#This Row],[boss]:[troll]])</f>
        <v>0</v>
      </c>
    </row>
    <row r="28" spans="1:18" s="6" customFormat="1" x14ac:dyDescent="0.2">
      <c r="B28" s="6" t="s">
        <v>82</v>
      </c>
      <c r="C28" s="6" t="s">
        <v>33</v>
      </c>
      <c r="E28" s="26"/>
      <c r="F28" s="6" t="s">
        <v>65</v>
      </c>
      <c r="G28" s="6">
        <v>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>SUM(Tabelle2[[#This Row],[boss]:[troll]])*Tabelle2[[#This Row],[gold/stück]]</f>
        <v>0</v>
      </c>
      <c r="P28" s="27" t="s">
        <v>49</v>
      </c>
      <c r="Q28" s="38">
        <v>5</v>
      </c>
      <c r="R28" s="38">
        <f>Tabelle2[[#This Row],[Bewertung]]*SUM(Tabelle2[[#This Row],[boss]:[troll]])</f>
        <v>0</v>
      </c>
    </row>
    <row r="29" spans="1:18" s="6" customFormat="1" x14ac:dyDescent="0.2">
      <c r="B29" s="6" t="s">
        <v>81</v>
      </c>
      <c r="C29" s="6" t="s">
        <v>33</v>
      </c>
      <c r="E29" s="26"/>
      <c r="F29" s="6" t="s">
        <v>66</v>
      </c>
      <c r="G29" s="6">
        <v>15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>SUM(Tabelle2[[#This Row],[boss]:[troll]])*Tabelle2[[#This Row],[gold/stück]]</f>
        <v>0</v>
      </c>
      <c r="P29" s="27" t="s">
        <v>49</v>
      </c>
      <c r="Q29" s="38">
        <v>7</v>
      </c>
      <c r="R29" s="38">
        <f>Tabelle2[[#This Row],[Bewertung]]*SUM(Tabelle2[[#This Row],[boss]:[troll]])</f>
        <v>0</v>
      </c>
    </row>
    <row r="30" spans="1:18" s="6" customFormat="1" x14ac:dyDescent="0.2">
      <c r="B30" s="6" t="s">
        <v>80</v>
      </c>
      <c r="C30" s="6" t="s">
        <v>35</v>
      </c>
      <c r="D30" s="6" t="s">
        <v>39</v>
      </c>
      <c r="E30" s="26"/>
      <c r="F30" s="6" t="s">
        <v>87</v>
      </c>
      <c r="G30" s="6">
        <v>10</v>
      </c>
      <c r="H30" s="6">
        <v>0</v>
      </c>
      <c r="I30" s="6">
        <v>0</v>
      </c>
      <c r="J30" s="6">
        <v>0</v>
      </c>
      <c r="K30" s="6">
        <v>0</v>
      </c>
      <c r="L30" s="6">
        <f>L23</f>
        <v>0</v>
      </c>
      <c r="M30" s="6">
        <v>0</v>
      </c>
      <c r="N30" s="6">
        <v>0</v>
      </c>
      <c r="O30" s="6">
        <f>SUM(Tabelle2[[#This Row],[boss]:[troll]])*Tabelle2[[#This Row],[gold/stück]]</f>
        <v>0</v>
      </c>
      <c r="P30" s="27" t="s">
        <v>49</v>
      </c>
      <c r="Q30" s="38">
        <v>7</v>
      </c>
      <c r="R30" s="38">
        <f>Tabelle2[[#This Row],[Bewertung]]*SUM(Tabelle2[[#This Row],[boss]:[troll]])</f>
        <v>0</v>
      </c>
    </row>
    <row r="31" spans="1:18" s="6" customFormat="1" x14ac:dyDescent="0.2">
      <c r="B31" s="6" t="s">
        <v>79</v>
      </c>
      <c r="C31" s="6" t="s">
        <v>35</v>
      </c>
      <c r="D31" s="6" t="s">
        <v>36</v>
      </c>
      <c r="E31" s="26"/>
      <c r="F31" s="6" t="s">
        <v>88</v>
      </c>
      <c r="G31" s="6">
        <v>25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f>SUM(Tabelle2[[#This Row],[boss]:[troll]])*Tabelle2[[#This Row],[gold/stück]]</f>
        <v>0</v>
      </c>
      <c r="P31" s="27" t="s">
        <v>119</v>
      </c>
      <c r="Q31" s="38">
        <v>7</v>
      </c>
      <c r="R31" s="38">
        <f>Tabelle2[[#This Row],[Bewertung]]*SUM(Tabelle2[[#This Row],[boss]:[troll]])</f>
        <v>0</v>
      </c>
    </row>
    <row r="32" spans="1:18" s="6" customFormat="1" x14ac:dyDescent="0.2">
      <c r="B32" s="6" t="s">
        <v>48</v>
      </c>
      <c r="C32" s="6" t="s">
        <v>34</v>
      </c>
      <c r="E32" s="26"/>
      <c r="F32" s="6" t="s">
        <v>63</v>
      </c>
      <c r="G32" s="6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f>SUM(Tabelle2[[#This Row],[boss]:[troll]])*Tabelle2[[#This Row],[gold/stück]]</f>
        <v>0</v>
      </c>
      <c r="P32" s="27" t="s">
        <v>53</v>
      </c>
      <c r="Q32" s="38">
        <v>5</v>
      </c>
      <c r="R32" s="38">
        <f>Tabelle2[[#This Row],[Bewertung]]*SUM(Tabelle2[[#This Row],[boss]:[troll]])</f>
        <v>0</v>
      </c>
    </row>
    <row r="33" spans="2:18" s="6" customFormat="1" x14ac:dyDescent="0.2">
      <c r="B33" s="6" t="s">
        <v>78</v>
      </c>
      <c r="C33" s="6" t="s">
        <v>34</v>
      </c>
      <c r="E33" s="26"/>
      <c r="F33" s="32" t="s">
        <v>89</v>
      </c>
      <c r="G33" s="6">
        <v>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f>SUM(Tabelle2[[#This Row],[boss]:[troll]])*Tabelle2[[#This Row],[gold/stück]]</f>
        <v>0</v>
      </c>
      <c r="P33" s="27" t="s">
        <v>49</v>
      </c>
      <c r="Q33" s="38">
        <v>5</v>
      </c>
      <c r="R33" s="38">
        <f>Tabelle2[[#This Row],[Bewertung]]*SUM(Tabelle2[[#This Row],[boss]:[troll]])</f>
        <v>0</v>
      </c>
    </row>
    <row r="34" spans="2:18" s="6" customFormat="1" x14ac:dyDescent="0.2">
      <c r="B34" s="6" t="s">
        <v>77</v>
      </c>
      <c r="C34" s="6" t="s">
        <v>34</v>
      </c>
      <c r="E34" s="26"/>
      <c r="G34" s="6">
        <v>10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>SUM(Tabelle2[[#This Row],[boss]:[troll]])*Tabelle2[[#This Row],[gold/stück]]</f>
        <v>10</v>
      </c>
      <c r="P34" s="27" t="s">
        <v>49</v>
      </c>
      <c r="Q34" s="38">
        <v>7</v>
      </c>
      <c r="R34" s="38">
        <f>Tabelle2[[#This Row],[Bewertung]]*SUM(Tabelle2[[#This Row],[boss]:[troll]])</f>
        <v>7</v>
      </c>
    </row>
    <row r="35" spans="2:18" s="6" customFormat="1" x14ac:dyDescent="0.2">
      <c r="B35" s="6" t="s">
        <v>76</v>
      </c>
      <c r="C35" s="6" t="s">
        <v>34</v>
      </c>
      <c r="E35" s="26"/>
      <c r="F35" s="6" t="s">
        <v>67</v>
      </c>
      <c r="G35" s="6">
        <v>20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SUM(Tabelle2[[#This Row],[boss]:[troll]])*Tabelle2[[#This Row],[gold/stück]]</f>
        <v>0</v>
      </c>
      <c r="P35" s="27" t="s">
        <v>49</v>
      </c>
      <c r="Q35" s="38">
        <v>5</v>
      </c>
      <c r="R35" s="38">
        <f>Tabelle2[[#This Row],[Bewertung]]*SUM(Tabelle2[[#This Row],[boss]:[troll]])</f>
        <v>0</v>
      </c>
    </row>
    <row r="36" spans="2:18" s="6" customFormat="1" x14ac:dyDescent="0.2">
      <c r="B36" s="6" t="s">
        <v>75</v>
      </c>
      <c r="C36" s="6" t="s">
        <v>34</v>
      </c>
      <c r="D36" s="15"/>
      <c r="E36" s="26"/>
      <c r="F36" s="6" t="s">
        <v>96</v>
      </c>
      <c r="G36" s="6">
        <v>50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>SUM(Tabelle2[[#This Row],[boss]:[troll]])*Tabelle2[[#This Row],[gold/stück]]</f>
        <v>0</v>
      </c>
      <c r="P36" s="27" t="s">
        <v>53</v>
      </c>
      <c r="Q36" s="38">
        <v>6</v>
      </c>
      <c r="R36" s="38">
        <f>Tabelle2[[#This Row],[Bewertung]]*SUM(Tabelle2[[#This Row],[boss]:[troll]])</f>
        <v>0</v>
      </c>
    </row>
    <row r="37" spans="2:18" s="6" customFormat="1" x14ac:dyDescent="0.2">
      <c r="B37" s="6" t="s">
        <v>52</v>
      </c>
      <c r="C37" s="6" t="s">
        <v>34</v>
      </c>
      <c r="E37" s="26"/>
      <c r="F37" s="6" t="s">
        <v>68</v>
      </c>
      <c r="G37" s="6">
        <v>10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>SUM(Tabelle2[[#This Row],[boss]:[troll]])*Tabelle2[[#This Row],[gold/stück]]</f>
        <v>0</v>
      </c>
      <c r="P37" s="27" t="s">
        <v>44</v>
      </c>
      <c r="Q37" s="38">
        <v>6</v>
      </c>
      <c r="R37" s="38">
        <f>Tabelle2[[#This Row],[Bewertung]]*SUM(Tabelle2[[#This Row],[boss]:[troll]])</f>
        <v>0</v>
      </c>
    </row>
    <row r="38" spans="2:18" s="6" customFormat="1" x14ac:dyDescent="0.2">
      <c r="H38" s="3">
        <f t="shared" ref="H38:N38" si="1">H24*$G24+H25*$G25+H26*$G26+H27*$G27+H28*$G28+H29*$G29+H30*$G30+H31*$G31+H32*$G32+H33*$G33+H34*$G34+H35*$G35+H36*$G36+H37*$G37</f>
        <v>15</v>
      </c>
      <c r="I38" s="3">
        <f t="shared" si="1"/>
        <v>10</v>
      </c>
      <c r="J38" s="3">
        <f t="shared" si="1"/>
        <v>10</v>
      </c>
      <c r="K38" s="3">
        <f t="shared" si="1"/>
        <v>12</v>
      </c>
      <c r="L38" s="3">
        <f t="shared" si="1"/>
        <v>0</v>
      </c>
      <c r="M38" s="3">
        <f t="shared" si="1"/>
        <v>0</v>
      </c>
      <c r="N38" s="3">
        <f t="shared" si="1"/>
        <v>0</v>
      </c>
      <c r="O38" s="36">
        <f>SUM(O23:O37)</f>
        <v>47</v>
      </c>
    </row>
    <row r="39" spans="2:18" s="6" customFormat="1" x14ac:dyDescent="0.2">
      <c r="Q39" s="6" t="s">
        <v>92</v>
      </c>
      <c r="R39" s="6">
        <f>SUM(R23:R31)</f>
        <v>42</v>
      </c>
    </row>
    <row r="40" spans="2:18" s="6" customFormat="1" x14ac:dyDescent="0.2">
      <c r="B40" s="1" t="s">
        <v>100</v>
      </c>
      <c r="C40" s="1" t="s">
        <v>102</v>
      </c>
      <c r="D40" s="1" t="s">
        <v>103</v>
      </c>
      <c r="E40" s="1" t="s">
        <v>104</v>
      </c>
      <c r="F40" s="1" t="s">
        <v>105</v>
      </c>
      <c r="G40" s="1" t="s">
        <v>106</v>
      </c>
      <c r="H40" s="1" t="s">
        <v>99</v>
      </c>
      <c r="I40" s="1" t="s">
        <v>108</v>
      </c>
      <c r="J40" s="1" t="s">
        <v>97</v>
      </c>
      <c r="Q40" s="6" t="s">
        <v>91</v>
      </c>
      <c r="R40" s="6">
        <f>SUM(R32:R37)</f>
        <v>7</v>
      </c>
    </row>
    <row r="41" spans="2:18" s="6" customFormat="1" x14ac:dyDescent="0.2">
      <c r="B41" s="6" t="s">
        <v>101</v>
      </c>
      <c r="C41" s="6">
        <v>15</v>
      </c>
      <c r="D41" s="6">
        <f>C41-5</f>
        <v>10</v>
      </c>
      <c r="E41" s="6">
        <v>60</v>
      </c>
      <c r="F41" s="6">
        <v>25</v>
      </c>
      <c r="G41" s="6">
        <v>0</v>
      </c>
      <c r="H41" s="6">
        <f>Q36+Q34+Q29+Q37</f>
        <v>26</v>
      </c>
      <c r="I41" s="28">
        <f>SUM('Characteristik analyse'!D19:D27)</f>
        <v>1.3</v>
      </c>
      <c r="J41" s="6">
        <v>0.5</v>
      </c>
      <c r="Q41" s="3" t="s">
        <v>99</v>
      </c>
      <c r="R41" s="6">
        <f>SUM(Tabelle2[Warband equip rating])</f>
        <v>49</v>
      </c>
    </row>
    <row r="42" spans="2:18" s="6" customFormat="1" x14ac:dyDescent="0.2">
      <c r="B42" s="6" t="s">
        <v>107</v>
      </c>
      <c r="C42" s="6">
        <v>8</v>
      </c>
      <c r="D42" s="6">
        <f>C42-5</f>
        <v>3</v>
      </c>
      <c r="E42" s="6">
        <v>15</v>
      </c>
      <c r="F42" s="6">
        <v>5</v>
      </c>
      <c r="G42" s="6">
        <v>1</v>
      </c>
      <c r="H42" s="6">
        <v>0</v>
      </c>
      <c r="I42" s="6">
        <v>0</v>
      </c>
      <c r="J42" s="6">
        <v>0.125</v>
      </c>
    </row>
    <row r="43" spans="2:18" s="6" customFormat="1" x14ac:dyDescent="0.2"/>
    <row r="44" spans="2:18" s="6" customFormat="1" x14ac:dyDescent="0.2"/>
    <row r="45" spans="2:18" s="6" customFormat="1" x14ac:dyDescent="0.2"/>
    <row r="46" spans="2:18" s="6" customFormat="1" x14ac:dyDescent="0.2"/>
    <row r="47" spans="2:18" s="6" customFormat="1" x14ac:dyDescent="0.2"/>
    <row r="48" spans="2:18" s="6" customFormat="1" x14ac:dyDescent="0.2"/>
    <row r="49" spans="16:19" s="6" customFormat="1" x14ac:dyDescent="0.2"/>
    <row r="50" spans="16:19" s="6" customFormat="1" x14ac:dyDescent="0.2">
      <c r="S50" s="1"/>
    </row>
    <row r="51" spans="16:19" s="6" customFormat="1" x14ac:dyDescent="0.2">
      <c r="S51" s="1"/>
    </row>
    <row r="52" spans="16:19" x14ac:dyDescent="0.2">
      <c r="P52" s="1"/>
    </row>
    <row r="53" spans="16:19" s="6" customFormat="1" x14ac:dyDescent="0.2"/>
    <row r="54" spans="16:19" s="6" customFormat="1" x14ac:dyDescent="0.2"/>
    <row r="55" spans="16:19" s="6" customFormat="1" x14ac:dyDescent="0.2"/>
    <row r="56" spans="16:19" s="6" customFormat="1" x14ac:dyDescent="0.2"/>
    <row r="57" spans="16:19" s="6" customFormat="1" x14ac:dyDescent="0.2"/>
    <row r="58" spans="16:19" s="6" customFormat="1" x14ac:dyDescent="0.2"/>
    <row r="59" spans="16:19" s="6" customFormat="1" x14ac:dyDescent="0.2"/>
    <row r="60" spans="16:19" s="6" customFormat="1" x14ac:dyDescent="0.2"/>
    <row r="61" spans="16:19" s="6" customFormat="1" x14ac:dyDescent="0.2"/>
    <row r="62" spans="16:19" s="6" customFormat="1" x14ac:dyDescent="0.2"/>
    <row r="63" spans="16:19" s="6" customFormat="1" x14ac:dyDescent="0.2"/>
    <row r="64" spans="16:19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108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ht="12" customHeight="1" x14ac:dyDescent="0.2"/>
  </sheetData>
  <mergeCells count="5">
    <mergeCell ref="A12:A14"/>
    <mergeCell ref="A15:A18"/>
    <mergeCell ref="H20:N20"/>
    <mergeCell ref="H21:J21"/>
    <mergeCell ref="K21:N21"/>
  </mergeCells>
  <conditionalFormatting sqref="B6">
    <cfRule type="cellIs" dxfId="12" priority="55" operator="greaterThan">
      <formula>$B$5</formula>
    </cfRule>
  </conditionalFormatting>
  <conditionalFormatting sqref="F12:F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3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cellIs" dxfId="11" priority="14" operator="greaterThan">
      <formula>0</formula>
    </cfRule>
  </conditionalFormatting>
  <conditionalFormatting sqref="H23:N37">
    <cfRule type="cellIs" dxfId="10" priority="10" operator="greaterThan">
      <formula>0</formula>
    </cfRule>
  </conditionalFormatting>
  <conditionalFormatting sqref="H23:N37">
    <cfRule type="cellIs" dxfId="9" priority="9" operator="greaterThan">
      <formula>0</formula>
    </cfRule>
  </conditionalFormatting>
  <conditionalFormatting sqref="G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1"/>
  <sheetViews>
    <sheetView zoomScaleNormal="100" workbookViewId="0">
      <selection activeCell="C42" sqref="C42"/>
    </sheetView>
  </sheetViews>
  <sheetFormatPr baseColWidth="10" defaultColWidth="10.7109375" defaultRowHeight="12.75" x14ac:dyDescent="0.2"/>
  <cols>
    <col min="2" max="2" width="12.85546875" bestFit="1" customWidth="1"/>
    <col min="3" max="3" width="12.140625" bestFit="1" customWidth="1"/>
    <col min="4" max="5" width="15" bestFit="1" customWidth="1"/>
    <col min="6" max="6" width="6.5703125" bestFit="1" customWidth="1"/>
    <col min="7" max="7" width="16.85546875" bestFit="1" customWidth="1"/>
    <col min="8" max="8" width="16.5703125" bestFit="1" customWidth="1"/>
    <col min="9" max="9" width="9.42578125" bestFit="1" customWidth="1"/>
    <col min="10" max="10" width="6.5703125" bestFit="1" customWidth="1"/>
    <col min="11" max="11" width="7.140625" bestFit="1" customWidth="1"/>
    <col min="12" max="12" width="10.5703125" bestFit="1" customWidth="1"/>
    <col min="13" max="14" width="4" bestFit="1" customWidth="1"/>
  </cols>
  <sheetData>
    <row r="2" spans="2:14" ht="15.75" x14ac:dyDescent="0.25">
      <c r="B2" s="58" t="s">
        <v>110</v>
      </c>
      <c r="C2" s="58"/>
      <c r="D2" s="58"/>
    </row>
    <row r="3" spans="2:14" s="6" customFormat="1" ht="15.75" x14ac:dyDescent="0.25">
      <c r="B3" s="31"/>
      <c r="C3" s="31"/>
      <c r="D3" s="31"/>
    </row>
    <row r="4" spans="2:14" s="6" customFormat="1" ht="15.75" x14ac:dyDescent="0.25">
      <c r="B4" s="31"/>
      <c r="C4" s="31"/>
      <c r="D4" s="31"/>
    </row>
    <row r="5" spans="2:14" ht="15.75" x14ac:dyDescent="0.25">
      <c r="C5" s="59" t="s">
        <v>30</v>
      </c>
      <c r="D5" s="59"/>
      <c r="E5" s="59"/>
      <c r="F5" s="59"/>
      <c r="G5" s="59" t="s">
        <v>31</v>
      </c>
      <c r="H5" s="59"/>
      <c r="I5" s="59"/>
      <c r="K5" s="57" t="s">
        <v>94</v>
      </c>
      <c r="L5" s="57"/>
    </row>
    <row r="6" spans="2:14" x14ac:dyDescent="0.2">
      <c r="B6" s="10"/>
      <c r="C6" s="9" t="str">
        <f>Member!B12</f>
        <v>orc boss (1)</v>
      </c>
      <c r="D6" s="9" t="str">
        <f>Member!B13</f>
        <v>black orcs (0-2)</v>
      </c>
      <c r="E6" s="9" t="str">
        <f>Member!B14</f>
        <v>young'uns (0-2)</v>
      </c>
      <c r="F6" s="9" t="str">
        <f>Member!B15</f>
        <v>boyz</v>
      </c>
      <c r="G6" s="9" t="str">
        <f>Member!B16</f>
        <v>shootaz (&lt;=boyz)</v>
      </c>
      <c r="H6" s="9" t="str">
        <f>Member!B17</f>
        <v>savage orcs (0-4)</v>
      </c>
      <c r="I6" s="9" t="str">
        <f>Member!B18</f>
        <v>troll (0-1)</v>
      </c>
      <c r="K6" s="20" t="s">
        <v>30</v>
      </c>
      <c r="L6" s="21" t="s">
        <v>31</v>
      </c>
      <c r="M6" t="s">
        <v>1</v>
      </c>
      <c r="N6">
        <v>100</v>
      </c>
    </row>
    <row r="7" spans="2:14" x14ac:dyDescent="0.2">
      <c r="B7" s="11" t="s">
        <v>11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6</v>
      </c>
      <c r="K7" s="6">
        <v>3</v>
      </c>
      <c r="L7" s="22">
        <v>3</v>
      </c>
      <c r="M7">
        <v>3</v>
      </c>
    </row>
    <row r="8" spans="2:14" x14ac:dyDescent="0.2">
      <c r="B8" s="11" t="s">
        <v>12</v>
      </c>
      <c r="C8">
        <v>4</v>
      </c>
      <c r="D8">
        <v>4</v>
      </c>
      <c r="E8">
        <v>2</v>
      </c>
      <c r="F8">
        <v>3</v>
      </c>
      <c r="G8">
        <v>3</v>
      </c>
      <c r="H8">
        <v>3</v>
      </c>
      <c r="I8">
        <v>3</v>
      </c>
      <c r="K8" s="6">
        <v>1</v>
      </c>
      <c r="L8" s="22">
        <v>1</v>
      </c>
      <c r="M8">
        <v>3</v>
      </c>
    </row>
    <row r="9" spans="2:14" x14ac:dyDescent="0.2">
      <c r="B9" s="11" t="s">
        <v>13</v>
      </c>
      <c r="C9">
        <v>4</v>
      </c>
      <c r="D9">
        <v>3</v>
      </c>
      <c r="E9">
        <v>2</v>
      </c>
      <c r="F9">
        <v>3</v>
      </c>
      <c r="G9">
        <v>3</v>
      </c>
      <c r="H9">
        <v>2</v>
      </c>
      <c r="I9">
        <v>1</v>
      </c>
      <c r="K9" s="6">
        <v>1</v>
      </c>
      <c r="L9" s="22">
        <v>1</v>
      </c>
      <c r="M9">
        <v>1</v>
      </c>
    </row>
    <row r="10" spans="2:14" x14ac:dyDescent="0.2">
      <c r="B10" s="11" t="s">
        <v>14</v>
      </c>
      <c r="C10">
        <v>4</v>
      </c>
      <c r="D10">
        <v>4</v>
      </c>
      <c r="E10">
        <v>3</v>
      </c>
      <c r="F10">
        <v>3</v>
      </c>
      <c r="G10">
        <v>3</v>
      </c>
      <c r="H10">
        <v>3</v>
      </c>
      <c r="I10">
        <v>5</v>
      </c>
      <c r="K10" s="6">
        <v>3</v>
      </c>
      <c r="L10" s="22">
        <v>3</v>
      </c>
      <c r="M10">
        <v>3</v>
      </c>
    </row>
    <row r="11" spans="2:14" x14ac:dyDescent="0.2">
      <c r="B11" s="11" t="s">
        <v>15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K11" s="6">
        <v>3</v>
      </c>
      <c r="L11" s="22">
        <v>3</v>
      </c>
      <c r="M11">
        <v>3</v>
      </c>
    </row>
    <row r="12" spans="2:14" x14ac:dyDescent="0.2">
      <c r="B12" s="11" t="s">
        <v>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3</v>
      </c>
      <c r="L12" s="22">
        <v>3</v>
      </c>
      <c r="M12">
        <v>3</v>
      </c>
    </row>
    <row r="13" spans="2:14" x14ac:dyDescent="0.2">
      <c r="B13" s="11" t="s">
        <v>17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1</v>
      </c>
      <c r="K13" s="6">
        <v>2</v>
      </c>
      <c r="L13" s="22">
        <v>2</v>
      </c>
      <c r="M13">
        <v>3</v>
      </c>
    </row>
    <row r="14" spans="2:14" x14ac:dyDescent="0.2">
      <c r="B14" s="11" t="s">
        <v>18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3</v>
      </c>
      <c r="K14" s="6">
        <v>3</v>
      </c>
      <c r="L14" s="22">
        <v>3</v>
      </c>
      <c r="M14">
        <v>1</v>
      </c>
    </row>
    <row r="15" spans="2:14" x14ac:dyDescent="0.2">
      <c r="B15" s="11" t="s">
        <v>19</v>
      </c>
      <c r="C15">
        <v>8</v>
      </c>
      <c r="D15">
        <v>7</v>
      </c>
      <c r="E15">
        <v>7</v>
      </c>
      <c r="F15">
        <v>7</v>
      </c>
      <c r="G15">
        <v>7</v>
      </c>
      <c r="H15">
        <v>5</v>
      </c>
      <c r="I15">
        <v>4</v>
      </c>
      <c r="K15" s="33">
        <v>2</v>
      </c>
      <c r="L15" s="46">
        <v>2</v>
      </c>
      <c r="M15" s="33">
        <v>1</v>
      </c>
      <c r="N15" s="33"/>
    </row>
    <row r="16" spans="2:14" s="33" customFormat="1" x14ac:dyDescent="0.2">
      <c r="B16" s="45" t="s">
        <v>93</v>
      </c>
      <c r="C16" s="33">
        <v>6</v>
      </c>
      <c r="D16" s="33">
        <v>6</v>
      </c>
      <c r="E16" s="33">
        <v>0</v>
      </c>
      <c r="F16" s="33">
        <v>0</v>
      </c>
      <c r="G16" s="33">
        <v>0</v>
      </c>
      <c r="H16" s="33">
        <v>0</v>
      </c>
      <c r="I16" s="33">
        <v>4</v>
      </c>
    </row>
    <row r="17" spans="2:12" s="33" customFormat="1" x14ac:dyDescent="0.2">
      <c r="B17" s="45"/>
      <c r="L17" s="32"/>
    </row>
    <row r="18" spans="2:12" x14ac:dyDescent="0.2">
      <c r="B18" s="6"/>
      <c r="C18" s="6"/>
      <c r="D18" s="6"/>
      <c r="E18" s="6"/>
      <c r="F18" s="6"/>
      <c r="G18" s="6"/>
      <c r="H18" s="6"/>
      <c r="I18" s="6"/>
    </row>
    <row r="19" spans="2:12" x14ac:dyDescent="0.2">
      <c r="B19" s="12" t="s">
        <v>20</v>
      </c>
      <c r="C19" s="28">
        <f t="shared" ref="C19:E26" si="0">$K7*C8/C$28</f>
        <v>0.1333333333333</v>
      </c>
      <c r="D19" s="28">
        <f t="shared" si="0"/>
        <v>0.2</v>
      </c>
      <c r="E19" s="28">
        <f t="shared" si="0"/>
        <v>0.24</v>
      </c>
      <c r="F19" s="28">
        <f t="shared" ref="F19:H27" si="1">$L7*F8/F$28</f>
        <v>0.36</v>
      </c>
      <c r="G19" s="28">
        <f t="shared" si="1"/>
        <v>0.36</v>
      </c>
      <c r="H19" s="28">
        <f t="shared" si="1"/>
        <v>0.22500000000000001</v>
      </c>
      <c r="I19" s="28">
        <f t="shared" ref="I19:I27" si="2">$N$6*$M7*I8/I$28</f>
        <v>4.5</v>
      </c>
    </row>
    <row r="20" spans="2:12" x14ac:dyDescent="0.2">
      <c r="B20" s="12" t="s">
        <v>21</v>
      </c>
      <c r="C20" s="28">
        <f t="shared" si="0"/>
        <v>4.4444444444400003E-2</v>
      </c>
      <c r="D20" s="28">
        <f t="shared" si="0"/>
        <v>0.05</v>
      </c>
      <c r="E20" s="28">
        <f t="shared" si="0"/>
        <v>0.08</v>
      </c>
      <c r="F20" s="28">
        <f t="shared" si="1"/>
        <v>0.12</v>
      </c>
      <c r="G20" s="28">
        <f t="shared" si="1"/>
        <v>0.12</v>
      </c>
      <c r="H20" s="28">
        <f t="shared" si="1"/>
        <v>0.05</v>
      </c>
      <c r="I20" s="28">
        <f t="shared" si="2"/>
        <v>1.5</v>
      </c>
    </row>
    <row r="21" spans="2:12" x14ac:dyDescent="0.2">
      <c r="B21" s="12" t="s">
        <v>22</v>
      </c>
      <c r="C21" s="28">
        <f t="shared" si="0"/>
        <v>4.4444444444400003E-2</v>
      </c>
      <c r="D21" s="28">
        <f t="shared" si="0"/>
        <v>6.66666666667E-2</v>
      </c>
      <c r="E21" s="28">
        <f t="shared" si="0"/>
        <v>0.12</v>
      </c>
      <c r="F21" s="28">
        <f t="shared" si="1"/>
        <v>0.12</v>
      </c>
      <c r="G21" s="28">
        <f t="shared" si="1"/>
        <v>0.12</v>
      </c>
      <c r="H21" s="28">
        <f t="shared" si="1"/>
        <v>7.4999999999999997E-2</v>
      </c>
      <c r="I21" s="28">
        <f t="shared" si="2"/>
        <v>2.5</v>
      </c>
    </row>
    <row r="22" spans="2:12" x14ac:dyDescent="0.2">
      <c r="B22" s="12" t="s">
        <v>23</v>
      </c>
      <c r="C22" s="28">
        <f t="shared" si="0"/>
        <v>0.1333333333333</v>
      </c>
      <c r="D22" s="28">
        <f t="shared" si="0"/>
        <v>0.2</v>
      </c>
      <c r="E22" s="28">
        <f t="shared" si="0"/>
        <v>0.48</v>
      </c>
      <c r="F22" s="28">
        <f t="shared" si="1"/>
        <v>0.48</v>
      </c>
      <c r="G22" s="28">
        <f t="shared" si="1"/>
        <v>0.48</v>
      </c>
      <c r="H22" s="28">
        <f t="shared" si="1"/>
        <v>0.3</v>
      </c>
      <c r="I22" s="28">
        <f t="shared" si="2"/>
        <v>6</v>
      </c>
    </row>
    <row r="23" spans="2:12" x14ac:dyDescent="0.2">
      <c r="B23" s="12" t="s">
        <v>24</v>
      </c>
      <c r="C23" s="28">
        <f t="shared" si="0"/>
        <v>3.3333333333299998E-2</v>
      </c>
      <c r="D23" s="28">
        <f t="shared" si="0"/>
        <v>0.05</v>
      </c>
      <c r="E23" s="28">
        <f t="shared" si="0"/>
        <v>0.12</v>
      </c>
      <c r="F23" s="28">
        <f t="shared" si="1"/>
        <v>0.12</v>
      </c>
      <c r="G23" s="28">
        <f t="shared" si="1"/>
        <v>0.12</v>
      </c>
      <c r="H23" s="28">
        <f t="shared" si="1"/>
        <v>7.4999999999999997E-2</v>
      </c>
      <c r="I23" s="28">
        <f t="shared" si="2"/>
        <v>4.5</v>
      </c>
    </row>
    <row r="24" spans="2:12" x14ac:dyDescent="0.2">
      <c r="B24" s="12" t="s">
        <v>25</v>
      </c>
      <c r="C24" s="28">
        <f t="shared" si="0"/>
        <v>0.1</v>
      </c>
      <c r="D24" s="28">
        <f t="shared" si="0"/>
        <v>0.15</v>
      </c>
      <c r="E24" s="28">
        <f t="shared" si="0"/>
        <v>0.24</v>
      </c>
      <c r="F24" s="28">
        <f t="shared" si="1"/>
        <v>0.24</v>
      </c>
      <c r="G24" s="28">
        <f t="shared" si="1"/>
        <v>0.24</v>
      </c>
      <c r="H24" s="28">
        <f t="shared" si="1"/>
        <v>0.15</v>
      </c>
      <c r="I24" s="28">
        <f t="shared" si="2"/>
        <v>1.5</v>
      </c>
    </row>
    <row r="25" spans="2:12" x14ac:dyDescent="0.2">
      <c r="B25" s="12" t="s">
        <v>26</v>
      </c>
      <c r="C25" s="28">
        <f t="shared" si="0"/>
        <v>2.2222222222200001E-2</v>
      </c>
      <c r="D25" s="28">
        <f t="shared" si="0"/>
        <v>3.3333333333299998E-2</v>
      </c>
      <c r="E25" s="28">
        <f t="shared" si="0"/>
        <v>0.08</v>
      </c>
      <c r="F25" s="28">
        <f t="shared" si="1"/>
        <v>0.08</v>
      </c>
      <c r="G25" s="28">
        <f t="shared" si="1"/>
        <v>0.08</v>
      </c>
      <c r="H25" s="28">
        <f t="shared" si="1"/>
        <v>0.1</v>
      </c>
      <c r="I25" s="28">
        <f t="shared" si="2"/>
        <v>4.5</v>
      </c>
    </row>
    <row r="26" spans="2:12" x14ac:dyDescent="0.2">
      <c r="B26" s="12" t="s">
        <v>27</v>
      </c>
      <c r="C26" s="28">
        <f t="shared" si="0"/>
        <v>0.26666666666670003</v>
      </c>
      <c r="D26" s="28">
        <f t="shared" si="0"/>
        <v>0.35</v>
      </c>
      <c r="E26" s="28">
        <f t="shared" si="0"/>
        <v>0.84</v>
      </c>
      <c r="F26" s="28">
        <f t="shared" si="1"/>
        <v>0.84</v>
      </c>
      <c r="G26" s="28">
        <f t="shared" si="1"/>
        <v>0.84</v>
      </c>
      <c r="H26" s="28">
        <f t="shared" si="1"/>
        <v>0.375</v>
      </c>
      <c r="I26" s="28">
        <f t="shared" si="2"/>
        <v>2</v>
      </c>
    </row>
    <row r="27" spans="2:12" x14ac:dyDescent="0.2">
      <c r="B27" s="12" t="s">
        <v>95</v>
      </c>
      <c r="C27" s="28">
        <f>$K15*C16/C28</f>
        <v>0.1333333333333</v>
      </c>
      <c r="D27" s="28">
        <f>$K15*D16/D28</f>
        <v>0.2</v>
      </c>
      <c r="E27" s="28">
        <f>$K15*E16/E28</f>
        <v>0</v>
      </c>
      <c r="F27" s="28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2"/>
        <v>2</v>
      </c>
      <c r="J27" s="6"/>
    </row>
    <row r="28" spans="2:12" x14ac:dyDescent="0.2">
      <c r="B28" s="13" t="s">
        <v>28</v>
      </c>
      <c r="C28" s="48">
        <f>Member!C12</f>
        <v>90</v>
      </c>
      <c r="D28" s="48">
        <f>Member!C13</f>
        <v>60</v>
      </c>
      <c r="E28" s="48">
        <f>Member!C14</f>
        <v>25</v>
      </c>
      <c r="F28" s="48">
        <f>Member!C15</f>
        <v>25</v>
      </c>
      <c r="G28" s="48">
        <f>Member!C16</f>
        <v>25</v>
      </c>
      <c r="H28" s="48">
        <f>Member!C17</f>
        <v>40</v>
      </c>
      <c r="I28" s="48">
        <f>Member!C18</f>
        <v>200</v>
      </c>
      <c r="J28" s="6"/>
    </row>
    <row r="29" spans="2:12" x14ac:dyDescent="0.2">
      <c r="C29" s="49">
        <f t="shared" ref="C29:I29" si="3">SUM(C19:C27)</f>
        <v>0.91111111111090004</v>
      </c>
      <c r="D29" s="49">
        <f t="shared" si="3"/>
        <v>1.3</v>
      </c>
      <c r="E29" s="49">
        <f t="shared" si="3"/>
        <v>2.2000000000000002</v>
      </c>
      <c r="F29" s="49">
        <f t="shared" si="3"/>
        <v>2.36</v>
      </c>
      <c r="G29" s="49">
        <f t="shared" si="3"/>
        <v>2.36</v>
      </c>
      <c r="H29" s="49">
        <f t="shared" si="3"/>
        <v>1.35</v>
      </c>
      <c r="I29" s="49">
        <f t="shared" si="3"/>
        <v>29</v>
      </c>
    </row>
    <row r="30" spans="2:12" x14ac:dyDescent="0.2">
      <c r="C30" s="50">
        <f>Member!D12</f>
        <v>1</v>
      </c>
      <c r="D30" s="50">
        <f>Member!D13</f>
        <v>2</v>
      </c>
      <c r="E30" s="50">
        <f>Member!D14</f>
        <v>2</v>
      </c>
      <c r="F30" s="50">
        <f>Member!D15</f>
        <v>6</v>
      </c>
      <c r="G30" s="50">
        <f>Member!D16</f>
        <v>0</v>
      </c>
      <c r="H30" s="50">
        <f>Member!D17</f>
        <v>0</v>
      </c>
      <c r="I30" s="50">
        <f>Member!D12</f>
        <v>1</v>
      </c>
    </row>
    <row r="31" spans="2:12" x14ac:dyDescent="0.2">
      <c r="C31" s="28">
        <f>SUM(C19:C27)*Member!$D12</f>
        <v>0.91111111111090004</v>
      </c>
      <c r="D31" s="28">
        <f>SUM(D19:D27)*Member!$D13</f>
        <v>2.6000000000001</v>
      </c>
      <c r="E31" s="28">
        <f>SUM(E19:E27)*Member!$D14</f>
        <v>4.4000000000000004</v>
      </c>
      <c r="F31" s="28">
        <f>SUM(F19:F27)*Member!$D15</f>
        <v>14.160000000000002</v>
      </c>
      <c r="G31" s="28">
        <f>SUM(G19:G27)*Member!$D16</f>
        <v>0</v>
      </c>
      <c r="H31" s="28">
        <f>SUM(H19:H27)*Member!$D17</f>
        <v>0</v>
      </c>
      <c r="I31" s="28">
        <f>SUM(I19:I27)*Member!D18</f>
        <v>29</v>
      </c>
      <c r="J31" s="40">
        <f>SUM(C31:I31)</f>
        <v>51.071111111111001</v>
      </c>
    </row>
  </sheetData>
  <mergeCells count="4">
    <mergeCell ref="B2:D2"/>
    <mergeCell ref="C5:F5"/>
    <mergeCell ref="G5:I5"/>
    <mergeCell ref="K5:L5"/>
  </mergeCells>
  <conditionalFormatting sqref="C7:I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I2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I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Member</vt:lpstr>
      <vt:lpstr>Characteristik analyse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2018-12-11T08:59:37Z</dcterms:created>
  <dcterms:modified xsi:type="dcterms:W3CDTF">2018-12-11T17:22:10Z</dcterms:modified>
</cp:coreProperties>
</file>