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klaute\Dropbox\Privat\Mordheim\kai\"/>
    </mc:Choice>
  </mc:AlternateContent>
  <xr:revisionPtr revIDLastSave="0" documentId="13_ncr:1_{A8264E49-FE5F-4208-B730-A0ABAD63F825}" xr6:coauthVersionLast="36" xr6:coauthVersionMax="36" xr10:uidLastSave="{00000000-0000-0000-0000-000000000000}"/>
  <bookViews>
    <workbookView xWindow="0" yWindow="0" windowWidth="17205" windowHeight="8640" activeTab="1" xr2:uid="{00000000-000D-0000-FFFF-FFFF00000000}"/>
  </bookViews>
  <sheets>
    <sheet name="warband detail" sheetId="5" r:id="rId1"/>
    <sheet name="cost calculation" sheetId="1" r:id="rId2"/>
    <sheet name="Characteristik analyse" sheetId="2" r:id="rId3"/>
    <sheet name="Boxen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<sst xmlns="http://schemas.openxmlformats.org/spreadsheetml/2006/main">
  <si>
    <t>gold</t>
  </si>
  <si>
    <t>axt</t>
  </si>
  <si>
    <t>schwert</t>
  </si>
  <si>
    <t>zweihänder</t>
  </si>
  <si>
    <t>armbrust</t>
  </si>
  <si>
    <t>bogen</t>
  </si>
  <si>
    <t>leichte rüstung</t>
  </si>
  <si>
    <t>helm</t>
  </si>
  <si>
    <t>schild</t>
  </si>
  <si>
    <t>dolch (+1)</t>
  </si>
  <si>
    <t>speer</t>
  </si>
  <si>
    <t>troll</t>
  </si>
  <si>
    <t>kosten</t>
  </si>
  <si>
    <t>anzahl</t>
  </si>
  <si>
    <t>summe</t>
  </si>
  <si>
    <t>zu verteilen</t>
  </si>
  <si>
    <t>Kai</t>
  </si>
  <si>
    <t>Warband</t>
  </si>
  <si>
    <t>verteilt</t>
  </si>
  <si>
    <t>Mögliche einheiten</t>
  </si>
  <si>
    <t>gold/einheit</t>
  </si>
  <si>
    <t>gold/stück</t>
  </si>
  <si>
    <t>M</t>
  </si>
  <si>
    <t>WS</t>
  </si>
  <si>
    <t>BS</t>
  </si>
  <si>
    <t>S</t>
  </si>
  <si>
    <t>T</t>
  </si>
  <si>
    <t>W</t>
  </si>
  <si>
    <t>I</t>
  </si>
  <si>
    <t>A</t>
  </si>
  <si>
    <t>Ld</t>
  </si>
  <si>
    <t>Boss</t>
  </si>
  <si>
    <t>WS/g</t>
  </si>
  <si>
    <t>BS/g</t>
  </si>
  <si>
    <t>S/g</t>
  </si>
  <si>
    <t>T/g</t>
  </si>
  <si>
    <t>W/g</t>
  </si>
  <si>
    <t>I/g</t>
  </si>
  <si>
    <t>A/g</t>
  </si>
  <si>
    <t>Ld/g</t>
  </si>
  <si>
    <t>Gold</t>
  </si>
  <si>
    <t>Characteristik Analyse</t>
  </si>
  <si>
    <t>gewichtung</t>
  </si>
  <si>
    <t>Gesamt</t>
  </si>
  <si>
    <t>€/Figur</t>
  </si>
  <si>
    <t>heroes</t>
  </si>
  <si>
    <t>henchmen</t>
  </si>
  <si>
    <t>-</t>
  </si>
  <si>
    <t>Kosten Warband</t>
  </si>
  <si>
    <t>Genutzte figuren</t>
  </si>
  <si>
    <t>€/Packung</t>
  </si>
  <si>
    <t>Orc Greatax Regiment (Kings of War)</t>
  </si>
  <si>
    <t>Typ</t>
  </si>
  <si>
    <t>cc</t>
  </si>
  <si>
    <t>armor</t>
  </si>
  <si>
    <t>mw</t>
  </si>
  <si>
    <t>30"</t>
  </si>
  <si>
    <t>Range</t>
  </si>
  <si>
    <t>SP</t>
  </si>
  <si>
    <t>24"</t>
  </si>
  <si>
    <t>Warband Rating</t>
  </si>
  <si>
    <t>Exp</t>
  </si>
  <si>
    <t>2 Orc War Drum (Kings of War)</t>
  </si>
  <si>
    <t>3 Ogre Berserker Braves (Kings of War)</t>
  </si>
  <si>
    <t>Orc Flagger (Kings of War)</t>
  </si>
  <si>
    <t>10 Orc Morax Troop (Kings of War)</t>
  </si>
  <si>
    <t>10 Orc Skulks (Kings of War)</t>
  </si>
  <si>
    <t>20 Bonesplitterz Savage Orruks (GW)</t>
  </si>
  <si>
    <t>Orc Shaman (Avatars of War)</t>
  </si>
  <si>
    <t>Orcs Troll Bruiser (Kings Of War)</t>
  </si>
  <si>
    <t>3 Goblin Speerträger (Gamezone)</t>
  </si>
  <si>
    <t>3  Fiese Schlitzer (GW)</t>
  </si>
  <si>
    <t>Nartz (Freebooters Fate)</t>
  </si>
  <si>
    <t>Goblin Hero (Gamezone)</t>
  </si>
  <si>
    <t>10 Orruks (GW)</t>
  </si>
  <si>
    <t>€ genutzt/Packung</t>
  </si>
  <si>
    <t>ausrüstung gesamt</t>
  </si>
  <si>
    <t>Prozentuale Nutzung</t>
  </si>
  <si>
    <t>wunsch</t>
  </si>
  <si>
    <t>zusatzkosten</t>
  </si>
  <si>
    <t>Gruppe</t>
  </si>
  <si>
    <t>heros</t>
  </si>
  <si>
    <t>ork boss (1)</t>
  </si>
  <si>
    <t>schamane (0-1)</t>
  </si>
  <si>
    <t>big'uns (0-3)</t>
  </si>
  <si>
    <t>goblin warrior (max 2x anz boyz)</t>
  </si>
  <si>
    <t>cave squig</t>
  </si>
  <si>
    <t>ork boy</t>
  </si>
  <si>
    <t>morgenstern</t>
  </si>
  <si>
    <t>user</t>
  </si>
  <si>
    <t>Heavy, Difficult to Use, S+1 (1st turn per h-t-h cc)</t>
  </si>
  <si>
    <t>parry</t>
  </si>
  <si>
    <t>user+2</t>
  </si>
  <si>
    <t>Two-Handed, Last strike</t>
  </si>
  <si>
    <t>hellebarde</t>
  </si>
  <si>
    <t>user+1</t>
  </si>
  <si>
    <t>Two-Handed</t>
  </si>
  <si>
    <t>wurfwaffen</t>
  </si>
  <si>
    <t>Move or Fire</t>
  </si>
  <si>
    <t>keule</t>
  </si>
  <si>
    <t>kurzbogen</t>
  </si>
  <si>
    <t>16"</t>
  </si>
  <si>
    <t>squig schubser</t>
  </si>
  <si>
    <t>12"</t>
  </si>
  <si>
    <t>ball und kette</t>
  </si>
  <si>
    <t>Two-Handed, Incredible, Force, Cumbersome, Unwieldy, Random</t>
  </si>
  <si>
    <t xml:space="preserve">Mad Cap Mushroom </t>
  </si>
  <si>
    <t>save 5+ D6</t>
  </si>
  <si>
    <t>O</t>
  </si>
  <si>
    <t>G</t>
  </si>
  <si>
    <t>OS</t>
  </si>
  <si>
    <t>OSG</t>
  </si>
  <si>
    <t>Anzahl</t>
  </si>
  <si>
    <t>schamane</t>
  </si>
  <si>
    <t>big'uns</t>
  </si>
  <si>
    <t>goblin</t>
  </si>
  <si>
    <t>squig</t>
  </si>
  <si>
    <t>boy</t>
  </si>
  <si>
    <t>Orks</t>
  </si>
  <si>
    <t>save 6+ D6</t>
  </si>
  <si>
    <t>rout test</t>
  </si>
  <si>
    <t>OG</t>
  </si>
  <si>
    <t>(schlecht) 1 .. 10 (sehr gut)</t>
  </si>
  <si>
    <t>Bewertung</t>
  </si>
  <si>
    <t>Warband Equip Rating</t>
  </si>
  <si>
    <t>Equip rating</t>
  </si>
  <si>
    <t>Orks (Boss, Bit'Uns)</t>
  </si>
  <si>
    <t>Schamane</t>
  </si>
  <si>
    <t>Goblins</t>
  </si>
  <si>
    <t>v1.6</t>
  </si>
  <si>
    <t>er off</t>
  </si>
  <si>
    <t>er deff</t>
  </si>
  <si>
    <t>er ges</t>
  </si>
  <si>
    <t>Magic rating</t>
  </si>
  <si>
    <t>Schwert</t>
  </si>
  <si>
    <t>20xp</t>
  </si>
  <si>
    <t>15xp</t>
  </si>
  <si>
    <t>10xp</t>
  </si>
  <si>
    <t>gc</t>
  </si>
  <si>
    <t>Goblin Warrior</t>
  </si>
  <si>
    <t>+1 enemy armour save / 6+ armour save</t>
  </si>
  <si>
    <t>cutting edge enemy save -1</t>
  </si>
  <si>
    <t>Strike First, Unwieldy, Cavalery Bonus</t>
  </si>
  <si>
    <t>common skill</t>
  </si>
  <si>
    <t>ork special skill</t>
  </si>
  <si>
    <t>money maker</t>
  </si>
  <si>
    <t>base cost</t>
  </si>
  <si>
    <t>exp</t>
  </si>
  <si>
    <t>Leader/Boss</t>
  </si>
  <si>
    <t>Grumlock 'n Gazbag</t>
  </si>
  <si>
    <t>Far-Sight</t>
  </si>
  <si>
    <t>da cunnin' plan</t>
  </si>
  <si>
    <t>'eadbasher</t>
  </si>
  <si>
    <t>3x</t>
  </si>
  <si>
    <t>well 'ard</t>
  </si>
  <si>
    <t>dagger</t>
  </si>
  <si>
    <t>spear</t>
  </si>
  <si>
    <t>shield</t>
  </si>
  <si>
    <t>sword</t>
  </si>
  <si>
    <t>dirty fighter=bite</t>
  </si>
  <si>
    <t>light armor</t>
  </si>
  <si>
    <t>warband rating addition</t>
  </si>
  <si>
    <t>dirty fighter=bite
dirty fighter=bite
musician=minstrel</t>
  </si>
  <si>
    <t>Gurnch</t>
  </si>
  <si>
    <t>Woggah</t>
  </si>
  <si>
    <t>Higgz / Snotz / Roddz</t>
  </si>
  <si>
    <t>Grommok</t>
  </si>
  <si>
    <t>Karhag</t>
  </si>
  <si>
    <t>Big'Un</t>
  </si>
  <si>
    <t>Shaman</t>
  </si>
  <si>
    <t>&gt;61gc</t>
  </si>
  <si>
    <t>Ug'lash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</si>
</sst>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0.000"/>
  </numFmts>
  <fonts count="1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sz val="14"/>
      <color theme="1"/>
      <name val="Arial"/>
      <family val="2"/>
    </font>
    <font>
      <sz val="10"/>
      <color theme="9" tint="-0.249977111117893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1"/>
      <color rgb="FF000000"/>
      <name val="Palatino Linotype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0" xfId="0"/>
    <xf numFmtId="0" fontId="0" fillId="2" borderId="0" xfId="0" applyFill="1" applyAlignment="1">
      <alignment wrapText="1"/>
    </xf>
    <xf numFmtId="8" fontId="0" fillId="0" borderId="0" xfId="0" applyNumberFormat="1"/>
    <xf numFmtId="8" fontId="1" fillId="0" borderId="0" xfId="0" applyNumberFormat="1" applyFont="1"/>
    <xf numFmtId="0" fontId="5" fillId="0" borderId="0" xfId="0" applyFont="1"/>
    <xf numFmtId="0" fontId="0" fillId="0" borderId="0" xfId="0" applyFont="1"/>
    <xf numFmtId="0" fontId="5" fillId="0" borderId="2" xfId="0" applyFont="1" applyBorder="1"/>
    <xf numFmtId="0" fontId="0" fillId="0" borderId="4" xfId="0" applyBorder="1"/>
    <xf numFmtId="0" fontId="1" fillId="0" borderId="3" xfId="0" applyFont="1" applyBorder="1"/>
    <xf numFmtId="0" fontId="1" fillId="0" borderId="3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quotePrefix="1"/>
    <xf numFmtId="0" fontId="3" fillId="0" borderId="2" xfId="0" applyFont="1" applyBorder="1"/>
    <xf numFmtId="0" fontId="6" fillId="0" borderId="0" xfId="0" applyFont="1"/>
    <xf numFmtId="14" fontId="6" fillId="0" borderId="0" xfId="0" applyNumberFormat="1" applyFont="1"/>
    <xf numFmtId="14" fontId="0" fillId="0" borderId="0" xfId="0" applyNumberFormat="1" applyFont="1"/>
    <xf numFmtId="0" fontId="1" fillId="0" borderId="2" xfId="0" applyFont="1" applyBorder="1"/>
    <xf numFmtId="0" fontId="1" fillId="0" borderId="6" xfId="0" applyFont="1" applyBorder="1"/>
    <xf numFmtId="0" fontId="0" fillId="0" borderId="5" xfId="0" applyBorder="1"/>
    <xf numFmtId="0" fontId="7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8" fillId="0" borderId="0" xfId="0" applyFont="1" applyFill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9" fillId="0" borderId="0" xfId="0" applyFont="1"/>
    <xf numFmtId="0" fontId="5" fillId="0" borderId="1" xfId="0" applyFont="1" applyBorder="1"/>
    <xf numFmtId="0" fontId="10" fillId="0" borderId="0" xfId="0" applyNumberFormat="1" applyFont="1" applyFill="1" applyBorder="1"/>
    <xf numFmtId="0" fontId="8" fillId="0" borderId="0" xfId="0" applyNumberFormat="1" applyFont="1" applyFill="1" applyBorder="1"/>
    <xf numFmtId="0" fontId="13" fillId="0" borderId="0" xfId="0" quotePrefix="1" applyNumberFormat="1" applyFont="1" applyFill="1" applyBorder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3" fillId="0" borderId="0" xfId="0" applyFont="1" applyAlignment="1">
      <alignment horizontal="right"/>
    </xf>
    <xf numFmtId="0" fontId="10" fillId="0" borderId="0" xfId="0" applyNumberFormat="1" applyFont="1" applyFill="1" applyBorder="1" applyAlignment="1">
      <alignment horizontal="right"/>
    </xf>
    <xf numFmtId="0" fontId="13" fillId="0" borderId="0" xfId="0" quotePrefix="1" applyNumberFormat="1" applyFont="1" applyFill="1" applyBorder="1" applyAlignment="1">
      <alignment horizontal="right"/>
    </xf>
    <xf numFmtId="0" fontId="11" fillId="0" borderId="0" xfId="0" applyNumberFormat="1" applyFont="1" applyFill="1" applyBorder="1" applyAlignment="1">
      <alignment horizontal="right"/>
    </xf>
    <xf numFmtId="0" fontId="12" fillId="0" borderId="0" xfId="0" applyNumberFormat="1" applyFont="1" applyFill="1" applyBorder="1" applyAlignment="1">
      <alignment horizontal="right"/>
    </xf>
    <xf numFmtId="0" fontId="8" fillId="0" borderId="0" xfId="0" quotePrefix="1" applyNumberFormat="1" applyFont="1" applyFill="1" applyBorder="1" applyAlignment="1">
      <alignment horizontal="right"/>
    </xf>
    <xf numFmtId="0" fontId="10" fillId="0" borderId="2" xfId="0" applyNumberFormat="1" applyFont="1" applyFill="1" applyBorder="1"/>
    <xf numFmtId="0" fontId="10" fillId="0" borderId="2" xfId="0" applyNumberFormat="1" applyFont="1" applyFill="1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Alignment="1">
      <alignment vertical="center"/>
    </xf>
    <xf numFmtId="0" fontId="14" fillId="0" borderId="2" xfId="0" applyFont="1" applyBorder="1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30">
    <dxf>
      <numFmt numFmtId="14" formatCode="0.00%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fill>
        <patternFill patternType="solid">
          <fgColor indexed="64"/>
          <bgColor rgb="FFFFC000"/>
        </patternFill>
      </fill>
      <alignment horizontal="general" vertical="bottom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double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C21:U39" totalsRowShown="0" headerRowDxfId="22" headerRowBorderDxfId="21" tableBorderDxfId="20">
  <autoFilter ref="C21:U39" xr:uid="{00000000-0009-0000-0100-000002000000}"/>
  <tableColumns count="19">
    <tableColumn id="1" xr3:uid="{00000000-0010-0000-0000-000001000000}" name="ausrüstung gesamt"/>
    <tableColumn id="2" xr3:uid="{00000000-0010-0000-0000-000002000000}" name="Typ"/>
    <tableColumn id="3" xr3:uid="{00000000-0010-0000-0000-000003000000}" name="Range"/>
    <tableColumn id="4" xr3:uid="{00000000-0010-0000-0000-000004000000}" name="S" dataDxfId="19"/>
    <tableColumn id="5" xr3:uid="{00000000-0010-0000-0000-000005000000}" name="SP"/>
    <tableColumn id="6" xr3:uid="{00000000-0010-0000-0000-000006000000}" name="gold/stück"/>
    <tableColumn id="7" xr3:uid="{00000000-0010-0000-0000-000007000000}" name="Boss" dataDxfId="18">
      <calculatedColumnFormula>#REF!+#REF!+#REF!+#REF!+#REF!+#REF!+#REF!</calculatedColumnFormula>
    </tableColumn>
    <tableColumn id="17" xr3:uid="{00000000-0010-0000-0000-000011000000}" name="schamane" dataDxfId="17"/>
    <tableColumn id="16" xr3:uid="{00000000-0010-0000-0000-000010000000}" name="big'uns" dataDxfId="16"/>
    <tableColumn id="15" xr3:uid="{00000000-0010-0000-0000-00000F000000}" name="goblin" dataDxfId="15"/>
    <tableColumn id="14" xr3:uid="{00000000-0010-0000-0000-00000E000000}" name="squig" dataDxfId="14"/>
    <tableColumn id="13" xr3:uid="{00000000-0010-0000-0000-00000D000000}" name="boy" dataDxfId="13"/>
    <tableColumn id="12" xr3:uid="{00000000-0010-0000-0000-00000C000000}" name="troll" dataDxfId="12"/>
    <tableColumn id="8" xr3:uid="{00000000-0010-0000-0000-000008000000}" name="kosten" dataDxfId="11">
      <calculatedColumnFormula>SUM(Tabelle2[[#This Row],[Boss]:[troll]])*Tabelle2[[#This Row],[gold/stück]]</calculatedColumnFormula>
    </tableColumn>
    <tableColumn id="9" xr3:uid="{00000000-0010-0000-0000-000009000000}" name="wunsch" dataDxfId="10">
      <calculatedColumnFormula>#REF!+#REF!+#REF!+#REF!+#REF!+#REF!+#REF!</calculatedColumnFormula>
    </tableColumn>
    <tableColumn id="10" xr3:uid="{00000000-0010-0000-0000-00000A000000}" name="zusatzkosten" dataDxfId="9">
      <calculatedColumnFormula>Tabelle2[[#This Row],[gold/stück]]*Tabelle2[[#This Row],[wunsch]]</calculatedColumnFormula>
    </tableColumn>
    <tableColumn id="11" xr3:uid="{00000000-0010-0000-0000-00000B000000}" name="Gruppe" dataDxfId="8"/>
    <tableColumn id="18" xr3:uid="{00000000-0010-0000-0000-000012000000}" name="Bewertung" dataDxfId="7"/>
    <tableColumn id="19" xr3:uid="{00000000-0010-0000-0000-000013000000}" name="Warband Equip Rating" dataDxfId="6">
      <calculatedColumnFormula>Tabelle2[[#This Row],[Bewertung]]*SUM(Tabelle2[[#This Row],[Boss]:[troll]])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B3:G17" totalsRowShown="0" headerRowDxfId="5">
  <autoFilter ref="B3:G17" xr:uid="{00000000-0009-0000-0100-000004000000}"/>
  <tableColumns count="6">
    <tableColumn id="1" xr3:uid="{00000000-0010-0000-0100-000001000000}" name="Mögliche einheiten" dataDxfId="4"/>
    <tableColumn id="2" xr3:uid="{00000000-0010-0000-0100-000002000000}" name="€/Packung" dataDxfId="3"/>
    <tableColumn id="4" xr3:uid="{00000000-0010-0000-0100-000004000000}" name="€/Figur" dataDxfId="2"/>
    <tableColumn id="5" xr3:uid="{00000000-0010-0000-0100-000005000000}" name="Genutzte figuren"/>
    <tableColumn id="6" xr3:uid="{00000000-0010-0000-0100-000006000000}" name="€ genutzt/Packung" dataDxfId="1">
      <calculatedColumnFormula>E4*D4</calculatedColumnFormula>
    </tableColumn>
    <tableColumn id="7" xr3:uid="{00000000-0010-0000-0100-000007000000}" name="Prozentuale Nutzung" dataDxfId="0">
      <calculatedColumnFormula>Tabelle4[[#This Row],[€ genutzt/Packung]]/Tabelle4[[#This Row],[€/Packung]]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1.xml"/></Relationships>
</file>

<file path=xl/worksheets/_rels/sheet3.xml.rels>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6"/>
  <sheetViews>
    <sheetView topLeftCell="A10" zoomScale="85" zoomScaleNormal="85" workbookViewId="0">
      <selection activeCell="C67" sqref="C67"/>
    </sheetView>
  </sheetViews>
  <sheetFormatPr baseColWidth="10" defaultColWidth="9.140625" defaultRowHeight="12.75" x14ac:dyDescent="0.2"/>
  <cols>
    <col min="1" max="1" width="3" bestFit="1" customWidth="1"/>
    <col min="2" max="2" width="20.140625" bestFit="1" customWidth="1"/>
    <col min="3" max="3" width="22.28515625" style="42" bestFit="1" customWidth="1"/>
    <col min="4" max="4" width="16.28515625" bestFit="1" customWidth="1"/>
  </cols>
  <sheetData>
    <row r="1" customFormat="1" s="6">
      <c r="C1" s="42"/>
    </row>
    <row r="2" ht="17">
      <c r="B2" s="23" t="s">
        <v>148</v>
      </c>
      <c r="C2" s="56" t="s">
        <v>149</v>
      </c>
    </row>
    <row r="3" customFormat="1" s="6">
      <c r="B3" s="6" t="s">
        <v>146</v>
      </c>
      <c r="C3" s="42">
        <v>80</v>
      </c>
      <c r="E3" s="18"/>
    </row>
    <row r="4" customFormat="1" s="6">
      <c r="B4" s="6" t="s">
        <v>147</v>
      </c>
      <c r="C4" s="42" t="s">
        <v>135</v>
      </c>
      <c r="E4" s="18"/>
    </row>
    <row r="5" customFormat="1" s="6">
      <c r="B5" s="6" t="s">
        <v>161</v>
      </c>
      <c r="C5" s="43">
        <v>5</v>
      </c>
      <c r="D5" s="6" t="s">
        <v>170</v>
      </c>
      <c r="E5" s="18"/>
    </row>
    <row r="6" customFormat="1" s="6">
      <c r="B6" s="6" t="s">
        <v>144</v>
      </c>
      <c r="C6" s="42" t="s">
        <v>151</v>
      </c>
      <c r="E6" s="18"/>
    </row>
    <row r="7" customFormat="1" s="6">
      <c r="B7" s="6" t="s">
        <v>143</v>
      </c>
      <c r="C7" s="42" t="s">
        <v>145</v>
      </c>
      <c r="E7" s="18"/>
    </row>
    <row r="8">
      <c r="B8" s="6" t="s">
        <v>3</v>
      </c>
      <c r="C8" s="42">
        <f>'cost calculation'!H26</f>
        <v>15</v>
      </c>
      <c r="D8" s="6"/>
      <c r="E8" s="6"/>
      <c r="F8" s="4"/>
    </row>
    <row r="9">
      <c r="A9" s="39"/>
      <c r="B9" s="6" t="s">
        <v>8</v>
      </c>
      <c r="C9" s="42">
        <v>5</v>
      </c>
      <c r="D9" s="6"/>
      <c r="E9" s="6"/>
    </row>
    <row r="10">
      <c r="A10" s="39"/>
      <c r="B10" s="6" t="s">
        <v>160</v>
      </c>
      <c r="C10" s="44">
        <v>20</v>
      </c>
      <c r="D10" s="6"/>
      <c r="E10" s="6"/>
    </row>
    <row r="11">
      <c r="A11" s="39"/>
      <c r="B11" s="52" t="s">
        <v>7</v>
      </c>
      <c r="C11" s="53">
        <v>10</v>
      </c>
      <c r="D11" s="6"/>
      <c r="E11" s="6"/>
    </row>
    <row r="12" customFormat="1" s="6">
      <c r="A12" s="39"/>
      <c r="C12" s="44">
        <f>SUM(C2:C11)</f>
        <v>135</v>
      </c>
      <c r="D12" s="6" t="s">
        <v>138</v>
      </c>
    </row>
    <row r="13">
      <c r="A13" s="39"/>
    </row>
    <row r="14" customFormat="1" s="6">
      <c r="A14" s="39"/>
      <c r="C14" s="42"/>
    </row>
    <row r="15" ht="17" customFormat="1" s="6">
      <c r="A15" s="39"/>
      <c r="B15" s="12" t="s">
        <v>168</v>
      </c>
      <c r="C15" s="56" t="s">
        <v>166</v>
      </c>
    </row>
    <row r="16" customFormat="1" s="6">
      <c r="A16" s="39"/>
      <c r="B16" s="6" t="s">
        <v>146</v>
      </c>
      <c r="C16" s="45">
        <v>40</v>
      </c>
      <c r="E16" s="41"/>
    </row>
    <row r="17" customFormat="1" s="6">
      <c r="A17" s="39"/>
      <c r="B17" s="6" t="s">
        <v>147</v>
      </c>
      <c r="C17" s="42" t="s">
        <v>136</v>
      </c>
      <c r="E17" s="41"/>
    </row>
    <row r="18" customFormat="1" s="6">
      <c r="A18" s="39"/>
      <c r="B18" s="6" t="s">
        <v>161</v>
      </c>
      <c r="C18" s="46">
        <v>0</v>
      </c>
      <c r="E18" s="41"/>
    </row>
    <row r="19" customFormat="1" s="6">
      <c r="A19" s="39"/>
      <c r="B19" s="6" t="s">
        <v>144</v>
      </c>
      <c r="C19" s="49" t="s">
        <v>152</v>
      </c>
      <c r="E19" s="41"/>
    </row>
    <row r="20" customFormat="1" s="6">
      <c r="A20" s="39"/>
      <c r="B20" s="6" t="s">
        <v>143</v>
      </c>
      <c r="C20" s="42" t="s">
        <v>145</v>
      </c>
      <c r="E20" s="41"/>
    </row>
    <row r="21">
      <c r="A21" s="39"/>
      <c r="B21" s="40" t="s">
        <v>3</v>
      </c>
      <c r="C21" s="45">
        <v>15</v>
      </c>
    </row>
    <row r="22">
      <c r="A22" s="39"/>
      <c r="B22" s="40" t="s">
        <v>8</v>
      </c>
      <c r="C22" s="45">
        <v>5</v>
      </c>
      <c r="D22" s="6"/>
      <c r="E22" s="6"/>
    </row>
    <row r="23">
      <c r="A23" s="39"/>
      <c r="B23" s="50" t="s">
        <v>6</v>
      </c>
      <c r="C23" s="51">
        <v>20</v>
      </c>
    </row>
    <row r="24">
      <c r="A24" s="39"/>
      <c r="B24" s="39"/>
      <c r="C24" s="47">
        <f>SUM(C16:C23)</f>
        <v>80</v>
      </c>
      <c r="D24" s="6" t="s">
        <v>138</v>
      </c>
      <c r="E24" s="6"/>
    </row>
    <row r="25">
      <c r="A25" s="39"/>
      <c r="B25" s="39"/>
      <c r="C25" s="45"/>
      <c r="D25" s="6"/>
      <c r="E25" s="6"/>
    </row>
    <row r="26" customFormat="1" s="6">
      <c r="A26" s="39"/>
      <c r="B26" s="39"/>
      <c r="C26" s="45"/>
    </row>
    <row r="27" ht="17" customFormat="1" s="6">
      <c r="A27" s="39"/>
      <c r="B27" s="12" t="s">
        <v>168</v>
      </c>
      <c r="C27" s="56" t="s">
        <v>167</v>
      </c>
    </row>
    <row r="28" customFormat="1" s="6">
      <c r="A28" s="39"/>
      <c r="B28" s="6" t="s">
        <v>146</v>
      </c>
      <c r="C28" s="48">
        <v>40</v>
      </c>
      <c r="E28" s="18"/>
    </row>
    <row r="29" customFormat="1" s="6">
      <c r="A29" s="39"/>
      <c r="B29" s="6" t="s">
        <v>147</v>
      </c>
      <c r="C29" s="42" t="s">
        <v>136</v>
      </c>
      <c r="E29" s="18"/>
    </row>
    <row r="30" customFormat="1" s="6">
      <c r="A30" s="39"/>
      <c r="B30" s="6" t="s">
        <v>161</v>
      </c>
      <c r="C30" s="43">
        <v>0</v>
      </c>
      <c r="E30" s="18"/>
    </row>
    <row r="31" customFormat="1" s="6">
      <c r="A31" s="39"/>
      <c r="B31" s="6" t="s">
        <v>144</v>
      </c>
      <c r="C31" s="49" t="s">
        <v>152</v>
      </c>
      <c r="E31" s="18"/>
    </row>
    <row r="32" customFormat="1" s="6">
      <c r="A32" s="39"/>
      <c r="B32" s="6" t="s">
        <v>143</v>
      </c>
      <c r="C32" s="42" t="s">
        <v>145</v>
      </c>
      <c r="E32" s="18"/>
    </row>
    <row r="33">
      <c r="B33" s="39" t="s">
        <v>1</v>
      </c>
      <c r="C33" s="45">
        <v>5</v>
      </c>
    </row>
    <row r="34">
      <c r="B34" s="39" t="s">
        <v>2</v>
      </c>
      <c r="C34" s="45">
        <v>10</v>
      </c>
    </row>
    <row r="35">
      <c r="B35" s="50" t="s">
        <v>6</v>
      </c>
      <c r="C35" s="51">
        <v>20</v>
      </c>
    </row>
    <row r="36">
      <c r="B36" s="39"/>
      <c r="C36" s="47">
        <f>SUM(C28:C35)</f>
        <v>75</v>
      </c>
      <c r="D36" s="6" t="s">
        <v>138</v>
      </c>
      <c r="E36" s="6"/>
    </row>
    <row r="37">
      <c r="B37" s="39"/>
      <c r="C37" s="45"/>
      <c r="D37" s="6"/>
      <c r="E37" s="6"/>
    </row>
    <row r="38" customFormat="1" s="6">
      <c r="C38" s="42"/>
    </row>
    <row r="39" ht="17" customFormat="1" s="6">
      <c r="B39" s="23" t="s">
        <v>168</v>
      </c>
      <c r="C39" s="56" t="s">
        <v>171</v>
      </c>
    </row>
    <row r="40" customFormat="1" s="6">
      <c r="B40" s="6" t="s">
        <v>146</v>
      </c>
      <c r="C40" s="42">
        <v>40</v>
      </c>
      <c r="E40" s="18"/>
    </row>
    <row r="41" customFormat="1" s="6">
      <c r="B41" s="6" t="s">
        <v>147</v>
      </c>
      <c r="C41" s="42" t="s">
        <v>136</v>
      </c>
      <c r="E41" s="18"/>
    </row>
    <row r="42" customFormat="1" s="6">
      <c r="B42" s="6" t="s">
        <v>161</v>
      </c>
      <c r="C42" s="43">
        <v>0</v>
      </c>
      <c r="E42" s="18"/>
    </row>
    <row r="43" customFormat="1" s="6">
      <c r="B43" s="6" t="s">
        <v>144</v>
      </c>
      <c r="C43" s="49" t="s">
        <v>152</v>
      </c>
      <c r="E43" s="18"/>
    </row>
    <row r="44" customFormat="1" s="6">
      <c r="B44" s="6" t="s">
        <v>143</v>
      </c>
      <c r="C44" s="42" t="s">
        <v>145</v>
      </c>
      <c r="E44" s="18"/>
    </row>
    <row r="45">
      <c r="B45" t="s">
        <v>1</v>
      </c>
      <c r="C45" s="42">
        <f>'cost calculation'!H23</f>
        <v>5</v>
      </c>
    </row>
    <row r="46">
      <c r="B46" t="s">
        <v>134</v>
      </c>
      <c r="C46" s="42">
        <f>'cost calculation'!H25</f>
        <v>10</v>
      </c>
    </row>
    <row r="47">
      <c r="B47" s="52" t="s">
        <v>6</v>
      </c>
      <c r="C47" s="53">
        <f>'cost calculation'!H37</f>
        <v>20</v>
      </c>
    </row>
    <row r="48">
      <c r="B48" s="6"/>
      <c r="C48" s="44">
        <f>SUM(C40:C47)</f>
        <v>75</v>
      </c>
      <c r="D48" s="6" t="s">
        <v>138</v>
      </c>
      <c r="E48" s="6"/>
    </row>
    <row r="49" customFormat="1" s="6">
      <c r="C49" s="42"/>
    </row>
    <row r="50" customFormat="1" s="6">
      <c r="C50" s="42"/>
    </row>
    <row r="51" ht="17">
      <c r="B51" s="23" t="s">
        <v>169</v>
      </c>
      <c r="C51" s="56" t="s">
        <v>164</v>
      </c>
    </row>
    <row r="52" customFormat="1" s="6">
      <c r="B52" s="6" t="s">
        <v>146</v>
      </c>
      <c r="C52" s="42">
        <v>40</v>
      </c>
    </row>
    <row r="53" customFormat="1" s="6">
      <c r="B53" s="6" t="s">
        <v>147</v>
      </c>
      <c r="C53" s="42" t="s">
        <v>137</v>
      </c>
    </row>
    <row r="54" customFormat="1" s="6">
      <c r="B54" s="6" t="s">
        <v>161</v>
      </c>
      <c r="C54" s="42">
        <v>0</v>
      </c>
    </row>
    <row r="55" customFormat="1" s="6">
      <c r="B55" s="6" t="s">
        <v>144</v>
      </c>
      <c r="C55" s="42" t="s">
        <v>154</v>
      </c>
    </row>
    <row r="56" customFormat="1" s="6">
      <c r="B56" s="52" t="s">
        <v>143</v>
      </c>
      <c r="C56" s="53" t="s">
        <v>150</v>
      </c>
    </row>
    <row r="57">
      <c r="C57" s="44">
        <f>C52</f>
        <v>40</v>
      </c>
      <c r="D57" t="s">
        <v>138</v>
      </c>
    </row>
    <row r="58">
      <c r="B58" s="6"/>
      <c r="D58" s="6"/>
      <c r="E58" s="6"/>
    </row>
    <row r="60" ht="17">
      <c r="A60" t="s">
        <v>153</v>
      </c>
      <c r="B60" s="23" t="s">
        <v>139</v>
      </c>
      <c r="C60" s="56" t="s">
        <v>165</v>
      </c>
    </row>
    <row r="61" customFormat="1" s="6">
      <c r="B61" s="6" t="s">
        <v>146</v>
      </c>
      <c r="C61" s="42">
        <v>15</v>
      </c>
    </row>
    <row r="62" customFormat="1" s="6">
      <c r="B62" s="6" t="s">
        <v>147</v>
      </c>
      <c r="C62" s="42">
        <v>0</v>
      </c>
    </row>
    <row r="63" customFormat="1" s="6">
      <c r="B63" s="6" t="s">
        <v>144</v>
      </c>
      <c r="C63" s="42" t="s">
        <v>47</v>
      </c>
    </row>
    <row r="64" ht="38" customFormat="1" s="6">
      <c r="B64" s="55" t="s">
        <v>143</v>
      </c>
      <c r="C64" s="54" t="s">
        <v>162</v>
      </c>
    </row>
    <row r="65">
      <c r="B65" t="s">
        <v>156</v>
      </c>
      <c r="C65" s="42">
        <v>5</v>
      </c>
    </row>
    <row r="66">
      <c r="B66" s="52" t="s">
        <v>157</v>
      </c>
      <c r="C66" s="53">
        <v>5</v>
      </c>
    </row>
    <row r="67">
      <c r="C67" s="44">
        <f>SUM(C61:C66)</f>
        <v>25</v>
      </c>
      <c r="D67" t="s">
        <v>138</v>
      </c>
    </row>
    <row r="69" ht="17">
      <c r="B69" s="23" t="s">
        <v>139</v>
      </c>
      <c r="C69" s="56" t="s">
        <v>163</v>
      </c>
    </row>
    <row r="70" customFormat="1" s="6">
      <c r="B70" s="6" t="s">
        <v>146</v>
      </c>
      <c r="C70" s="42">
        <v>15</v>
      </c>
    </row>
    <row r="71" customFormat="1" s="6">
      <c r="B71" s="6" t="s">
        <v>147</v>
      </c>
      <c r="C71" s="42">
        <v>0</v>
      </c>
    </row>
    <row r="72" customFormat="1" s="6">
      <c r="B72" s="6" t="s">
        <v>144</v>
      </c>
      <c r="C72" s="42" t="s">
        <v>47</v>
      </c>
    </row>
    <row r="73">
      <c r="B73" s="6" t="s">
        <v>143</v>
      </c>
      <c r="C73" s="42" t="s">
        <v>159</v>
      </c>
    </row>
    <row r="74" customFormat="1" s="6">
      <c r="B74" s="6" t="s">
        <v>155</v>
      </c>
      <c r="C74" s="42">
        <v>0</v>
      </c>
    </row>
    <row r="75" customFormat="1" s="6">
      <c r="B75" s="52" t="s">
        <v>158</v>
      </c>
      <c r="C75" s="53">
        <v>10</v>
      </c>
    </row>
    <row r="76">
      <c r="C76" s="44">
        <f>C75+C70+C74</f>
        <v>25</v>
      </c>
      <c r="D76" t="s">
        <v>138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120"/>
  <sheetViews>
    <sheetView topLeftCell="J19" zoomScaleNormal="45" workbookViewId="0" tabSelected="true" zoomScale="45">
      <selection activeCell="I39" sqref="I39" activeCellId="0"/>
    </sheetView>
  </sheetViews>
  <sheetFormatPr baseColWidth="10" defaultColWidth="10.7109375" defaultRowHeight="12.75" x14ac:dyDescent="0.2"/>
  <cols>
    <col min="1" max="1" width="10.7109375" style="6"/>
    <col min="2" max="2" width="11" bestFit="1" customWidth="1"/>
    <col min="3" max="3" width="28.7109375" bestFit="1" customWidth="1"/>
    <col min="4" max="4" width="12.85546875" bestFit="1" customWidth="1"/>
    <col min="5" max="5" width="10.42578125" style="6" bestFit="1" customWidth="1"/>
    <col min="6" max="6" width="10.28515625" bestFit="1" customWidth="1"/>
    <col min="7" max="7" width="55.85546875" bestFit="1" customWidth="1"/>
    <col min="8" max="8" width="14.28515625" bestFit="1" customWidth="1"/>
    <col min="9" max="9" width="9.28515625" bestFit="1" customWidth="1"/>
    <col min="10" max="10" width="13.7109375" style="6" bestFit="1" customWidth="1"/>
    <col min="11" max="11" width="11.28515625" style="6" bestFit="1" customWidth="1"/>
    <col min="12" max="12" width="10.5703125" style="6" bestFit="1" customWidth="1"/>
    <col min="13" max="13" width="9.5703125" style="6" bestFit="1" customWidth="1"/>
    <col min="14" max="14" width="7.85546875" style="6" bestFit="1" customWidth="1"/>
    <col min="15" max="15" width="8.5703125" style="6" bestFit="1" customWidth="1"/>
    <col min="16" max="16" width="10.5703125" bestFit="1" customWidth="1"/>
    <col min="17" max="17" width="11.28515625" style="6" bestFit="1" customWidth="1"/>
    <col min="18" max="18" width="18.140625" style="6" bestFit="1" customWidth="1"/>
    <col min="19" max="19" width="11.42578125" style="6" bestFit="1" customWidth="1"/>
    <col min="20" max="20" width="23.85546875" style="6" bestFit="1" customWidth="1"/>
    <col min="21" max="21" width="26" bestFit="1" customWidth="1"/>
    <col min="22" max="22" width="7.42578125" bestFit="1" customWidth="1"/>
    <col min="23" max="23" width="7.42578125" bestFit="1" customWidth="1"/>
    <col min="24" max="24" width="12.42578125" bestFit="1" customWidth="1"/>
    <col min="25" max="25" width="12.42578125" bestFit="1" customWidth="1"/>
    <col min="26" max="26" width="18.28515625" bestFit="1" customWidth="1"/>
    <col min="27" max="27" width="5.7109375" style="6" bestFit="1" customWidth="1"/>
    <col min="28" max="28" width="6.85546875" style="6" bestFit="1" customWidth="1"/>
    <col min="29" max="29" width="6.7109375" style="6" bestFit="1" customWidth="1"/>
    <col min="30" max="30" width="55.85546875" style="6" bestFit="1" customWidth="1"/>
    <col min="31" max="31" width="10.7109375" bestFit="1" customWidth="1"/>
    <col min="32" max="32" width="7.42578125" bestFit="1" customWidth="1"/>
    <col min="33" max="33" width="7.42578125" bestFit="1" customWidth="1"/>
    <col min="34" max="34" width="13" bestFit="1" customWidth="1"/>
    <col min="35" max="35" width="23.85546875" bestFit="1" customWidth="1"/>
  </cols>
  <sheetData>
    <row r="2" ht="18">
      <c r="B2" s="11" t="s">
        <v>16</v>
      </c>
      <c r="C2" s="20" t="s">
        <v>118</v>
      </c>
      <c r="D2" s="20"/>
      <c r="E2" s="20"/>
      <c r="F2" s="22">
        <v>43340</v>
      </c>
    </row>
    <row r="3" ht="18" customFormat="1" s="6">
      <c r="B3" s="11" t="s">
        <v>129</v>
      </c>
      <c r="E3" s="10"/>
      <c r="F3" s="21"/>
      <c r="H3" s="6" t="s">
        <v>133</v>
      </c>
      <c r="I3" s="1">
        <v>10</v>
      </c>
    </row>
    <row r="4">
      <c r="H4" s="11" t="s">
        <v>60</v>
      </c>
      <c r="I4" s="10">
        <f>5*E18+E11*F11+E12*F12+E13*F13+E14*F14+E15*F15+E16*F16+E17*F17+'warband detail'!C5+'warband detail'!C18+'warband detail'!C30+'warband detail'!C42+'warband detail'!C54</f>
        <v>125</v>
      </c>
    </row>
    <row r="5" customFormat="1" s="6">
      <c r="B5" s="4" t="s">
        <v>0</v>
      </c>
      <c r="C5" s="4">
        <v>500</v>
      </c>
      <c r="H5" s="6" t="s">
        <v>120</v>
      </c>
      <c r="I5" s="10">
        <f>ROUNDUP(E18/4,0)</f>
        <v>3</v>
      </c>
    </row>
    <row r="6" customFormat="1" s="6">
      <c r="B6" s="4" t="s">
        <v>18</v>
      </c>
      <c r="C6" s="4">
        <f>G18+P40</f>
        <v>500</v>
      </c>
      <c r="H6" s="5" t="s">
        <v>125</v>
      </c>
      <c r="I6" s="38">
        <f>U40</f>
        <v>135</v>
      </c>
      <c r="J6" s="6">
        <f>U41</f>
        <v>68</v>
      </c>
      <c r="K6" s="6">
        <f>U42</f>
        <v>67</v>
      </c>
    </row>
    <row r="7" ht="15">
      <c r="B7" s="26" t="s">
        <v>15</v>
      </c>
      <c r="C7" s="33">
        <f>C5-C6</f>
        <v>0</v>
      </c>
      <c r="I7" s="2">
        <f>I3+(I6+I4)*I5</f>
        <v>790</v>
      </c>
    </row>
    <row r="9" customFormat="1" s="6"/>
    <row r="10">
      <c r="C10" s="12" t="s">
        <v>17</v>
      </c>
      <c r="D10" s="12" t="s">
        <v>20</v>
      </c>
      <c r="E10" s="12" t="s">
        <v>13</v>
      </c>
      <c r="F10" s="12" t="s">
        <v>61</v>
      </c>
      <c r="G10" s="12" t="s">
        <v>14</v>
      </c>
      <c r="Q10" s="6" t="s">
        <v>108</v>
      </c>
      <c r="R10" s="6" t="s">
        <v>126</v>
      </c>
    </row>
    <row r="11">
      <c r="B11" s="57" t="s">
        <v>81</v>
      </c>
      <c r="C11" s="6" t="s">
        <v>82</v>
      </c>
      <c r="D11" s="6">
        <v>80</v>
      </c>
      <c r="E11" s="27">
        <v>1</v>
      </c>
      <c r="F11" s="27">
        <v>20</v>
      </c>
      <c r="G11">
        <f>E11*D11</f>
        <v>80</v>
      </c>
      <c r="Q11" s="6" t="s">
        <v>25</v>
      </c>
      <c r="R11" s="6" t="s">
        <v>127</v>
      </c>
    </row>
    <row r="12">
      <c r="B12" s="57"/>
      <c r="C12" s="6" t="s">
        <v>83</v>
      </c>
      <c r="D12" s="6">
        <v>40</v>
      </c>
      <c r="E12" s="27">
        <v>1</v>
      </c>
      <c r="F12" s="27">
        <v>10</v>
      </c>
      <c r="G12">
        <f>E12*D12</f>
        <v>40</v>
      </c>
      <c r="Q12" s="6" t="s">
        <v>109</v>
      </c>
      <c r="R12" s="6" t="s">
        <v>128</v>
      </c>
    </row>
    <row r="13">
      <c r="B13" s="57"/>
      <c r="C13" s="6" t="s">
        <v>84</v>
      </c>
      <c r="D13" s="6">
        <v>40</v>
      </c>
      <c r="E13" s="27">
        <v>3</v>
      </c>
      <c r="F13" s="27">
        <v>15</v>
      </c>
      <c r="G13">
        <f>E13*D13</f>
        <v>120</v>
      </c>
    </row>
    <row r="14">
      <c r="B14" s="57" t="s">
        <v>46</v>
      </c>
      <c r="C14" s="6" t="s">
        <v>85</v>
      </c>
      <c r="D14" s="6">
        <v>15</v>
      </c>
      <c r="E14" s="27">
        <v>4</v>
      </c>
      <c r="F14" s="27">
        <v>0</v>
      </c>
      <c r="G14">
        <f>E14*D14</f>
        <v>60</v>
      </c>
    </row>
    <row r="15">
      <c r="B15" s="57"/>
      <c r="C15" s="6" t="s">
        <v>86</v>
      </c>
      <c r="D15" s="6">
        <v>15</v>
      </c>
      <c r="E15" s="27">
        <v>0</v>
      </c>
      <c r="F15" s="27">
        <v>0</v>
      </c>
      <c r="G15">
        <f>E15*D15</f>
        <v>0</v>
      </c>
    </row>
    <row r="16">
      <c r="B16" s="57"/>
      <c r="C16" s="6" t="s">
        <v>87</v>
      </c>
      <c r="D16" s="6">
        <v>25</v>
      </c>
      <c r="E16" s="27">
        <v>0</v>
      </c>
      <c r="F16" s="27">
        <v>0</v>
      </c>
      <c r="G16">
        <f>E16*D16</f>
        <v>0</v>
      </c>
    </row>
    <row r="17">
      <c r="B17" s="57"/>
      <c r="C17" s="5" t="s">
        <v>11</v>
      </c>
      <c r="D17" s="5">
        <v>200</v>
      </c>
      <c r="E17" s="28">
        <v>0</v>
      </c>
      <c r="F17" s="28">
        <v>0</v>
      </c>
      <c r="G17" s="5">
        <f>E17*D17</f>
        <v>0</v>
      </c>
    </row>
    <row r="18" ht="15">
      <c r="C18" s="16" t="s">
        <v>43</v>
      </c>
      <c r="E18" s="2">
        <f>SUM(E11:E17)</f>
        <v>9</v>
      </c>
      <c r="F18" s="6"/>
      <c r="G18" s="2">
        <f>SUM(G11:G17)</f>
        <v>300</v>
      </c>
    </row>
    <row r="19" customFormat="1" s="6">
      <c r="B19" s="17"/>
      <c r="F19" s="1"/>
      <c r="I19" s="58" t="s">
        <v>112</v>
      </c>
      <c r="J19" s="58"/>
      <c r="K19" s="58"/>
      <c r="L19" s="58"/>
      <c r="M19" s="58"/>
      <c r="N19" s="58"/>
      <c r="O19" s="58"/>
    </row>
    <row r="20" ht="15">
      <c r="B20" s="2"/>
      <c r="C20" s="2"/>
      <c r="I20" s="58" t="s">
        <v>45</v>
      </c>
      <c r="J20" s="58"/>
      <c r="K20" s="58"/>
      <c r="L20" s="58" t="s">
        <v>46</v>
      </c>
      <c r="M20" s="58"/>
      <c r="N20" s="58"/>
      <c r="O20" s="58"/>
      <c r="T20" s="6" t="s">
        <v>122</v>
      </c>
    </row>
    <row r="21" customFormat="1" s="6">
      <c r="C21" s="12" t="s">
        <v>76</v>
      </c>
      <c r="D21" s="19" t="s">
        <v>52</v>
      </c>
      <c r="E21" s="19" t="s">
        <v>57</v>
      </c>
      <c r="F21" s="19" t="s">
        <v>25</v>
      </c>
      <c r="G21" s="19" t="s">
        <v>58</v>
      </c>
      <c r="H21" s="12" t="s">
        <v>21</v>
      </c>
      <c r="I21" s="12" t="s">
        <v>31</v>
      </c>
      <c r="J21" s="12" t="s">
        <v>113</v>
      </c>
      <c r="K21" s="12" t="s">
        <v>114</v>
      </c>
      <c r="L21" s="12" t="s">
        <v>115</v>
      </c>
      <c r="M21" s="12" t="s">
        <v>116</v>
      </c>
      <c r="N21" s="12" t="s">
        <v>117</v>
      </c>
      <c r="O21" s="12" t="s">
        <v>11</v>
      </c>
      <c r="P21" s="12" t="s">
        <v>12</v>
      </c>
      <c r="Q21" s="12" t="s">
        <v>78</v>
      </c>
      <c r="R21" s="12" t="s">
        <v>79</v>
      </c>
      <c r="S21" s="12" t="s">
        <v>80</v>
      </c>
      <c r="T21" s="12" t="s">
        <v>123</v>
      </c>
      <c r="U21" s="12" t="s">
        <v>124</v>
      </c>
    </row>
    <row r="22" customFormat="1" s="6">
      <c r="C22" s="6" t="s">
        <v>9</v>
      </c>
      <c r="D22" s="6" t="s">
        <v>53</v>
      </c>
      <c r="F22" s="29"/>
      <c r="G22" s="18" t="s">
        <v>140</v>
      </c>
      <c r="H22" s="6">
        <v>2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f>SUM(Tabelle2[[#This Row],[Boss]:[troll]])*Tabelle2[[#This Row],[gold/stück]]</f>
        <v>0</v>
      </c>
      <c r="Q22" s="6">
        <v>0</v>
      </c>
      <c r="R22" s="6">
        <f>Tabelle2[[#This Row],[gold/stück]]*Tabelle2[[#This Row],[wunsch]]</f>
        <v>0</v>
      </c>
      <c r="S22" s="30" t="s">
        <v>111</v>
      </c>
      <c r="T22" s="30">
        <v>1</v>
      </c>
      <c r="U22" s="30">
        <f>Tabelle2[[#This Row],[Bewertung]]*SUM(Tabelle2[[#This Row],[Boss]:[troll]])</f>
        <v>0</v>
      </c>
    </row>
    <row r="23" customFormat="1" s="6">
      <c r="C23" s="6" t="s">
        <v>1</v>
      </c>
      <c r="D23" s="6" t="s">
        <v>53</v>
      </c>
      <c r="F23" s="29"/>
      <c r="G23" s="6" t="s">
        <v>141</v>
      </c>
      <c r="H23" s="6">
        <v>5</v>
      </c>
      <c r="I23" s="6">
        <v>0</v>
      </c>
      <c r="J23" s="6">
        <v>0</v>
      </c>
      <c r="K23" s="6">
        <v>2</v>
      </c>
      <c r="L23" s="6">
        <v>0</v>
      </c>
      <c r="M23" s="6">
        <v>0</v>
      </c>
      <c r="N23" s="6">
        <v>0</v>
      </c>
      <c r="O23" s="6">
        <v>0</v>
      </c>
      <c r="P23" s="6">
        <f>SUM(Tabelle2[[#This Row],[Boss]:[troll]])*Tabelle2[[#This Row],[gold/stück]]</f>
        <v>10</v>
      </c>
      <c r="Q23" s="6">
        <v>0</v>
      </c>
      <c r="R23" s="6">
        <f>Tabelle2[[#This Row],[gold/stück]]*Tabelle2[[#This Row],[wunsch]]</f>
        <v>0</v>
      </c>
      <c r="S23" s="30" t="s">
        <v>110</v>
      </c>
      <c r="T23" s="30">
        <v>4</v>
      </c>
      <c r="U23" s="30">
        <f>Tabelle2[[#This Row],[Bewertung]]*SUM(Tabelle2[[#This Row],[Boss]:[troll]])</f>
        <v>8</v>
      </c>
    </row>
    <row r="24" customFormat="1" s="6">
      <c r="C24" s="6" t="s">
        <v>88</v>
      </c>
      <c r="D24" s="6" t="s">
        <v>53</v>
      </c>
      <c r="F24" s="29" t="s">
        <v>89</v>
      </c>
      <c r="G24" s="6" t="s">
        <v>90</v>
      </c>
      <c r="H24" s="6">
        <v>15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f>SUM(Tabelle2[[#This Row],[Boss]:[troll]])*Tabelle2[[#This Row],[gold/stück]]</f>
        <v>0</v>
      </c>
      <c r="Q24" s="6">
        <v>0</v>
      </c>
      <c r="R24" s="6">
        <f>Tabelle2[[#This Row],[gold/stück]]*Tabelle2[[#This Row],[wunsch]]</f>
        <v>0</v>
      </c>
      <c r="S24" s="30" t="s">
        <v>110</v>
      </c>
      <c r="T24" s="30">
        <v>9</v>
      </c>
      <c r="U24" s="30">
        <f>Tabelle2[[#This Row],[Bewertung]]*SUM(Tabelle2[[#This Row],[Boss]:[troll]])</f>
        <v>0</v>
      </c>
    </row>
    <row r="25" customFormat="1" s="6">
      <c r="C25" s="6" t="s">
        <v>2</v>
      </c>
      <c r="D25" s="6" t="s">
        <v>53</v>
      </c>
      <c r="F25" s="29" t="s">
        <v>89</v>
      </c>
      <c r="G25" s="6" t="s">
        <v>91</v>
      </c>
      <c r="H25" s="6">
        <v>10</v>
      </c>
      <c r="I25" s="6">
        <v>0</v>
      </c>
      <c r="J25" s="6">
        <v>0</v>
      </c>
      <c r="K25" s="6">
        <v>2</v>
      </c>
      <c r="L25" s="6">
        <v>1</v>
      </c>
      <c r="M25" s="6">
        <v>0</v>
      </c>
      <c r="N25" s="6">
        <v>0</v>
      </c>
      <c r="O25" s="6">
        <v>0</v>
      </c>
      <c r="P25" s="6">
        <f>SUM(Tabelle2[[#This Row],[Boss]:[troll]])*Tabelle2[[#This Row],[gold/stück]]</f>
        <v>30</v>
      </c>
      <c r="Q25" s="6">
        <v>0</v>
      </c>
      <c r="R25" s="6">
        <f>Tabelle2[[#This Row],[gold/stück]]*Tabelle2[[#This Row],[wunsch]]</f>
        <v>0</v>
      </c>
      <c r="S25" s="30" t="s">
        <v>111</v>
      </c>
      <c r="T25" s="30">
        <v>5</v>
      </c>
      <c r="U25" s="30">
        <f>Tabelle2[[#This Row],[Bewertung]]*SUM(Tabelle2[[#This Row],[Boss]:[troll]])</f>
        <v>15</v>
      </c>
    </row>
    <row r="26" customFormat="1" s="6">
      <c r="C26" s="6" t="s">
        <v>3</v>
      </c>
      <c r="D26" s="6" t="s">
        <v>53</v>
      </c>
      <c r="F26" s="29" t="s">
        <v>92</v>
      </c>
      <c r="G26" s="6" t="s">
        <v>93</v>
      </c>
      <c r="H26" s="6">
        <v>15</v>
      </c>
      <c r="I26" s="6">
        <v>1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f>SUM(Tabelle2[[#This Row],[Boss]:[troll]])*Tabelle2[[#This Row],[gold/stück]]</f>
        <v>15</v>
      </c>
      <c r="Q26" s="6">
        <v>0</v>
      </c>
      <c r="R26" s="6">
        <f>Tabelle2[[#This Row],[gold/stück]]*Tabelle2[[#This Row],[wunsch]]</f>
        <v>0</v>
      </c>
      <c r="S26" s="30" t="s">
        <v>110</v>
      </c>
      <c r="T26" s="30">
        <v>8</v>
      </c>
      <c r="U26" s="30">
        <f>Tabelle2[[#This Row],[Bewertung]]*SUM(Tabelle2[[#This Row],[Boss]:[troll]])</f>
        <v>8</v>
      </c>
    </row>
    <row r="27" customFormat="1" s="6">
      <c r="C27" s="6" t="s">
        <v>94</v>
      </c>
      <c r="D27" s="6" t="s">
        <v>53</v>
      </c>
      <c r="F27" s="29" t="s">
        <v>95</v>
      </c>
      <c r="G27" s="6" t="s">
        <v>96</v>
      </c>
      <c r="H27" s="6">
        <v>10</v>
      </c>
      <c r="I27" s="6">
        <v>0</v>
      </c>
      <c r="J27" s="6">
        <v>0</v>
      </c>
      <c r="K27" s="6">
        <v>1</v>
      </c>
      <c r="L27" s="6">
        <v>0</v>
      </c>
      <c r="M27" s="6">
        <v>0</v>
      </c>
      <c r="N27" s="6">
        <v>0</v>
      </c>
      <c r="O27" s="6">
        <v>0</v>
      </c>
      <c r="P27" s="6">
        <f>SUM(Tabelle2[[#This Row],[Boss]:[troll]])*Tabelle2[[#This Row],[gold/stück]]</f>
        <v>10</v>
      </c>
      <c r="Q27" s="6">
        <v>0</v>
      </c>
      <c r="R27" s="6">
        <f>Tabelle2[[#This Row],[gold/stück]]*Tabelle2[[#This Row],[wunsch]]</f>
        <v>0</v>
      </c>
      <c r="S27" s="30" t="s">
        <v>110</v>
      </c>
      <c r="T27" s="30">
        <v>7</v>
      </c>
      <c r="U27" s="30">
        <f>Tabelle2[[#This Row],[Bewertung]]*SUM(Tabelle2[[#This Row],[Boss]:[troll]])</f>
        <v>7</v>
      </c>
    </row>
    <row r="28" customFormat="1" s="6">
      <c r="C28" s="6" t="s">
        <v>97</v>
      </c>
      <c r="D28" s="6" t="s">
        <v>55</v>
      </c>
      <c r="F28" s="29"/>
      <c r="H28" s="6">
        <v>3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f>SUM(Tabelle2[[#This Row],[Boss]:[troll]])*Tabelle2[[#This Row],[gold/stück]]</f>
        <v>0</v>
      </c>
      <c r="Q28" s="6">
        <v>0</v>
      </c>
      <c r="R28" s="6">
        <f>Tabelle2[[#This Row],[gold/stück]]*Tabelle2[[#This Row],[wunsch]]</f>
        <v>0</v>
      </c>
      <c r="S28" s="30" t="s">
        <v>111</v>
      </c>
      <c r="T28" s="30">
        <v>2</v>
      </c>
      <c r="U28" s="30">
        <f>Tabelle2[[#This Row],[Bewertung]]*SUM(Tabelle2[[#This Row],[Boss]:[troll]])</f>
        <v>0</v>
      </c>
    </row>
    <row r="29" customFormat="1" s="6">
      <c r="C29" s="6" t="s">
        <v>4</v>
      </c>
      <c r="D29" s="6" t="s">
        <v>55</v>
      </c>
      <c r="E29" s="6" t="s">
        <v>56</v>
      </c>
      <c r="F29" s="29">
        <v>4</v>
      </c>
      <c r="G29" s="6" t="s">
        <v>98</v>
      </c>
      <c r="H29" s="6">
        <v>25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f>SUM(Tabelle2[[#This Row],[Boss]:[troll]])*Tabelle2[[#This Row],[gold/stück]]</f>
        <v>0</v>
      </c>
      <c r="Q29" s="6">
        <v>0</v>
      </c>
      <c r="R29" s="6">
        <f>Tabelle2[[#This Row],[gold/stück]]*Tabelle2[[#This Row],[wunsch]]</f>
        <v>0</v>
      </c>
      <c r="S29" s="30" t="s">
        <v>110</v>
      </c>
      <c r="T29" s="30">
        <v>6</v>
      </c>
      <c r="U29" s="30">
        <f>Tabelle2[[#This Row],[Bewertung]]*SUM(Tabelle2[[#This Row],[Boss]:[troll]])</f>
        <v>0</v>
      </c>
    </row>
    <row r="30" customFormat="1" s="6">
      <c r="C30" s="6" t="s">
        <v>5</v>
      </c>
      <c r="D30" s="6" t="s">
        <v>55</v>
      </c>
      <c r="E30" s="6" t="s">
        <v>59</v>
      </c>
      <c r="F30" s="29">
        <v>3</v>
      </c>
      <c r="H30" s="6">
        <v>10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f>SUM(Tabelle2[[#This Row],[Boss]:[troll]])*Tabelle2[[#This Row],[gold/stück]]</f>
        <v>0</v>
      </c>
      <c r="Q30" s="6">
        <v>0</v>
      </c>
      <c r="R30" s="6">
        <f>Tabelle2[[#This Row],[gold/stück]]*Tabelle2[[#This Row],[wunsch]]</f>
        <v>0</v>
      </c>
      <c r="S30" s="30" t="s">
        <v>110</v>
      </c>
      <c r="T30" s="30">
        <v>6</v>
      </c>
      <c r="U30" s="30">
        <f>Tabelle2[[#This Row],[Bewertung]]*SUM(Tabelle2[[#This Row],[Boss]:[troll]])</f>
        <v>0</v>
      </c>
    </row>
    <row r="31" customFormat="1" s="6">
      <c r="C31" s="6" t="s">
        <v>99</v>
      </c>
      <c r="D31" s="6" t="s">
        <v>53</v>
      </c>
      <c r="F31" s="29"/>
      <c r="H31" s="6">
        <v>5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f>SUM(Tabelle2[[#This Row],[Boss]:[troll]])*Tabelle2[[#This Row],[gold/stück]]</f>
        <v>0</v>
      </c>
      <c r="Q31" s="6">
        <v>0</v>
      </c>
      <c r="R31" s="6">
        <f>Tabelle2[[#This Row],[gold/stück]]*Tabelle2[[#This Row],[wunsch]]</f>
        <v>0</v>
      </c>
      <c r="S31" s="30" t="s">
        <v>109</v>
      </c>
      <c r="T31" s="30">
        <v>2</v>
      </c>
      <c r="U31" s="30">
        <f>Tabelle2[[#This Row],[Bewertung]]*SUM(Tabelle2[[#This Row],[Boss]:[troll]])</f>
        <v>0</v>
      </c>
    </row>
    <row r="32" customFormat="1" s="6">
      <c r="C32" s="6" t="s">
        <v>10</v>
      </c>
      <c r="D32" s="6" t="s">
        <v>53</v>
      </c>
      <c r="F32" s="29" t="s">
        <v>89</v>
      </c>
      <c r="G32" s="6" t="s">
        <v>142</v>
      </c>
      <c r="H32" s="6">
        <v>5</v>
      </c>
      <c r="I32" s="6">
        <v>0</v>
      </c>
      <c r="J32" s="6">
        <v>0</v>
      </c>
      <c r="K32" s="6">
        <v>0</v>
      </c>
      <c r="L32" s="6">
        <v>3</v>
      </c>
      <c r="M32" s="6">
        <v>0</v>
      </c>
      <c r="N32" s="6">
        <v>0</v>
      </c>
      <c r="O32" s="6">
        <v>0</v>
      </c>
      <c r="P32" s="6">
        <f>SUM(Tabelle2[[#This Row],[Boss]:[troll]])*Tabelle2[[#This Row],[gold/stück]]</f>
        <v>15</v>
      </c>
      <c r="Q32" s="6">
        <v>0</v>
      </c>
      <c r="R32" s="6">
        <f>Tabelle2[[#This Row],[gold/stück]]*Tabelle2[[#This Row],[wunsch]]</f>
        <v>0</v>
      </c>
      <c r="S32" s="30" t="s">
        <v>109</v>
      </c>
      <c r="T32" s="30">
        <v>5</v>
      </c>
      <c r="U32" s="30">
        <f>Tabelle2[[#This Row],[Bewertung]]*SUM(Tabelle2[[#This Row],[Boss]:[troll]])</f>
        <v>15</v>
      </c>
    </row>
    <row r="33" customFormat="1" s="6">
      <c r="C33" s="6" t="s">
        <v>100</v>
      </c>
      <c r="D33" s="6" t="s">
        <v>55</v>
      </c>
      <c r="E33" s="6" t="s">
        <v>101</v>
      </c>
      <c r="F33" s="29">
        <v>3</v>
      </c>
      <c r="H33" s="6">
        <v>5</v>
      </c>
      <c r="I33" s="6">
        <v>0</v>
      </c>
      <c r="J33" s="6">
        <v>0</v>
      </c>
      <c r="K33" s="6">
        <v>0</v>
      </c>
      <c r="L33" s="6">
        <v>3</v>
      </c>
      <c r="M33" s="6">
        <v>0</v>
      </c>
      <c r="N33" s="6">
        <v>0</v>
      </c>
      <c r="O33" s="6">
        <v>0</v>
      </c>
      <c r="P33" s="6">
        <f>SUM(Tabelle2[[#This Row],[Boss]:[troll]])*Tabelle2[[#This Row],[gold/stück]]</f>
        <v>15</v>
      </c>
      <c r="Q33" s="6">
        <v>0</v>
      </c>
      <c r="R33" s="6">
        <f>Tabelle2[[#This Row],[gold/stück]]*Tabelle2[[#This Row],[wunsch]]</f>
        <v>0</v>
      </c>
      <c r="S33" s="30" t="s">
        <v>109</v>
      </c>
      <c r="T33" s="30">
        <v>5</v>
      </c>
      <c r="U33" s="30">
        <f>Tabelle2[[#This Row],[Bewertung]]*SUM(Tabelle2[[#This Row],[Boss]:[troll]])</f>
        <v>15</v>
      </c>
    </row>
    <row r="34" customFormat="1" s="6">
      <c r="C34" s="6" t="s">
        <v>102</v>
      </c>
      <c r="D34" s="6" t="s">
        <v>47</v>
      </c>
      <c r="E34" s="18" t="s">
        <v>103</v>
      </c>
      <c r="F34" s="29"/>
      <c r="H34" s="6">
        <v>15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f>SUM(Tabelle2[[#This Row],[Boss]:[troll]])*Tabelle2[[#This Row],[gold/stück]]</f>
        <v>0</v>
      </c>
      <c r="Q34" s="6">
        <v>0</v>
      </c>
      <c r="R34" s="6">
        <f>Tabelle2[[#This Row],[gold/stück]]*Tabelle2[[#This Row],[wunsch]]</f>
        <v>0</v>
      </c>
      <c r="S34" s="30" t="s">
        <v>109</v>
      </c>
      <c r="T34" s="30">
        <v>3</v>
      </c>
      <c r="U34" s="30">
        <f>Tabelle2[[#This Row],[Bewertung]]*SUM(Tabelle2[[#This Row],[Boss]:[troll]])</f>
        <v>0</v>
      </c>
    </row>
    <row r="35" customFormat="1" s="6">
      <c r="C35" s="6" t="s">
        <v>104</v>
      </c>
      <c r="D35" s="6" t="s">
        <v>53</v>
      </c>
      <c r="F35" s="29" t="s">
        <v>92</v>
      </c>
      <c r="G35" s="6" t="s">
        <v>105</v>
      </c>
      <c r="H35" s="6">
        <v>15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f>SUM(Tabelle2[[#This Row],[Boss]:[troll]])*Tabelle2[[#This Row],[gold/stück]]</f>
        <v>0</v>
      </c>
      <c r="Q35" s="6">
        <v>0</v>
      </c>
      <c r="R35" s="6">
        <f>Tabelle2[[#This Row],[gold/stück]]*Tabelle2[[#This Row],[wunsch]]</f>
        <v>0</v>
      </c>
      <c r="S35" s="30" t="s">
        <v>109</v>
      </c>
      <c r="T35" s="30">
        <v>9</v>
      </c>
      <c r="U35" s="30">
        <f>Tabelle2[[#This Row],[Bewertung]]*SUM(Tabelle2[[#This Row],[Boss]:[troll]])</f>
        <v>0</v>
      </c>
    </row>
    <row r="36" customFormat="1" s="6">
      <c r="C36" s="34" t="s">
        <v>106</v>
      </c>
      <c r="D36" s="34" t="s">
        <v>47</v>
      </c>
      <c r="E36" s="34"/>
      <c r="F36" s="35"/>
      <c r="G36" s="34"/>
      <c r="H36" s="34">
        <v>25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f>SUM(Tabelle2[[#This Row],[Boss]:[troll]])*Tabelle2[[#This Row],[gold/stück]]</f>
        <v>0</v>
      </c>
      <c r="Q36" s="6">
        <v>0</v>
      </c>
      <c r="R36" s="6">
        <f>Tabelle2[[#This Row],[gold/stück]]*Tabelle2[[#This Row],[wunsch]]</f>
        <v>0</v>
      </c>
      <c r="S36" s="30" t="s">
        <v>109</v>
      </c>
      <c r="T36" s="30">
        <v>5</v>
      </c>
      <c r="U36" s="30">
        <f>Tabelle2[[#This Row],[Bewertung]]*SUM(Tabelle2[[#This Row],[Boss]:[troll]])</f>
        <v>0</v>
      </c>
    </row>
    <row r="37" customFormat="1" s="6">
      <c r="C37" s="6" t="s">
        <v>6</v>
      </c>
      <c r="D37" s="6" t="s">
        <v>54</v>
      </c>
      <c r="F37" s="29"/>
      <c r="G37" s="6" t="s">
        <v>107</v>
      </c>
      <c r="H37" s="6">
        <v>20</v>
      </c>
      <c r="I37" s="6">
        <v>1</v>
      </c>
      <c r="J37" s="6">
        <v>0</v>
      </c>
      <c r="K37" s="6">
        <v>3</v>
      </c>
      <c r="L37" s="6">
        <v>0</v>
      </c>
      <c r="M37" s="6">
        <v>0</v>
      </c>
      <c r="N37" s="6">
        <v>0</v>
      </c>
      <c r="O37" s="6">
        <v>0</v>
      </c>
      <c r="P37" s="6">
        <f>SUM(Tabelle2[[#This Row],[Boss]:[troll]])*Tabelle2[[#This Row],[gold/stück]]</f>
        <v>80</v>
      </c>
      <c r="Q37" s="6">
        <v>0</v>
      </c>
      <c r="R37" s="6">
        <f>Tabelle2[[#This Row],[gold/stück]]*Tabelle2[[#This Row],[wunsch]]</f>
        <v>0</v>
      </c>
      <c r="S37" s="30" t="s">
        <v>108</v>
      </c>
      <c r="T37" s="30">
        <v>8</v>
      </c>
      <c r="U37" s="30">
        <f>Tabelle2[[#This Row],[Bewertung]]*SUM(Tabelle2[[#This Row],[Boss]:[troll]])</f>
        <v>32</v>
      </c>
    </row>
    <row r="38" customFormat="1" s="6">
      <c r="C38" s="6" t="s">
        <v>8</v>
      </c>
      <c r="D38" s="34" t="s">
        <v>54</v>
      </c>
      <c r="E38" s="34"/>
      <c r="F38" s="35"/>
      <c r="G38" s="34" t="s">
        <v>119</v>
      </c>
      <c r="H38" s="6">
        <v>5</v>
      </c>
      <c r="I38" s="6">
        <v>1</v>
      </c>
      <c r="J38" s="6">
        <v>0</v>
      </c>
      <c r="K38" s="6">
        <v>0</v>
      </c>
      <c r="L38" s="6">
        <v>4</v>
      </c>
      <c r="M38" s="6">
        <v>0</v>
      </c>
      <c r="N38" s="6">
        <v>0</v>
      </c>
      <c r="O38" s="6">
        <v>0</v>
      </c>
      <c r="P38" s="6">
        <f>SUM(Tabelle2[[#This Row],[Boss]:[troll]])*Tabelle2[[#This Row],[gold/stück]]</f>
        <v>25</v>
      </c>
      <c r="Q38" s="6">
        <v>0</v>
      </c>
      <c r="R38" s="6">
        <f>Tabelle2[[#This Row],[gold/stück]]*Tabelle2[[#This Row],[wunsch]]</f>
        <v>0</v>
      </c>
      <c r="S38" s="30" t="s">
        <v>121</v>
      </c>
      <c r="T38" s="30">
        <v>7</v>
      </c>
      <c r="U38" s="30">
        <f>Tabelle2[[#This Row],[Bewertung]]*SUM(Tabelle2[[#This Row],[Boss]:[troll]])</f>
        <v>35</v>
      </c>
    </row>
    <row r="39" customFormat="1" s="6">
      <c r="C39" s="34" t="s">
        <v>7</v>
      </c>
      <c r="D39" s="34" t="s">
        <v>54</v>
      </c>
      <c r="E39" s="34"/>
      <c r="F39" s="35"/>
      <c r="G39" s="34"/>
      <c r="H39" s="34">
        <v>10</v>
      </c>
      <c r="I39" s="6"/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f>SUM(Tabelle2[[#This Row],[Boss]:[troll]])*Tabelle2[[#This Row],[gold/stück]]</f>
        <v>0</v>
      </c>
      <c r="Q39" s="6">
        <v>0</v>
      </c>
      <c r="R39" s="6">
        <f>Tabelle2[[#This Row],[gold/stück]]*Tabelle2[[#This Row],[wunsch]]</f>
        <v>0</v>
      </c>
      <c r="S39" s="30" t="s">
        <v>121</v>
      </c>
      <c r="T39" s="30">
        <v>7</v>
      </c>
      <c r="U39" s="30">
        <f>Tabelle2[[#This Row],[Bewertung]]*SUM(Tabelle2[[#This Row],[Boss]:[troll]])</f>
        <v>0</v>
      </c>
    </row>
    <row r="40" ht="15" customFormat="1" s="6">
      <c r="C40" s="34"/>
      <c r="D40" s="34"/>
      <c r="E40" s="34"/>
      <c r="F40" s="35"/>
      <c r="G40" s="34"/>
      <c r="H40" s="34"/>
      <c r="I40" s="3">
        <f>I22*$H22+I23*$H23+I24*$H24+I25*$H25+I26*$H26+I27*$H27+I28*$H28+I29*$H29+I30*$H30+I31*$H31+I32*$H32+I33*$H33+I34*$H34+I35*$H35+I36*$H36+I37*$H37+I38*$H38+I39*$H39</f>
        <v>40</v>
      </c>
      <c r="J40" s="3">
        <f>J22*$H22+J23*$H23+J24*$H24+J25*$H25+J26*$H26+J27*$H27+J28*$H28+J29*$H29+J30*$H30+J31*$H31+J32*$H32+J33*$H33+J34*$H34+J35*$H35+J36*$H36+J37*$H37+J38*$H38+J39*$H39</f>
        <v>0</v>
      </c>
      <c r="K40" s="3">
        <f>K22*$H22+K23*$H23+K24*$H24+K25*$H25+K26*$H26+K27*$H27+K28*$H28+K29*$H29+K30*$H30+K31*$H31+K32*$H32+K33*$H33+K34*$H34+K35*$H35+K36*$H36+K37*$H37+K38*$H38+K39*$H39</f>
        <v>100</v>
      </c>
      <c r="L40" s="3">
        <f>L22*$H22+L23*$H23+L24*$H24+L25*$H25+L26*$H26+L27*$H27+L28*$H28+L29*$H29+L30*$H30+L31*$H31+L32*$H32+L33*$H33+L34*$H34+L35*$H35+L36*$H36+L37*$H37+L38*$H38+L39*$H39</f>
        <v>60</v>
      </c>
      <c r="M40" s="3">
        <f>M22*$H22+M23*$H23+M24*$H24+M25*$H25+M26*$H26+M27*$H27+M28*$H28+M29*$H29+M30*$H30+M31*$H31+M32*$H32+M33*$H33+M34*$H34+M35*$H35+M36*$H36+M37*$H37+M38*$H38+M39*$H39</f>
        <v>0</v>
      </c>
      <c r="N40" s="3">
        <f>N22*$H22+N23*$H23+N24*$H24+N25*$H25+N26*$H26+N27*$H27+N28*$H28+N29*$H29+N30*$H30+N31*$H31+N32*$H32+N33*$H33+N34*$H34+N35*$H35+N36*$H36+N37*$H37+N38*$H38+N39*$H39</f>
        <v>0</v>
      </c>
      <c r="O40" s="3">
        <f>O22*$H22+O23*$H23+O24*$H24+O25*$H25+O26*$H26+O27*$H27+O28*$H28+O29*$H29+O30*$H30+O31*$H31+O32*$H32+O33*$H33+O34*$H34+O35*$H35+O36*$H36+O37*$H37+O38*$H38+O39*$H39</f>
        <v>0</v>
      </c>
      <c r="P40" s="2">
        <f>SUM(P22:P39)</f>
        <v>200</v>
      </c>
      <c r="Q40" s="34"/>
      <c r="R40" s="37">
        <f>SUM(Tabelle2[zusatzkosten])</f>
        <v>0</v>
      </c>
      <c r="S40" s="36"/>
      <c r="T40" s="6" t="s">
        <v>132</v>
      </c>
      <c r="U40" s="2">
        <f>SUM(Tabelle2[Warband Equip Rating])</f>
        <v>135</v>
      </c>
    </row>
    <row r="41" customFormat="1" s="6">
      <c r="F41" s="29"/>
      <c r="S41" s="30"/>
      <c r="T41" s="6" t="s">
        <v>130</v>
      </c>
      <c r="U41" s="6">
        <f>SUM(U22:U36)</f>
        <v>68</v>
      </c>
    </row>
    <row r="42" customFormat="1" s="6">
      <c r="F42" s="29"/>
      <c r="S42" s="30"/>
      <c r="T42" s="6" t="s">
        <v>131</v>
      </c>
      <c r="U42" s="6">
        <f>SUM(U37:U39)</f>
        <v>67</v>
      </c>
    </row>
    <row r="43" customFormat="1" s="6">
      <c r="C43" s="34"/>
      <c r="D43" s="34"/>
      <c r="E43" s="34"/>
      <c r="F43" s="35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6"/>
    </row>
    <row r="44" ht="15" customFormat="1" s="6">
      <c r="L44" s="4"/>
      <c r="M44" s="4"/>
      <c r="N44" s="4"/>
      <c r="O44" s="4"/>
      <c r="P44" s="2"/>
    </row>
    <row r="45" customFormat="1" s="6"/>
    <row r="46" customFormat="1" s="6"/>
    <row r="47" customFormat="1" s="6"/>
    <row r="48" customFormat="1" s="6"/>
    <row r="49" customFormat="1" s="6"/>
    <row r="50" customFormat="1" s="6"/>
    <row r="51" customFormat="1" s="6"/>
    <row r="52" customFormat="1" s="6">
      <c r="V52" s="1"/>
    </row>
    <row r="53" customFormat="1" s="6">
      <c r="V53" s="1"/>
    </row>
    <row r="54">
      <c r="C54" s="6"/>
      <c r="D54" s="6"/>
      <c r="F54" s="6"/>
      <c r="G54" s="6"/>
      <c r="H54" s="6"/>
      <c r="I54" s="6"/>
      <c r="P54" s="6"/>
    </row>
    <row r="55" customFormat="1" s="6"/>
    <row r="56" customFormat="1" s="6"/>
    <row r="57" customFormat="1" s="6"/>
    <row r="58" customFormat="1" s="6">
      <c r="Q58" s="1"/>
      <c r="R58" s="1"/>
      <c r="S58" s="1"/>
    </row>
    <row r="59" customFormat="1" s="6"/>
    <row r="60" customFormat="1" s="6"/>
    <row r="61" customFormat="1" s="6"/>
    <row r="62" customFormat="1" s="6"/>
    <row r="63" customFormat="1" s="6"/>
    <row r="64" customFormat="1" s="6"/>
    <row r="65" customFormat="1" s="6"/>
    <row r="66" customFormat="1" s="6"/>
    <row r="67" customFormat="1" s="6"/>
    <row r="68" customFormat="1" s="6"/>
    <row r="69" customFormat="1" s="6"/>
    <row r="70" customFormat="1" s="6"/>
    <row r="71" customFormat="1" s="6"/>
    <row r="72" customFormat="1" s="6"/>
    <row r="73" customFormat="1" s="6"/>
    <row r="74" customFormat="1" s="6"/>
    <row r="75" customFormat="1" s="6"/>
    <row r="76" customFormat="1" s="6"/>
    <row r="77" customFormat="1" s="6"/>
    <row r="78" customFormat="1" s="6"/>
    <row r="79" customFormat="1" s="6"/>
    <row r="80" customFormat="1" s="6"/>
    <row r="81" customFormat="1" s="6"/>
    <row r="82" customFormat="1" s="6"/>
    <row r="83" customFormat="1" s="6"/>
    <row r="84" customFormat="1" s="6"/>
    <row r="85" customFormat="1" s="6"/>
    <row r="86" customFormat="1" s="6"/>
    <row r="87" customFormat="1" s="6"/>
    <row r="88" customFormat="1" s="6"/>
    <row r="89" customFormat="1" s="6"/>
    <row r="90" customFormat="1" s="6"/>
    <row r="91" customFormat="1" s="6"/>
    <row r="92" customFormat="1" s="6"/>
    <row r="93" customFormat="1" s="6"/>
    <row r="94" customFormat="1" s="6"/>
    <row r="95" customFormat="1" s="6"/>
    <row r="96" customFormat="1" s="6"/>
    <row r="97" customFormat="1" s="6"/>
    <row r="98" customFormat="1" s="6"/>
    <row r="99" customFormat="1" s="6"/>
    <row r="100" customFormat="1" s="6"/>
    <row r="101">
      <c r="C101" s="6"/>
      <c r="D101" s="6"/>
      <c r="F101" s="6"/>
      <c r="G101" s="6"/>
      <c r="H101" s="6"/>
      <c r="I101" s="6"/>
      <c r="P101" s="6"/>
    </row>
    <row r="102">
      <c r="C102" s="6"/>
      <c r="D102" s="6"/>
      <c r="F102" s="6"/>
      <c r="G102" s="6"/>
      <c r="H102" s="6"/>
      <c r="I102" s="6"/>
      <c r="P102" s="6"/>
    </row>
    <row r="103">
      <c r="C103" s="6"/>
      <c r="D103" s="6"/>
      <c r="F103" s="6"/>
      <c r="G103" s="6"/>
      <c r="H103" s="6"/>
      <c r="I103" s="6"/>
      <c r="P103" s="6"/>
    </row>
    <row r="104">
      <c r="C104" s="6"/>
      <c r="D104" s="6"/>
      <c r="F104" s="6"/>
      <c r="G104" s="6"/>
      <c r="H104" s="6"/>
      <c r="I104" s="6"/>
      <c r="P104" s="6"/>
    </row>
    <row r="110" customFormat="1" s="6"/>
    <row r="111" customFormat="1" s="6"/>
    <row r="112" customFormat="1" s="6"/>
    <row r="113" customFormat="1" s="6"/>
    <row r="114" customFormat="1" s="6"/>
    <row r="115" customFormat="1" s="6"/>
    <row r="116" customFormat="1" s="6"/>
    <row r="117" customHeight="1" ht="12">
      <c r="C117" s="6"/>
      <c r="D117" s="6"/>
      <c r="F117" s="6"/>
      <c r="G117" s="6"/>
      <c r="H117" s="6"/>
      <c r="I117" s="6"/>
      <c r="P117" s="6"/>
    </row>
    <row r="118">
      <c r="C118" s="6"/>
      <c r="D118" s="6"/>
      <c r="F118" s="6"/>
      <c r="G118" s="6"/>
      <c r="H118" s="6"/>
      <c r="I118" s="6"/>
      <c r="P118" s="6"/>
    </row>
    <row r="119">
      <c r="C119" s="6"/>
      <c r="D119" s="6"/>
      <c r="F119" s="6"/>
      <c r="G119" s="6"/>
      <c r="H119" s="6"/>
      <c r="I119" s="6"/>
      <c r="P119" s="6"/>
    </row>
    <row r="120">
      <c r="C120" s="6"/>
      <c r="D120" s="6"/>
      <c r="F120" s="6"/>
      <c r="G120" s="6"/>
      <c r="H120" s="6"/>
      <c r="I120" s="6"/>
      <c r="P120" s="6"/>
    </row>
  </sheetData>
  <mergeCells count="5">
    <mergeCell ref="B11:B13"/>
    <mergeCell ref="B14:B17"/>
    <mergeCell ref="I19:O19"/>
    <mergeCell ref="I20:K20"/>
    <mergeCell ref="L20:O20"/>
  </mergeCells>
  <conditionalFormatting sqref="C6">
    <cfRule type="cellIs" dxfId="29" priority="55" operator="greaterThan">
      <formula>$C$5</formula>
    </cfRule>
  </conditionalFormatting>
  <conditionalFormatting sqref="G11:G1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:P3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0:H43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P39 P41:P43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1:P43 P22:P39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:H30 H37:H3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3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">
    <cfRule type="cellIs" dxfId="28" priority="7" operator="greaterThan">
      <formula>0</formula>
    </cfRule>
  </conditionalFormatting>
  <conditionalFormatting sqref="J22:O22">
    <cfRule type="cellIs" dxfId="27" priority="6" operator="greaterThan">
      <formula>0</formula>
    </cfRule>
  </conditionalFormatting>
  <conditionalFormatting sqref="I23:I39">
    <cfRule type="cellIs" dxfId="26" priority="5" operator="greaterThan">
      <formula>0</formula>
    </cfRule>
  </conditionalFormatting>
  <conditionalFormatting sqref="J23:O39">
    <cfRule type="cellIs" dxfId="25" priority="4" operator="greaterThan">
      <formula>0</formula>
    </cfRule>
  </conditionalFormatting>
  <conditionalFormatting sqref="I22:O39">
    <cfRule type="cellIs" dxfId="24" priority="3" operator="greaterThan">
      <formula>0</formula>
    </cfRule>
  </conditionalFormatting>
  <conditionalFormatting sqref="E11:E17">
    <cfRule type="cellIs" dxfId="23" priority="2" operator="greaterThan">
      <formula>0</formula>
    </cfRule>
  </conditionalFormatting>
  <conditionalFormatting sqref="T22:T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7"/>
  <sheetViews>
    <sheetView zoomScaleNormal="100" workbookViewId="0">
      <selection activeCell="F27" sqref="F27"/>
    </sheetView>
  </sheetViews>
  <sheetFormatPr baseColWidth="10" defaultColWidth="10.7109375" defaultRowHeight="12.75" x14ac:dyDescent="0.2"/>
  <cols>
    <col min="2" max="2" width="26" bestFit="1" customWidth="1"/>
    <col min="3" max="3" width="11.85546875" bestFit="1" customWidth="1"/>
    <col min="4" max="4" width="14.7109375" bestFit="1" customWidth="1"/>
    <col min="5" max="5" width="12.28515625" bestFit="1" customWidth="1"/>
    <col min="6" max="6" width="31.140625" bestFit="1" customWidth="1"/>
    <col min="7" max="7" width="11" bestFit="1" customWidth="1"/>
    <col min="8" max="8" width="8.42578125" bestFit="1" customWidth="1"/>
    <col min="9" max="9" width="5.5703125" bestFit="1" customWidth="1"/>
    <col min="10" max="10" width="12" bestFit="1" customWidth="1"/>
    <col min="11" max="11" width="7.140625" bestFit="1" customWidth="1"/>
    <col min="12" max="12" width="10.5703125" bestFit="1" customWidth="1"/>
  </cols>
  <sheetData>
    <row r="2" ht="15">
      <c r="B2" s="2" t="s">
        <v>41</v>
      </c>
    </row>
    <row r="3" ht="15">
      <c r="C3" s="59" t="s">
        <v>45</v>
      </c>
      <c r="D3" s="59"/>
      <c r="E3" s="59"/>
      <c r="F3" s="59"/>
      <c r="G3" s="59" t="s">
        <v>46</v>
      </c>
      <c r="H3" s="59"/>
      <c r="I3" s="59"/>
    </row>
    <row r="4">
      <c r="B4" s="13"/>
      <c r="C4" s="12" t="str">
        <f>'cost calculation'!C11</f>
        <v>ork boss (1)</v>
      </c>
      <c r="D4" s="12" t="str">
        <f>'cost calculation'!C12</f>
        <v>schamane (0-1)</v>
      </c>
      <c r="E4" s="12" t="str">
        <f>'cost calculation'!C13</f>
        <v>big'uns (0-3)</v>
      </c>
      <c r="F4" s="12" t="str">
        <f>'cost calculation'!C14</f>
        <v>goblin warrior (max 2x anz boyz)</v>
      </c>
      <c r="G4" s="12" t="str">
        <f>'cost calculation'!C15</f>
        <v>cave squig</v>
      </c>
      <c r="H4" s="12" t="str">
        <f>'cost calculation'!C16</f>
        <v>ork boy</v>
      </c>
      <c r="I4" s="12" t="str">
        <f>'cost calculation'!C17</f>
        <v>troll</v>
      </c>
      <c r="K4" s="58" t="s">
        <v>42</v>
      </c>
      <c r="L4" s="58"/>
    </row>
    <row r="5">
      <c r="B5" s="14" t="s">
        <v>22</v>
      </c>
      <c r="C5">
        <v>4</v>
      </c>
      <c r="D5">
        <v>4</v>
      </c>
      <c r="E5">
        <v>4</v>
      </c>
      <c r="F5">
        <v>4</v>
      </c>
      <c r="G5" s="17">
        <v>0</v>
      </c>
      <c r="H5">
        <v>4</v>
      </c>
      <c r="I5">
        <v>6</v>
      </c>
      <c r="K5" s="23" t="s">
        <v>45</v>
      </c>
      <c r="L5" s="24" t="s">
        <v>46</v>
      </c>
    </row>
    <row r="6">
      <c r="B6" s="14" t="s">
        <v>23</v>
      </c>
      <c r="C6">
        <v>4</v>
      </c>
      <c r="D6">
        <v>3</v>
      </c>
      <c r="E6">
        <v>4</v>
      </c>
      <c r="F6">
        <v>2</v>
      </c>
      <c r="G6">
        <v>4</v>
      </c>
      <c r="H6">
        <v>3</v>
      </c>
      <c r="I6">
        <v>3</v>
      </c>
      <c r="K6" s="6">
        <v>10</v>
      </c>
      <c r="L6" s="25">
        <f>K6-3</f>
        <v>7</v>
      </c>
    </row>
    <row r="7">
      <c r="B7" s="14" t="s">
        <v>24</v>
      </c>
      <c r="C7">
        <v>4</v>
      </c>
      <c r="D7">
        <v>3</v>
      </c>
      <c r="E7">
        <v>3</v>
      </c>
      <c r="F7">
        <v>3</v>
      </c>
      <c r="G7">
        <v>0</v>
      </c>
      <c r="H7">
        <v>3</v>
      </c>
      <c r="I7">
        <v>1</v>
      </c>
      <c r="K7" s="6">
        <v>10</v>
      </c>
      <c r="L7" s="25">
        <f>K7-3</f>
        <v>7</v>
      </c>
    </row>
    <row r="8">
      <c r="B8" s="14" t="s">
        <v>25</v>
      </c>
      <c r="C8">
        <v>4</v>
      </c>
      <c r="D8">
        <v>3</v>
      </c>
      <c r="E8">
        <v>3</v>
      </c>
      <c r="F8">
        <v>3</v>
      </c>
      <c r="G8">
        <v>4</v>
      </c>
      <c r="H8">
        <v>3</v>
      </c>
      <c r="I8">
        <v>5</v>
      </c>
      <c r="K8" s="6">
        <v>8</v>
      </c>
      <c r="L8" s="25">
        <f>K8-3</f>
        <v>5</v>
      </c>
    </row>
    <row r="9">
      <c r="B9" s="14" t="s">
        <v>26</v>
      </c>
      <c r="C9">
        <v>4</v>
      </c>
      <c r="D9">
        <v>4</v>
      </c>
      <c r="E9">
        <v>4</v>
      </c>
      <c r="F9">
        <v>3</v>
      </c>
      <c r="G9">
        <v>3</v>
      </c>
      <c r="H9">
        <v>4</v>
      </c>
      <c r="I9">
        <v>4</v>
      </c>
      <c r="K9" s="6">
        <v>8</v>
      </c>
      <c r="L9" s="25">
        <f>K9-3</f>
        <v>5</v>
      </c>
    </row>
    <row r="10">
      <c r="B10" s="14" t="s">
        <v>27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3</v>
      </c>
      <c r="K10" s="6">
        <v>3</v>
      </c>
      <c r="L10" s="25">
        <f>K10-3</f>
        <v>0</v>
      </c>
    </row>
    <row r="11">
      <c r="B11" s="14" t="s">
        <v>28</v>
      </c>
      <c r="C11">
        <v>3</v>
      </c>
      <c r="D11">
        <v>3</v>
      </c>
      <c r="E11">
        <v>3</v>
      </c>
      <c r="F11">
        <v>3</v>
      </c>
      <c r="G11">
        <v>4</v>
      </c>
      <c r="H11">
        <v>2</v>
      </c>
      <c r="I11">
        <v>1</v>
      </c>
      <c r="K11" s="6">
        <v>4</v>
      </c>
      <c r="L11" s="25">
        <f>K11-3</f>
        <v>1</v>
      </c>
    </row>
    <row r="12">
      <c r="B12" s="14" t="s">
        <v>29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</v>
      </c>
      <c r="K12" s="6">
        <v>1</v>
      </c>
      <c r="L12" s="25">
        <v>0.5</v>
      </c>
    </row>
    <row r="13">
      <c r="B13" s="14" t="s">
        <v>30</v>
      </c>
      <c r="C13">
        <v>8</v>
      </c>
      <c r="D13">
        <v>7</v>
      </c>
      <c r="E13">
        <v>7</v>
      </c>
      <c r="F13">
        <v>5</v>
      </c>
      <c r="G13">
        <v>5</v>
      </c>
      <c r="H13">
        <v>7</v>
      </c>
      <c r="I13">
        <v>4</v>
      </c>
      <c r="K13" s="6">
        <v>1</v>
      </c>
      <c r="L13" s="25">
        <v>0.5</v>
      </c>
    </row>
    <row r="14">
      <c r="B14" s="6"/>
      <c r="C14" s="6"/>
      <c r="D14" s="6"/>
      <c r="E14" s="6"/>
      <c r="F14" s="6"/>
      <c r="G14" s="6"/>
      <c r="H14" s="6"/>
      <c r="I14" s="6"/>
    </row>
    <row r="15">
      <c r="B15" s="15" t="s">
        <v>32</v>
      </c>
      <c r="C15" s="31">
        <f>$K6*C6/C$24</f>
        <v>0.5</v>
      </c>
      <c r="D15" s="31">
        <f>$K6*D6/D$24</f>
        <v>0.75</v>
      </c>
      <c r="E15" s="31">
        <f>$K6*E6/E$24</f>
        <v>1</v>
      </c>
      <c r="F15" s="31">
        <f>$L6*F6/F$24</f>
        <v>0.9333333333333</v>
      </c>
      <c r="G15" s="31">
        <f>$L6*G6/G$24</f>
        <v>1.8666666666667</v>
      </c>
      <c r="H15" s="31">
        <f>$L6*H6/H$24</f>
        <v>0.84</v>
      </c>
      <c r="I15" s="31">
        <f>$L6*I6/I$24</f>
        <v>0.105</v>
      </c>
    </row>
    <row r="16">
      <c r="B16" s="15" t="s">
        <v>33</v>
      </c>
      <c r="C16" s="31">
        <f>$K7*C7/C$24</f>
        <v>0.5</v>
      </c>
      <c r="D16" s="31">
        <f>$K7*D7/D$24</f>
        <v>0.75</v>
      </c>
      <c r="E16" s="31">
        <f>$K7*E7/E$24</f>
        <v>0.75</v>
      </c>
      <c r="F16" s="31">
        <f>$L7*F7/F$24</f>
        <v>1.4</v>
      </c>
      <c r="G16" s="31">
        <f>$L7*G7/G$24</f>
        <v>0</v>
      </c>
      <c r="H16" s="31">
        <f>$L7*H7/H$24</f>
        <v>0.84</v>
      </c>
      <c r="I16" s="31">
        <f>$L7*I7/I$24</f>
        <v>0.035</v>
      </c>
    </row>
    <row r="17">
      <c r="B17" s="15" t="s">
        <v>34</v>
      </c>
      <c r="C17" s="31">
        <f>$K8*C8/C$24</f>
        <v>0.4</v>
      </c>
      <c r="D17" s="31">
        <f>$K8*D8/D$24</f>
        <v>0.6</v>
      </c>
      <c r="E17" s="31">
        <f>$K8*E8/E$24</f>
        <v>0.6</v>
      </c>
      <c r="F17" s="31">
        <f>$L8*F8/F$24</f>
        <v>1</v>
      </c>
      <c r="G17" s="31">
        <f>$L8*G8/G$24</f>
        <v>1.3333333333333</v>
      </c>
      <c r="H17" s="31">
        <f>$L8*H8/H$24</f>
        <v>0.6</v>
      </c>
      <c r="I17" s="31">
        <f>$L8*I8/I$24</f>
        <v>0.125</v>
      </c>
    </row>
    <row r="18">
      <c r="B18" s="15" t="s">
        <v>35</v>
      </c>
      <c r="C18" s="31">
        <f>$K9*C9/C$24</f>
        <v>0.4</v>
      </c>
      <c r="D18" s="31">
        <f>$K9*D9/D$24</f>
        <v>0.8</v>
      </c>
      <c r="E18" s="31">
        <f>$K9*E9/E$24</f>
        <v>0.8</v>
      </c>
      <c r="F18" s="31">
        <f>$L9*F9/F$24</f>
        <v>1</v>
      </c>
      <c r="G18" s="31">
        <f>$L9*G9/G$24</f>
        <v>1</v>
      </c>
      <c r="H18" s="31">
        <f>$L9*H9/H$24</f>
        <v>0.8</v>
      </c>
      <c r="I18" s="31">
        <f>$L9*I9/I$24</f>
        <v>0.1</v>
      </c>
    </row>
    <row r="19">
      <c r="B19" s="15" t="s">
        <v>36</v>
      </c>
      <c r="C19" s="31">
        <f>$K10*C10/C$24</f>
        <v>0.0375</v>
      </c>
      <c r="D19" s="31">
        <f>$K10*D10/D$24</f>
        <v>0.075</v>
      </c>
      <c r="E19" s="31">
        <f>$K10*E10/E$24</f>
        <v>0.075</v>
      </c>
      <c r="F19" s="31">
        <f>$L10*F10/F$24</f>
        <v>0</v>
      </c>
      <c r="G19" s="31">
        <f>$L10*G10/G$24</f>
        <v>0</v>
      </c>
      <c r="H19" s="31">
        <f>$L10*H10/H$24</f>
        <v>0</v>
      </c>
      <c r="I19" s="31">
        <f>$L10*I10/I$24</f>
        <v>0</v>
      </c>
    </row>
    <row r="20">
      <c r="B20" s="15" t="s">
        <v>37</v>
      </c>
      <c r="C20" s="31">
        <f>$K11*C11/C$24</f>
        <v>0.15</v>
      </c>
      <c r="D20" s="31">
        <f>$K11*D11/D$24</f>
        <v>0.3</v>
      </c>
      <c r="E20" s="31">
        <f>$K11*E11/E$24</f>
        <v>0.3</v>
      </c>
      <c r="F20" s="31">
        <f>$L11*F11/F$24</f>
        <v>0.2</v>
      </c>
      <c r="G20" s="31">
        <f>$L11*G11/G$24</f>
        <v>0.2666666666667</v>
      </c>
      <c r="H20" s="31">
        <f>$L11*H11/H$24</f>
        <v>0.08</v>
      </c>
      <c r="I20" s="31">
        <f>$L11*I11/I$24</f>
        <v>0.005</v>
      </c>
    </row>
    <row r="21">
      <c r="B21" s="15" t="s">
        <v>38</v>
      </c>
      <c r="C21" s="31">
        <f>$K12*C12/C$24</f>
        <v>0.0125</v>
      </c>
      <c r="D21" s="31">
        <f>$K12*D12/D$24</f>
        <v>0.025</v>
      </c>
      <c r="E21" s="31">
        <f>$K12*E12/E$24</f>
        <v>0.025</v>
      </c>
      <c r="F21" s="31">
        <f>$L12*F12/F$24</f>
        <v>0.0333333333333</v>
      </c>
      <c r="G21" s="31">
        <f>$L12*G12/G$24</f>
        <v>0.0333333333333</v>
      </c>
      <c r="H21" s="31">
        <f>$L12*H12/H$24</f>
        <v>0.02</v>
      </c>
      <c r="I21" s="31">
        <f>$L12*I12/I$24</f>
        <v>0.0075</v>
      </c>
    </row>
    <row r="22">
      <c r="B22" s="15" t="s">
        <v>39</v>
      </c>
      <c r="C22" s="31">
        <f>$K13*C13/C$24</f>
        <v>0.1</v>
      </c>
      <c r="D22" s="31">
        <f>$K13*D13/D$24</f>
        <v>0.175</v>
      </c>
      <c r="E22" s="31">
        <f>$K13*E13/E$24</f>
        <v>0.175</v>
      </c>
      <c r="F22" s="31">
        <f>$L13*F13/F$24</f>
        <v>0.1666666666667</v>
      </c>
      <c r="G22" s="31">
        <f>$L13*G13/G$24</f>
        <v>0.1666666666667</v>
      </c>
      <c r="H22" s="31">
        <f>$L13*H13/H$24</f>
        <v>0.14</v>
      </c>
      <c r="I22" s="31">
        <f>$L13*I13/I$24</f>
        <v>0.01</v>
      </c>
    </row>
    <row r="23">
      <c r="B23" s="6"/>
      <c r="C23" s="6"/>
      <c r="D23" s="6"/>
      <c r="E23" s="1"/>
      <c r="F23" s="6"/>
      <c r="G23" s="6"/>
      <c r="H23" s="6"/>
      <c r="I23" s="6"/>
      <c r="J23" s="6"/>
    </row>
    <row r="24">
      <c r="B24" s="16" t="s">
        <v>40</v>
      </c>
      <c r="C24" s="11">
        <f>'cost calculation'!D11</f>
        <v>80</v>
      </c>
      <c r="D24" s="11">
        <f>'cost calculation'!D12</f>
        <v>40</v>
      </c>
      <c r="E24" s="11">
        <f>'cost calculation'!D13</f>
        <v>40</v>
      </c>
      <c r="F24" s="11">
        <f>'cost calculation'!D14</f>
        <v>15</v>
      </c>
      <c r="G24" s="11">
        <f>'cost calculation'!D15</f>
        <v>15</v>
      </c>
      <c r="H24" s="11">
        <f>'cost calculation'!D16</f>
        <v>25</v>
      </c>
      <c r="I24" s="11">
        <f>'cost calculation'!D17</f>
        <v>200</v>
      </c>
      <c r="J24" s="6"/>
    </row>
    <row r="26">
      <c r="C26" s="31">
        <f>SUM(C15:C22)</f>
        <v>2.1</v>
      </c>
      <c r="D26" s="31">
        <f>SUM(D15:D22)</f>
        <v>3.475</v>
      </c>
      <c r="E26" s="31">
        <f>SUM(E15:E22)</f>
        <v>3.725</v>
      </c>
      <c r="F26" s="31">
        <f>SUM(F15:F22)</f>
        <v>4.7333333333333</v>
      </c>
      <c r="G26" s="31">
        <f>SUM(G15:G22)</f>
        <v>4.6666666666667</v>
      </c>
      <c r="H26" s="31">
        <f>SUM(H15:H22)</f>
        <v>3.32</v>
      </c>
      <c r="I26" s="31">
        <f>SUM(I15:I22)</f>
        <v>0.3875</v>
      </c>
    </row>
    <row r="27">
      <c r="C27">
        <f>'cost calculation'!$E11*'Characteristik analyse'!C26</f>
        <v>2.1</v>
      </c>
      <c r="D27" s="6">
        <f>'cost calculation'!$E12*'Characteristik analyse'!D26</f>
        <v>3.475</v>
      </c>
      <c r="E27" s="6">
        <f>'cost calculation'!$E13*'Characteristik analyse'!E26</f>
        <v>11.175</v>
      </c>
      <c r="F27" s="6">
        <f>'cost calculation'!$E14*'Characteristik analyse'!F26</f>
        <v>18.933333333333</v>
      </c>
      <c r="G27" s="6">
        <f>'cost calculation'!$E15*'Characteristik analyse'!G26</f>
        <v>0</v>
      </c>
      <c r="H27" s="6">
        <f>'cost calculation'!$E16*'Characteristik analyse'!H26</f>
        <v>0</v>
      </c>
      <c r="I27" s="6">
        <f>'cost calculation'!$E17*'Characteristik analyse'!I26</f>
        <v>0</v>
      </c>
      <c r="J27" s="1">
        <f>SUM(C27:I27)</f>
        <v>35.683333333333</v>
      </c>
    </row>
  </sheetData>
  <mergeCells count="3">
    <mergeCell ref="C3:F3"/>
    <mergeCell ref="G3:I3"/>
    <mergeCell ref="K4:L4"/>
  </mergeCells>
  <conditionalFormatting sqref="C5:I1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I24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I22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I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18"/>
  <sheetViews>
    <sheetView zoomScaleNormal="100" workbookViewId="0">
      <selection activeCell="E16" sqref="E16"/>
    </sheetView>
  </sheetViews>
  <sheetFormatPr baseColWidth="10" defaultColWidth="11.5703125" defaultRowHeight="12.75" x14ac:dyDescent="0.2"/>
  <cols>
    <col min="2" max="2" width="34.28515625" bestFit="1" customWidth="1"/>
    <col min="3" max="3" width="12.42578125" customWidth="1"/>
    <col min="4" max="4" width="9.140625" customWidth="1"/>
    <col min="5" max="5" width="17.140625" customWidth="1"/>
    <col min="6" max="6" width="19.140625" customWidth="1"/>
    <col min="7" max="7" width="22.42578125" bestFit="1" customWidth="1"/>
  </cols>
  <sheetData>
    <row r="3">
      <c r="B3" s="1" t="s">
        <v>19</v>
      </c>
      <c r="C3" s="3" t="s">
        <v>50</v>
      </c>
      <c r="D3" s="3" t="s">
        <v>44</v>
      </c>
      <c r="E3" s="3" t="s">
        <v>49</v>
      </c>
      <c r="F3" s="3" t="s">
        <v>75</v>
      </c>
      <c r="G3" s="3" t="s">
        <v>77</v>
      </c>
    </row>
    <row r="4">
      <c r="B4" s="7" t="s">
        <v>73</v>
      </c>
      <c r="C4" s="8">
        <v>6.3</v>
      </c>
      <c r="D4" s="8">
        <f>C4/1</f>
        <v>6.3</v>
      </c>
      <c r="E4">
        <v>1</v>
      </c>
      <c r="F4" s="8">
        <f>E4*D4</f>
        <v>6.3</v>
      </c>
      <c r="G4" s="32">
        <f>Tabelle4[[#This Row],[€ genutzt/Packung]]/Tabelle4[[#This Row],[€/Packung]]</f>
        <v>1</v>
      </c>
    </row>
    <row r="5">
      <c r="B5" s="7" t="s">
        <v>72</v>
      </c>
      <c r="C5" s="8">
        <v>10.71</v>
      </c>
      <c r="D5" s="8">
        <f>C5/1</f>
        <v>10.71</v>
      </c>
      <c r="E5">
        <v>0</v>
      </c>
      <c r="F5" s="8">
        <f>E5*D5</f>
        <v>0</v>
      </c>
      <c r="G5" s="32">
        <f>Tabelle4[[#This Row],[€ genutzt/Packung]]/Tabelle4[[#This Row],[€/Packung]]</f>
        <v>0</v>
      </c>
    </row>
    <row r="6">
      <c r="B6" s="7" t="s">
        <v>71</v>
      </c>
      <c r="C6" s="8">
        <v>8.95</v>
      </c>
      <c r="D6" s="8">
        <f>C6/3</f>
        <v>2.9833333333333</v>
      </c>
      <c r="E6">
        <v>0</v>
      </c>
      <c r="F6" s="8">
        <f>E6*D6</f>
        <v>0</v>
      </c>
      <c r="G6" s="32">
        <f>Tabelle4[[#This Row],[€ genutzt/Packung]]/Tabelle4[[#This Row],[€/Packung]]</f>
        <v>0</v>
      </c>
    </row>
    <row r="7">
      <c r="B7" s="7" t="s">
        <v>70</v>
      </c>
      <c r="C7" s="8">
        <v>9.45</v>
      </c>
      <c r="D7" s="8">
        <f>C7/3</f>
        <v>3.15</v>
      </c>
      <c r="E7">
        <v>3</v>
      </c>
      <c r="F7" s="8">
        <f>E7*D7</f>
        <v>9.45</v>
      </c>
      <c r="G7" s="32">
        <f>Tabelle4[[#This Row],[€ genutzt/Packung]]/Tabelle4[[#This Row],[€/Packung]]</f>
        <v>1</v>
      </c>
    </row>
    <row r="8">
      <c r="B8" s="7" t="s">
        <v>69</v>
      </c>
      <c r="C8" s="8">
        <v>11.99</v>
      </c>
      <c r="D8" s="8">
        <f>C8/1</f>
        <v>11.99</v>
      </c>
      <c r="E8">
        <v>0</v>
      </c>
      <c r="F8" s="8">
        <f>E8*D8</f>
        <v>0</v>
      </c>
      <c r="G8" s="32">
        <f>Tabelle4[[#This Row],[€ genutzt/Packung]]/Tabelle4[[#This Row],[€/Packung]]</f>
        <v>0</v>
      </c>
    </row>
    <row r="9">
      <c r="B9" s="7" t="s">
        <v>68</v>
      </c>
      <c r="C9" s="8">
        <v>10.36</v>
      </c>
      <c r="D9" s="8">
        <f>C9/1</f>
        <v>10.36</v>
      </c>
      <c r="E9">
        <v>1</v>
      </c>
      <c r="F9" s="8">
        <f>E9*D9</f>
        <v>10.36</v>
      </c>
      <c r="G9" s="32">
        <f>Tabelle4[[#This Row],[€ genutzt/Packung]]/Tabelle4[[#This Row],[€/Packung]]</f>
        <v>1</v>
      </c>
    </row>
    <row r="10">
      <c r="B10" s="7" t="s">
        <v>67</v>
      </c>
      <c r="C10" s="8">
        <v>35.2</v>
      </c>
      <c r="D10" s="8">
        <f>C10/20</f>
        <v>1.76</v>
      </c>
      <c r="E10">
        <v>0</v>
      </c>
      <c r="F10" s="8">
        <f>E10*D10</f>
        <v>0</v>
      </c>
      <c r="G10" s="32">
        <f>Tabelle4[[#This Row],[€ genutzt/Packung]]/Tabelle4[[#This Row],[€/Packung]]</f>
        <v>0</v>
      </c>
    </row>
    <row r="11">
      <c r="B11" s="7" t="s">
        <v>66</v>
      </c>
      <c r="C11" s="8">
        <v>21.49</v>
      </c>
      <c r="D11" s="8">
        <f>C11/10</f>
        <v>2.149</v>
      </c>
      <c r="E11">
        <v>0</v>
      </c>
      <c r="F11" s="8">
        <f>E11*D11</f>
        <v>0</v>
      </c>
      <c r="G11" s="32">
        <f>Tabelle4[[#This Row],[€ genutzt/Packung]]/Tabelle4[[#This Row],[€/Packung]]</f>
        <v>0</v>
      </c>
    </row>
    <row r="12">
      <c r="B12" s="7" t="s">
        <v>65</v>
      </c>
      <c r="C12" s="8">
        <v>19.99</v>
      </c>
      <c r="D12" s="8">
        <f>C12/10</f>
        <v>1.999</v>
      </c>
      <c r="E12" s="6">
        <v>0</v>
      </c>
      <c r="F12" s="8">
        <f>E12*D12</f>
        <v>0</v>
      </c>
      <c r="G12" s="32">
        <f>Tabelle4[[#This Row],[€ genutzt/Packung]]/Tabelle4[[#This Row],[€/Packung]]</f>
        <v>0</v>
      </c>
    </row>
    <row r="13">
      <c r="B13" s="7" t="s">
        <v>64</v>
      </c>
      <c r="C13" s="8">
        <v>7.99</v>
      </c>
      <c r="D13" s="8">
        <f>C13/1</f>
        <v>7.99</v>
      </c>
      <c r="E13" s="6">
        <v>0</v>
      </c>
      <c r="F13" s="8">
        <f>E13*D13</f>
        <v>0</v>
      </c>
      <c r="G13" s="32">
        <f>Tabelle4[[#This Row],[€ genutzt/Packung]]/Tabelle4[[#This Row],[€/Packung]]</f>
        <v>0</v>
      </c>
    </row>
    <row r="14">
      <c r="B14" s="7" t="s">
        <v>63</v>
      </c>
      <c r="C14" s="8">
        <v>19.99</v>
      </c>
      <c r="D14" s="8">
        <f>C14/3</f>
        <v>6.6633333333333</v>
      </c>
      <c r="E14" s="6">
        <v>0</v>
      </c>
      <c r="F14" s="8">
        <f>E14*D14</f>
        <v>0</v>
      </c>
      <c r="G14" s="32">
        <f>Tabelle4[[#This Row],[€ genutzt/Packung]]/Tabelle4[[#This Row],[€/Packung]]</f>
        <v>0</v>
      </c>
    </row>
    <row r="15">
      <c r="B15" s="7" t="s">
        <v>62</v>
      </c>
      <c r="C15" s="8">
        <v>11.99</v>
      </c>
      <c r="D15" s="8">
        <f>C15/2</f>
        <v>5.995</v>
      </c>
      <c r="E15" s="6">
        <v>0</v>
      </c>
      <c r="F15" s="8">
        <f>E15*D15</f>
        <v>0</v>
      </c>
      <c r="G15" s="32">
        <f>Tabelle4[[#This Row],[€ genutzt/Packung]]/Tabelle4[[#This Row],[€/Packung]]</f>
        <v>0</v>
      </c>
    </row>
    <row r="16">
      <c r="B16" s="7" t="s">
        <v>51</v>
      </c>
      <c r="C16" s="8">
        <v>19.99</v>
      </c>
      <c r="D16" s="8">
        <f>C16/20</f>
        <v>0.9995</v>
      </c>
      <c r="E16" s="6">
        <v>0</v>
      </c>
      <c r="F16" s="8">
        <f>E16*D16</f>
        <v>0</v>
      </c>
      <c r="G16" s="32">
        <f>Tabelle4[[#This Row],[€ genutzt/Packung]]/Tabelle4[[#This Row],[€/Packung]]</f>
        <v>0</v>
      </c>
    </row>
    <row r="17" customFormat="1" s="6">
      <c r="B17" s="7" t="s">
        <v>74</v>
      </c>
      <c r="C17" s="8">
        <v>22.75</v>
      </c>
      <c r="D17" s="8">
        <f>C17/10</f>
        <v>2.275</v>
      </c>
      <c r="E17" s="6">
        <v>1</v>
      </c>
      <c r="F17" s="8">
        <f>E17*D17</f>
        <v>2.275</v>
      </c>
      <c r="G17" s="32">
        <f>Tabelle4[[#This Row],[€ genutzt/Packung]]/Tabelle4[[#This Row],[€/Packung]]</f>
        <v>0.1</v>
      </c>
    </row>
    <row r="18">
      <c r="B18" s="1" t="s">
        <v>43</v>
      </c>
      <c r="C18" s="9">
        <f>SUM(C4:C17)</f>
        <v>217.15</v>
      </c>
      <c r="E18" s="1" t="s">
        <v>48</v>
      </c>
      <c r="F18" s="9">
        <f>SUM(F4:F17)</f>
        <v>28.385</v>
      </c>
    </row>
  </sheetData>
  <conditionalFormatting sqref="C4:C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:D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warband detail</vt:lpstr>
      <vt:lpstr>cost calculation</vt:lpstr>
      <vt:lpstr>Characteristik analyse</vt:lpstr>
      <vt:lpstr>Boxen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Lauterbach Kai (BEG/ESB2)</dc:creator>
  <cp:lastModifiedBy>klaute</cp:lastModifiedBy>
  <dcterms:created xsi:type="dcterms:W3CDTF">2018-09-16T19:58:19Z</dcterms:created>
  <dcterms:modified xsi:type="dcterms:W3CDTF">2018-09-16T20:12:04Z</dcterms:modified>
</cp:coreProperties>
</file>