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nein\"/>
    </mc:Choice>
  </mc:AlternateContent>
  <xr:revisionPtr revIDLastSave="0" documentId="10_ncr:8100000_{378040C0-CD95-4FC4-81EC-530C0CE03520}" xr6:coauthVersionLast="34" xr6:coauthVersionMax="34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  <sheet name="Boxe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28" i="2" l="1"/>
  <c r="I28" i="2"/>
  <c r="H28" i="2"/>
  <c r="G28" i="2"/>
  <c r="F28" i="2"/>
  <c r="E28" i="2"/>
  <c r="D28" i="2"/>
  <c r="C28" i="2"/>
  <c r="I7" i="1" l="1"/>
  <c r="K6" i="1" l="1"/>
  <c r="J6" i="1"/>
  <c r="U40" i="1"/>
  <c r="U41" i="1"/>
  <c r="I6" i="1"/>
  <c r="U39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I5" i="1" l="1"/>
  <c r="P26" i="1" l="1"/>
  <c r="P27" i="1"/>
  <c r="P28" i="1"/>
  <c r="P29" i="1"/>
  <c r="P30" i="1"/>
  <c r="P31" i="1"/>
  <c r="P32" i="1"/>
  <c r="P33" i="1"/>
  <c r="P34" i="1"/>
  <c r="P35" i="1"/>
  <c r="P36" i="1"/>
  <c r="P37" i="1"/>
  <c r="P38" i="1"/>
  <c r="P25" i="1"/>
  <c r="J39" i="1"/>
  <c r="K39" i="1"/>
  <c r="L39" i="1"/>
  <c r="M39" i="1"/>
  <c r="N39" i="1"/>
  <c r="O39" i="1"/>
  <c r="I39" i="1"/>
  <c r="P39" i="1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I26" i="2"/>
  <c r="H26" i="2"/>
  <c r="G26" i="2"/>
  <c r="F26" i="2"/>
  <c r="F19" i="2" s="1"/>
  <c r="E26" i="2"/>
  <c r="D26" i="2"/>
  <c r="C26" i="2"/>
  <c r="I6" i="2"/>
  <c r="H6" i="2"/>
  <c r="G6" i="2"/>
  <c r="F6" i="2"/>
  <c r="E6" i="2"/>
  <c r="D6" i="2"/>
  <c r="C6" i="2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5" i="1"/>
  <c r="F20" i="2" l="1"/>
  <c r="F18" i="2"/>
  <c r="F17" i="2"/>
  <c r="F24" i="2"/>
  <c r="F22" i="2"/>
  <c r="F23" i="2"/>
  <c r="F21" i="2"/>
  <c r="R39" i="1" l="1"/>
  <c r="E7" i="4"/>
  <c r="G7" i="4" s="1"/>
  <c r="C18" i="4"/>
  <c r="E17" i="4"/>
  <c r="G17" i="4"/>
  <c r="H17" i="4" s="1"/>
  <c r="E16" i="4"/>
  <c r="G16" i="4"/>
  <c r="E15" i="4"/>
  <c r="G15" i="4" s="1"/>
  <c r="E14" i="4"/>
  <c r="G14" i="4"/>
  <c r="E13" i="4"/>
  <c r="G13" i="4"/>
  <c r="E12" i="4"/>
  <c r="G12" i="4"/>
  <c r="E11" i="4"/>
  <c r="G11" i="4" s="1"/>
  <c r="E10" i="4"/>
  <c r="G10" i="4"/>
  <c r="E9" i="4"/>
  <c r="G9" i="4"/>
  <c r="E8" i="4"/>
  <c r="G8" i="4"/>
  <c r="E6" i="4"/>
  <c r="G6" i="4" s="1"/>
  <c r="E5" i="4"/>
  <c r="G5" i="4"/>
  <c r="E4" i="4"/>
  <c r="G4" i="4"/>
  <c r="H23" i="2"/>
  <c r="G24" i="2"/>
  <c r="E18" i="2"/>
  <c r="D21" i="2"/>
  <c r="C17" i="2"/>
  <c r="L13" i="2"/>
  <c r="L12" i="2"/>
  <c r="L11" i="2"/>
  <c r="L10" i="2"/>
  <c r="L9" i="2"/>
  <c r="L8" i="2"/>
  <c r="E21" i="1"/>
  <c r="G15" i="1"/>
  <c r="G16" i="1"/>
  <c r="G17" i="1"/>
  <c r="G18" i="1"/>
  <c r="G19" i="1"/>
  <c r="G20" i="1"/>
  <c r="G14" i="1"/>
  <c r="I21" i="2" l="1"/>
  <c r="G18" i="4"/>
  <c r="D20" i="2"/>
  <c r="I18" i="2"/>
  <c r="I24" i="2"/>
  <c r="I17" i="2"/>
  <c r="E17" i="2"/>
  <c r="I23" i="2"/>
  <c r="I19" i="2"/>
  <c r="I22" i="2"/>
  <c r="G21" i="1"/>
  <c r="C6" i="1" s="1"/>
  <c r="C7" i="1" s="1"/>
  <c r="I20" i="2"/>
  <c r="E22" i="2"/>
  <c r="G17" i="2"/>
  <c r="C18" i="2"/>
  <c r="G19" i="2"/>
  <c r="G18" i="2"/>
  <c r="G22" i="2"/>
  <c r="C22" i="2"/>
  <c r="G23" i="2"/>
  <c r="G21" i="2"/>
  <c r="G20" i="2"/>
  <c r="H19" i="2"/>
  <c r="C19" i="2"/>
  <c r="H17" i="2"/>
  <c r="E20" i="2"/>
  <c r="E19" i="2"/>
  <c r="H21" i="2"/>
  <c r="E23" i="2"/>
  <c r="H22" i="2"/>
  <c r="H20" i="2"/>
  <c r="C21" i="2"/>
  <c r="D18" i="2"/>
  <c r="C23" i="2"/>
  <c r="C20" i="2"/>
  <c r="D17" i="2"/>
  <c r="H18" i="2"/>
  <c r="D19" i="2"/>
  <c r="E24" i="2"/>
  <c r="D23" i="2"/>
  <c r="C24" i="2"/>
  <c r="H24" i="2"/>
  <c r="E21" i="2"/>
  <c r="D22" i="2"/>
  <c r="D24" i="2"/>
</calcChain>
</file>

<file path=xl/sharedStrings.xml><?xml version="1.0" encoding="utf-8"?>
<sst xmlns="http://schemas.openxmlformats.org/spreadsheetml/2006/main" count="166" uniqueCount="134">
  <si>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</si>
  <si>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</si>
  <si>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</si>
  <si>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</si>
  <si>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</si>
  <si>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</si>
  <si>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</si>
  <si>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</si>
  <si>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</si>
  <si>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</si>
  <si>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</si>
  <si>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</si>
  <si>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</si>
  <si>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</si>
  <si>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</si>
  <si>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</si>
  <si>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</si>
  <si>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</si>
  <si>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</si>
  <si>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zweihänder, leichte rüstung</t>
  </si>
  <si>
    <t>2 dolche/schwerter</t>
  </si>
  <si>
    <t>2 dolche/äxte/schwerter</t>
  </si>
  <si>
    <t>Mögliche einheiten</t>
  </si>
  <si>
    <t>Ausrüstung</t>
  </si>
  <si>
    <t>je 1 dolch/schwert</t>
  </si>
  <si>
    <t>je 1 speer 3 schild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</si>
  <si>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</si>
  <si>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</si>
  <si>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</si>
  <si>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</si>
  <si>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</si>
  <si>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</si>
  <si>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</si>
  <si>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</si>
  <si>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</si>
  <si>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</si>
  <si>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</si>
  <si>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</si>
  <si>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</si>
  <si>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</si>
  <si>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</si>
  <si>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</si>
  <si>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</si>
  <si>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</si>
  <si>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</si>
  <si>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</si>
  <si>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</si>
  <si>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</si>
  <si>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</si>
  <si>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</si>
  <si>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</si>
  <si>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</si>
  <si>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</si>
  <si>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Bogen</t>
  </si>
  <si>
    <t>gemischt</t>
  </si>
  <si>
    <t>Äxte (1h/2h/schilde)</t>
  </si>
  <si>
    <t>Schwert/Banner</t>
  </si>
  <si>
    <t>Kosten Warband</t>
  </si>
  <si>
    <t>Genutzte figuren</t>
  </si>
  <si>
    <t>Schwert/Axt</t>
  </si>
  <si>
    <t>Keule/Schwert/Schuld</t>
  </si>
  <si>
    <t>€/Packung</t>
  </si>
  <si>
    <t>2h Äxte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</si>
  <si>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</si>
  <si>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</si>
  <si>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</si>
  <si>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</si>
  <si>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</si>
  <si>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</si>
  <si>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</si>
  <si>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</si>
  <si>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</si>
  <si>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</si>
  <si>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</si>
  <si>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</si>
  <si>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</si>
  <si>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</si>
  <si>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</si>
  <si>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</si>
  <si>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</si>
  <si>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</si>
  <si>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</si>
  <si>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</si>
  <si>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</si>
  <si>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</si>
  <si>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</si>
  <si>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</si>
  <si>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Gemischt</t>
  </si>
  <si>
    <t>€ genutzt/Packung</t>
  </si>
  <si>
    <t>ausrüstung gesamt</t>
  </si>
  <si>
    <t>Prozentuale Nutzung</t>
  </si>
  <si>
    <t>wunsch</t>
  </si>
  <si>
    <t>zusatzkosten</t>
  </si>
  <si>
    <t>Gruppe</t>
  </si>
  <si>
    <t>young'uns</t>
  </si>
  <si>
    <t>shootaz</t>
  </si>
  <si>
    <t>orc boss (1)</t>
  </si>
  <si>
    <t>Black Orcs</t>
  </si>
  <si>
    <t>choppa (morgenstern)</t>
  </si>
  <si>
    <t>buckler</t>
  </si>
  <si>
    <t>schwere rüstung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</si>
  <si>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</si>
  <si>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</si>
  <si>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</si>
  <si>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</si>
  <si>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</si>
  <si>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</si>
  <si>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</si>
  <si>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</si>
  <si>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</si>
  <si>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</si>
  <si>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</si>
  <si>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</si>
  <si>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</si>
  <si>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</si>
  <si>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</si>
  <si>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</si>
  <si>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</si>
  <si>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</si>
  <si>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Move or Fire</t>
  </si>
  <si>
    <t>save 6 D6</t>
  </si>
  <si>
    <t>save 5+ D6</t>
  </si>
  <si>
    <t>general 6+save</t>
  </si>
  <si>
    <t>Anzahl</t>
  </si>
  <si>
    <t>save 4+ D6</t>
  </si>
  <si>
    <t>Rout test by</t>
  </si>
  <si>
    <t>v1.6</t>
  </si>
  <si>
    <t>Equip rating</t>
  </si>
  <si>
    <t>Bewertung</t>
  </si>
  <si>
    <t>Warband equip rating</t>
  </si>
  <si>
    <t>er ges</t>
  </si>
  <si>
    <t>er off</t>
  </si>
  <si>
    <t>er deff</t>
  </si>
  <si>
    <t>Magic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</si>
</sst>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10" fontId="0" fillId="0" borderId="0" xfId="0" applyNumberFormat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9" fillId="0" borderId="0" xfId="0" applyFont="1"/>
    <xf numFmtId="0" fontId="5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21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4:U38" totalsRowShown="0" headerRowDxfId="16" headerRowBorderDxfId="15" tableBorderDxfId="14">
  <autoFilter ref="C24:U38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3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2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#REF!+#REF!+#REF!+#REF!+#REF!+#REF!+#REF!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H17" totalsRowShown="0" headerRowDxfId="5">
  <autoFilter ref="B3:H17" xr:uid="{00000000-0009-0000-0100-000004000000}"/>
  <tableColumns count="7">
    <tableColumn id="1" xr3:uid="{00000000-0010-0000-0100-000001000000}" name="Mögliche einheiten" dataDxfId="4"/>
    <tableColumn id="2" xr3:uid="{00000000-0010-0000-0100-000002000000}" name="€/Packung" dataDxfId="3"/>
    <tableColumn id="3" xr3:uid="{00000000-0010-0000-0100-000003000000}" name="Ausrüstung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F4*E4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16"/>
  <sheetViews>
    <sheetView tabSelected="1" zoomScale="85" zoomScaleNormal="85" workbookViewId="0">
      <selection activeCell="I4" sqref="I4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2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42.5703125" bestFit="1" customWidth="1"/>
    <col min="8" max="8" width="14.28515625" bestFit="1" customWidth="1"/>
    <col min="9" max="9" width="8.5703125" bestFit="1" customWidth="1"/>
    <col min="10" max="10" width="14.28515625" style="6" bestFit="1" customWidth="1"/>
    <col min="11" max="11" width="13.85546875" style="6" bestFit="1" customWidth="1"/>
    <col min="12" max="12" width="8.85546875" style="6" bestFit="1" customWidth="1"/>
    <col min="13" max="13" width="11.7109375" style="6" bestFit="1" customWidth="1"/>
    <col min="14" max="14" width="10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6.42578125" style="6" bestFit="1" customWidth="1"/>
    <col min="19" max="19" width="11.42578125" style="6" bestFit="1" customWidth="1"/>
    <col min="20" max="20" width="14.28515625" style="6" bestFit="1" customWidth="1"/>
    <col min="21" max="21" width="25.28515625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1" ht="18" x14ac:dyDescent="0.25">
      <c r="B2" s="11" t="s">
        <v>16</v>
      </c>
      <c r="C2" s="20" t="s">
        <v>97</v>
      </c>
      <c r="D2" s="20"/>
      <c r="E2" s="20"/>
      <c r="F2" s="22">
        <v>43340</v>
      </c>
    </row>
    <row r="3" spans="2:11" s="6" customFormat="1" ht="18" x14ac:dyDescent="0.25">
      <c r="B3" s="11" t="s">
        <v>126</v>
      </c>
      <c r="E3" s="10"/>
      <c r="F3" s="21"/>
      <c r="H3" s="6" t="s">
        <v>133</v>
      </c>
      <c r="I3" s="6">
        <v>0</v>
      </c>
    </row>
    <row r="4" spans="2:11" x14ac:dyDescent="0.2">
      <c r="H4" s="11" t="s">
        <v>72</v>
      </c>
      <c r="I4" s="10">
        <f>5*SUM(E14:E20)+E14*F14+E15*F15+E16*F16+E17*F17+E18*F18+E19*F19+E20*F20+15+10+10+10+10</f>
        <v>116</v>
      </c>
    </row>
    <row r="5" spans="2:11" ht="15" x14ac:dyDescent="0.2">
      <c r="B5" s="4" t="s">
        <v>0</v>
      </c>
      <c r="C5" s="4">
        <v>500</v>
      </c>
      <c r="H5" t="s">
        <v>125</v>
      </c>
      <c r="I5" s="10">
        <f>E21/4</f>
        <v>1.25</v>
      </c>
    </row>
    <row r="6" spans="2:11" ht="15.75" thickBot="1" x14ac:dyDescent="0.25">
      <c r="B6" s="4" t="s">
        <v>18</v>
      </c>
      <c r="C6" s="4">
        <f>G21+Member!P39</f>
        <v>500</v>
      </c>
      <c r="H6" s="5" t="s">
        <v>127</v>
      </c>
      <c r="I6" s="38">
        <f>U39</f>
        <v>157</v>
      </c>
      <c r="J6" s="6">
        <f>U40</f>
        <v>70</v>
      </c>
      <c r="K6" s="6">
        <f>U41</f>
        <v>87</v>
      </c>
    </row>
    <row r="7" spans="2:11" ht="16.5" thickTop="1" x14ac:dyDescent="0.25">
      <c r="B7" s="26" t="s">
        <v>15</v>
      </c>
      <c r="C7" s="34">
        <f>C5-C6</f>
        <v>0</v>
      </c>
      <c r="I7" s="2">
        <f>(I3+I6+I4)*I5</f>
        <v>341.25</v>
      </c>
    </row>
    <row r="8" spans="2:11" s="6" customFormat="1" x14ac:dyDescent="0.2">
      <c r="B8" s="26"/>
      <c r="C8" s="34"/>
    </row>
    <row r="9" spans="2:11" s="6" customFormat="1" x14ac:dyDescent="0.2">
      <c r="B9" s="26"/>
      <c r="C9" s="34"/>
    </row>
    <row r="11" spans="2:11" s="6" customFormat="1" x14ac:dyDescent="0.2"/>
    <row r="12" spans="2:11" s="6" customFormat="1" x14ac:dyDescent="0.2"/>
    <row r="13" spans="2:11" x14ac:dyDescent="0.2">
      <c r="C13" s="12" t="s">
        <v>17</v>
      </c>
      <c r="D13" s="12" t="s">
        <v>26</v>
      </c>
      <c r="E13" s="12" t="s">
        <v>13</v>
      </c>
      <c r="F13" s="12" t="s">
        <v>73</v>
      </c>
      <c r="G13" s="12" t="s">
        <v>14</v>
      </c>
    </row>
    <row r="14" spans="2:11" x14ac:dyDescent="0.2">
      <c r="B14" s="39" t="s">
        <v>50</v>
      </c>
      <c r="C14" t="s">
        <v>96</v>
      </c>
      <c r="D14">
        <v>80</v>
      </c>
      <c r="E14" s="11">
        <v>1</v>
      </c>
      <c r="F14" s="27">
        <v>20</v>
      </c>
      <c r="G14">
        <f t="shared" ref="G14:G20" si="0">E14*D14</f>
        <v>80</v>
      </c>
    </row>
    <row r="15" spans="2:11" x14ac:dyDescent="0.2">
      <c r="B15" s="39"/>
      <c r="C15" t="s">
        <v>106</v>
      </c>
      <c r="D15">
        <v>40</v>
      </c>
      <c r="E15" s="11">
        <v>2</v>
      </c>
      <c r="F15" s="27">
        <v>8</v>
      </c>
      <c r="G15">
        <f t="shared" si="0"/>
        <v>80</v>
      </c>
    </row>
    <row r="16" spans="2:11" x14ac:dyDescent="0.2">
      <c r="B16" s="39"/>
      <c r="C16" t="s">
        <v>107</v>
      </c>
      <c r="D16">
        <v>25</v>
      </c>
      <c r="E16" s="11">
        <v>2</v>
      </c>
      <c r="F16" s="27">
        <v>0</v>
      </c>
      <c r="G16">
        <f t="shared" si="0"/>
        <v>50</v>
      </c>
    </row>
    <row r="17" spans="2:21" x14ac:dyDescent="0.2">
      <c r="B17" s="39" t="s">
        <v>51</v>
      </c>
      <c r="C17" t="s">
        <v>103</v>
      </c>
      <c r="D17">
        <v>25</v>
      </c>
      <c r="E17" s="11">
        <v>0</v>
      </c>
      <c r="F17" s="27">
        <v>0</v>
      </c>
      <c r="G17">
        <f t="shared" si="0"/>
        <v>0</v>
      </c>
    </row>
    <row r="18" spans="2:21" x14ac:dyDescent="0.2">
      <c r="B18" s="39"/>
      <c r="C18" t="s">
        <v>110</v>
      </c>
      <c r="D18">
        <v>25</v>
      </c>
      <c r="E18" s="11">
        <v>0</v>
      </c>
      <c r="F18" s="27">
        <v>0</v>
      </c>
      <c r="G18">
        <f t="shared" si="0"/>
        <v>0</v>
      </c>
    </row>
    <row r="19" spans="2:21" x14ac:dyDescent="0.2">
      <c r="B19" s="39"/>
      <c r="C19" t="s">
        <v>109</v>
      </c>
      <c r="D19">
        <v>40</v>
      </c>
      <c r="E19" s="11">
        <v>0</v>
      </c>
      <c r="F19" s="27">
        <v>0</v>
      </c>
      <c r="G19">
        <f t="shared" si="0"/>
        <v>0</v>
      </c>
    </row>
    <row r="20" spans="2:21" ht="13.5" thickBot="1" x14ac:dyDescent="0.25">
      <c r="B20" s="39"/>
      <c r="C20" s="5" t="s">
        <v>108</v>
      </c>
      <c r="D20" s="5">
        <v>200</v>
      </c>
      <c r="E20" s="32">
        <v>0</v>
      </c>
      <c r="F20" s="28">
        <v>0</v>
      </c>
      <c r="G20" s="5">
        <f t="shared" si="0"/>
        <v>0</v>
      </c>
    </row>
    <row r="21" spans="2:21" ht="16.5" thickTop="1" x14ac:dyDescent="0.25">
      <c r="C21" s="16" t="s">
        <v>48</v>
      </c>
      <c r="E21" s="2">
        <f>SUM(E14:E20)</f>
        <v>5</v>
      </c>
      <c r="F21" s="6"/>
      <c r="G21" s="2">
        <f>SUM(G14:G20)</f>
        <v>210</v>
      </c>
    </row>
    <row r="22" spans="2:21" s="6" customFormat="1" x14ac:dyDescent="0.2">
      <c r="B22" s="17"/>
      <c r="F22" s="1"/>
      <c r="I22" s="40" t="s">
        <v>123</v>
      </c>
      <c r="J22" s="40"/>
      <c r="K22" s="40"/>
      <c r="L22" s="40"/>
      <c r="M22" s="40"/>
      <c r="N22" s="40"/>
      <c r="O22" s="40"/>
    </row>
    <row r="23" spans="2:21" ht="15.75" x14ac:dyDescent="0.25">
      <c r="B23" s="2"/>
      <c r="C23" s="2"/>
      <c r="I23" s="40" t="s">
        <v>50</v>
      </c>
      <c r="J23" s="40"/>
      <c r="K23" s="40"/>
      <c r="L23" s="40" t="s">
        <v>51</v>
      </c>
      <c r="M23" s="40"/>
      <c r="N23" s="40"/>
      <c r="O23" s="40"/>
    </row>
    <row r="24" spans="2:21" s="6" customFormat="1" x14ac:dyDescent="0.2">
      <c r="B24"/>
      <c r="C24" s="12" t="s">
        <v>89</v>
      </c>
      <c r="D24" s="19" t="s">
        <v>64</v>
      </c>
      <c r="E24" s="19" t="s">
        <v>69</v>
      </c>
      <c r="F24" s="19" t="s">
        <v>31</v>
      </c>
      <c r="G24" s="19" t="s">
        <v>70</v>
      </c>
      <c r="H24" s="12" t="s">
        <v>27</v>
      </c>
      <c r="I24" s="12" t="s">
        <v>111</v>
      </c>
      <c r="J24" s="12" t="s">
        <v>102</v>
      </c>
      <c r="K24" s="12" t="s">
        <v>94</v>
      </c>
      <c r="L24" s="12" t="s">
        <v>103</v>
      </c>
      <c r="M24" s="12" t="s">
        <v>95</v>
      </c>
      <c r="N24" s="12" t="s">
        <v>112</v>
      </c>
      <c r="O24" s="12" t="s">
        <v>11</v>
      </c>
      <c r="P24" s="12" t="s">
        <v>12</v>
      </c>
      <c r="Q24" s="12" t="s">
        <v>91</v>
      </c>
      <c r="R24" s="12" t="s">
        <v>92</v>
      </c>
      <c r="S24" s="12" t="s">
        <v>93</v>
      </c>
      <c r="T24" s="12" t="s">
        <v>128</v>
      </c>
      <c r="U24" s="12" t="s">
        <v>129</v>
      </c>
    </row>
    <row r="25" spans="2:21" s="6" customFormat="1" x14ac:dyDescent="0.2">
      <c r="B25"/>
      <c r="C25" t="s">
        <v>9</v>
      </c>
      <c r="D25" s="6" t="s">
        <v>65</v>
      </c>
      <c r="F25" s="29"/>
      <c r="G25" s="18" t="s">
        <v>113</v>
      </c>
      <c r="H25">
        <v>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>
        <f>SUM(Tabelle2[[#This Row],[boss]:[troll]])*Tabelle2[[#This Row],[gold/stück]]</f>
        <v>0</v>
      </c>
      <c r="Q25" s="6">
        <v>0</v>
      </c>
      <c r="R25" s="6">
        <f>Tabelle2[[#This Row],[wunsch]]*Tabelle2[[#This Row],[gold/stück]]</f>
        <v>0</v>
      </c>
      <c r="S25" s="30" t="s">
        <v>101</v>
      </c>
      <c r="T25" s="30">
        <v>1</v>
      </c>
      <c r="U25" s="30">
        <f>Tabelle2[[#This Row],[Bewertung]]*SUM(Tabelle2[[#This Row],[boss]:[troll]])</f>
        <v>0</v>
      </c>
    </row>
    <row r="26" spans="2:21" s="6" customFormat="1" x14ac:dyDescent="0.2">
      <c r="B26"/>
      <c r="C26" t="s">
        <v>1</v>
      </c>
      <c r="D26" s="6" t="s">
        <v>65</v>
      </c>
      <c r="F26" s="29"/>
      <c r="G26" s="6" t="s">
        <v>114</v>
      </c>
      <c r="H26">
        <v>5</v>
      </c>
      <c r="I26" s="6">
        <v>0</v>
      </c>
      <c r="J26" s="6">
        <v>1</v>
      </c>
      <c r="K26" s="6">
        <v>2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15</v>
      </c>
      <c r="Q26" s="6">
        <v>0</v>
      </c>
      <c r="R26" s="6">
        <f>Tabelle2[[#This Row],[wunsch]]*Tabelle2[[#This Row],[gold/stück]]</f>
        <v>0</v>
      </c>
      <c r="S26" s="30" t="s">
        <v>101</v>
      </c>
      <c r="T26" s="30">
        <v>4</v>
      </c>
      <c r="U26" s="30">
        <f>Tabelle2[[#This Row],[Bewertung]]*SUM(Tabelle2[[#This Row],[boss]:[troll]])</f>
        <v>12</v>
      </c>
    </row>
    <row r="27" spans="2:21" s="6" customFormat="1" x14ac:dyDescent="0.2">
      <c r="B27"/>
      <c r="C27" t="s">
        <v>2</v>
      </c>
      <c r="D27" s="6" t="s">
        <v>65</v>
      </c>
      <c r="F27" s="29"/>
      <c r="G27" s="6" t="s">
        <v>115</v>
      </c>
      <c r="H27">
        <v>10</v>
      </c>
      <c r="I27" s="6">
        <v>0</v>
      </c>
      <c r="J27" s="6">
        <v>1</v>
      </c>
      <c r="K27" s="6">
        <v>2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30</v>
      </c>
      <c r="Q27" s="6">
        <v>0</v>
      </c>
      <c r="R27" s="6">
        <f>Tabelle2[[#This Row],[wunsch]]*Tabelle2[[#This Row],[gold/stück]]</f>
        <v>0</v>
      </c>
      <c r="S27" s="30" t="s">
        <v>101</v>
      </c>
      <c r="T27" s="30">
        <v>5</v>
      </c>
      <c r="U27" s="30">
        <f>Tabelle2[[#This Row],[Bewertung]]*SUM(Tabelle2[[#This Row],[boss]:[troll]])</f>
        <v>15</v>
      </c>
    </row>
    <row r="28" spans="2:21" s="6" customFormat="1" x14ac:dyDescent="0.2">
      <c r="B28"/>
      <c r="C28" t="s">
        <v>98</v>
      </c>
      <c r="D28" s="6" t="s">
        <v>65</v>
      </c>
      <c r="F28" s="29"/>
      <c r="G28" s="6" t="s">
        <v>116</v>
      </c>
      <c r="H28">
        <v>11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Row],[wunsch]]*Tabelle2[[#This Row],[gold/stück]]</f>
        <v>0</v>
      </c>
      <c r="S28" s="30" t="s">
        <v>101</v>
      </c>
      <c r="T28" s="30">
        <v>9</v>
      </c>
      <c r="U28" s="30">
        <f>Tabelle2[[#This Row],[Bewertung]]*SUM(Tabelle2[[#This Row],[boss]:[troll]])</f>
        <v>0</v>
      </c>
    </row>
    <row r="29" spans="2:21" s="6" customFormat="1" x14ac:dyDescent="0.2">
      <c r="B29"/>
      <c r="C29" t="s">
        <v>10</v>
      </c>
      <c r="D29" s="6" t="s">
        <v>65</v>
      </c>
      <c r="F29" s="29"/>
      <c r="G29" s="6" t="s">
        <v>117</v>
      </c>
      <c r="H29">
        <v>5</v>
      </c>
      <c r="I29" s="6">
        <v>0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5</v>
      </c>
      <c r="Q29" s="6">
        <v>0</v>
      </c>
      <c r="R29" s="6">
        <f>Tabelle2[[#This Row],[wunsch]]*Tabelle2[[#This Row],[gold/stück]]</f>
        <v>0</v>
      </c>
      <c r="S29" s="30" t="s">
        <v>101</v>
      </c>
      <c r="T29" s="30">
        <v>5</v>
      </c>
      <c r="U29" s="30">
        <f>Tabelle2[[#This Row],[Bewertung]]*SUM(Tabelle2[[#This Row],[boss]:[troll]])</f>
        <v>5</v>
      </c>
    </row>
    <row r="30" spans="2:21" s="6" customFormat="1" x14ac:dyDescent="0.2">
      <c r="B30"/>
      <c r="C30" t="s">
        <v>3</v>
      </c>
      <c r="D30" s="6" t="s">
        <v>65</v>
      </c>
      <c r="F30" s="29"/>
      <c r="G30" s="6" t="s">
        <v>118</v>
      </c>
      <c r="H30">
        <v>15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15</v>
      </c>
      <c r="Q30" s="6">
        <v>0</v>
      </c>
      <c r="R30" s="6">
        <f>Tabelle2[[#This Row],[wunsch]]*Tabelle2[[#This Row],[gold/stück]]</f>
        <v>0</v>
      </c>
      <c r="S30" s="30" t="s">
        <v>101</v>
      </c>
      <c r="T30" s="30">
        <v>8</v>
      </c>
      <c r="U30" s="30">
        <f>Tabelle2[[#This Row],[Bewertung]]*SUM(Tabelle2[[#This Row],[boss]:[troll]])</f>
        <v>8</v>
      </c>
    </row>
    <row r="31" spans="2:21" s="6" customFormat="1" x14ac:dyDescent="0.2">
      <c r="B31"/>
      <c r="C31" t="s">
        <v>5</v>
      </c>
      <c r="D31" s="6" t="s">
        <v>67</v>
      </c>
      <c r="E31" s="6" t="s">
        <v>71</v>
      </c>
      <c r="F31" s="29"/>
      <c r="H31">
        <v>10</v>
      </c>
      <c r="I31" s="6">
        <v>1</v>
      </c>
      <c r="J31" s="6">
        <v>2</v>
      </c>
      <c r="K31" s="6">
        <v>2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50</v>
      </c>
      <c r="Q31" s="6">
        <v>0</v>
      </c>
      <c r="R31" s="6">
        <f>Tabelle2[[#This Row],[wunsch]]*Tabelle2[[#This Row],[gold/stück]]</f>
        <v>0</v>
      </c>
      <c r="S31" s="30" t="s">
        <v>101</v>
      </c>
      <c r="T31" s="30">
        <v>6</v>
      </c>
      <c r="U31" s="30">
        <f>Tabelle2[[#This Row],[Bewertung]]*SUM(Tabelle2[[#This Row],[boss]:[troll]])</f>
        <v>30</v>
      </c>
    </row>
    <row r="32" spans="2:21" s="6" customFormat="1" x14ac:dyDescent="0.2">
      <c r="B32"/>
      <c r="C32" t="s">
        <v>4</v>
      </c>
      <c r="D32" s="6" t="s">
        <v>67</v>
      </c>
      <c r="E32" s="6" t="s">
        <v>68</v>
      </c>
      <c r="F32" s="29"/>
      <c r="G32" s="6" t="s">
        <v>119</v>
      </c>
      <c r="H32">
        <v>25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0</v>
      </c>
      <c r="Q32" s="6">
        <v>0</v>
      </c>
      <c r="R32" s="6">
        <f>Tabelle2[[#This Row],[wunsch]]*Tabelle2[[#This Row],[gold/stück]]</f>
        <v>0</v>
      </c>
      <c r="S32" s="30" t="s">
        <v>101</v>
      </c>
      <c r="T32" s="30">
        <v>6</v>
      </c>
      <c r="U32" s="30">
        <f>Tabelle2[[#This Row],[Bewertung]]*SUM(Tabelle2[[#This Row],[boss]:[troll]])</f>
        <v>0</v>
      </c>
    </row>
    <row r="33" spans="2:21" s="6" customFormat="1" x14ac:dyDescent="0.2">
      <c r="B33"/>
      <c r="C33" t="s">
        <v>99</v>
      </c>
      <c r="D33" s="6" t="s">
        <v>66</v>
      </c>
      <c r="F33" s="29"/>
      <c r="H33">
        <v>5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0</v>
      </c>
      <c r="Q33" s="6">
        <v>0</v>
      </c>
      <c r="R33" s="6">
        <f>Tabelle2[[#This Row],[wunsch]]*Tabelle2[[#This Row],[gold/stück]]</f>
        <v>0</v>
      </c>
      <c r="S33" s="30" t="s">
        <v>105</v>
      </c>
      <c r="T33" s="30">
        <v>6</v>
      </c>
      <c r="U33" s="30">
        <f>Tabelle2[[#This Row],[Bewertung]]*SUM(Tabelle2[[#This Row],[boss]:[troll]])</f>
        <v>0</v>
      </c>
    </row>
    <row r="34" spans="2:21" s="6" customFormat="1" x14ac:dyDescent="0.2">
      <c r="C34" t="s">
        <v>8</v>
      </c>
      <c r="D34" s="6" t="s">
        <v>66</v>
      </c>
      <c r="F34" s="29"/>
      <c r="G34" s="36" t="s">
        <v>120</v>
      </c>
      <c r="H34">
        <v>5</v>
      </c>
      <c r="I34" s="6">
        <v>0</v>
      </c>
      <c r="J34" s="6">
        <v>1</v>
      </c>
      <c r="K34" s="6">
        <v>2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15</v>
      </c>
      <c r="Q34" s="6">
        <v>0</v>
      </c>
      <c r="R34" s="6">
        <f>Tabelle2[[#This Row],[wunsch]]*Tabelle2[[#This Row],[gold/stück]]</f>
        <v>0</v>
      </c>
      <c r="S34" s="30" t="s">
        <v>101</v>
      </c>
      <c r="T34" s="30">
        <v>7</v>
      </c>
      <c r="U34" s="30">
        <f>Tabelle2[[#This Row],[Bewertung]]*SUM(Tabelle2[[#This Row],[boss]:[troll]])</f>
        <v>21</v>
      </c>
    </row>
    <row r="35" spans="2:21" s="6" customFormat="1" x14ac:dyDescent="0.2">
      <c r="C35" t="s">
        <v>7</v>
      </c>
      <c r="D35" s="6" t="s">
        <v>66</v>
      </c>
      <c r="F35" s="29"/>
      <c r="H35">
        <v>10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10</v>
      </c>
      <c r="Q35" s="6">
        <v>0</v>
      </c>
      <c r="R35" s="6">
        <f>Tabelle2[[#This Row],[wunsch]]*Tabelle2[[#This Row],[gold/stück]]</f>
        <v>0</v>
      </c>
      <c r="S35" s="30" t="s">
        <v>101</v>
      </c>
      <c r="T35" s="30">
        <v>7</v>
      </c>
      <c r="U35" s="30">
        <f>Tabelle2[[#This Row],[Bewertung]]*SUM(Tabelle2[[#This Row],[boss]:[troll]])</f>
        <v>7</v>
      </c>
    </row>
    <row r="36" spans="2:21" s="6" customFormat="1" x14ac:dyDescent="0.2">
      <c r="C36" t="s">
        <v>6</v>
      </c>
      <c r="D36" s="6" t="s">
        <v>66</v>
      </c>
      <c r="F36" s="29"/>
      <c r="G36" s="6" t="s">
        <v>121</v>
      </c>
      <c r="H36">
        <v>20</v>
      </c>
      <c r="I36" s="6">
        <v>0</v>
      </c>
      <c r="J36" s="6">
        <v>2</v>
      </c>
      <c r="K36" s="6">
        <v>2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80</v>
      </c>
      <c r="Q36" s="6">
        <v>0</v>
      </c>
      <c r="R36" s="6">
        <f>Tabelle2[[#This Row],[wunsch]]*Tabelle2[[#This Row],[gold/stück]]</f>
        <v>0</v>
      </c>
      <c r="S36" s="30" t="s">
        <v>101</v>
      </c>
      <c r="T36" s="30">
        <v>8</v>
      </c>
      <c r="U36" s="30">
        <f>Tabelle2[[#This Row],[Bewertung]]*SUM(Tabelle2[[#This Row],[boss]:[troll]])</f>
        <v>32</v>
      </c>
    </row>
    <row r="37" spans="2:21" s="6" customFormat="1" x14ac:dyDescent="0.2">
      <c r="C37" t="s">
        <v>100</v>
      </c>
      <c r="D37" s="6" t="s">
        <v>66</v>
      </c>
      <c r="E37" s="18"/>
      <c r="F37" s="29"/>
      <c r="G37" s="6" t="s">
        <v>124</v>
      </c>
      <c r="H37">
        <v>50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50</v>
      </c>
      <c r="Q37" s="6">
        <v>0</v>
      </c>
      <c r="R37" s="6">
        <f>Tabelle2[[#This Row],[wunsch]]*Tabelle2[[#This Row],[gold/stück]]</f>
        <v>0</v>
      </c>
      <c r="S37" s="30" t="s">
        <v>105</v>
      </c>
      <c r="T37" s="30">
        <v>9</v>
      </c>
      <c r="U37" s="30">
        <f>Tabelle2[[#This Row],[Bewertung]]*SUM(Tabelle2[[#This Row],[boss]:[troll]])</f>
        <v>9</v>
      </c>
    </row>
    <row r="38" spans="2:21" s="6" customFormat="1" x14ac:dyDescent="0.2">
      <c r="C38" s="6" t="s">
        <v>104</v>
      </c>
      <c r="D38" s="6" t="s">
        <v>66</v>
      </c>
      <c r="F38" s="29"/>
      <c r="G38" s="6" t="s">
        <v>122</v>
      </c>
      <c r="H38" s="6">
        <v>10</v>
      </c>
      <c r="I38" s="6">
        <v>0</v>
      </c>
      <c r="J38" s="6">
        <v>0</v>
      </c>
      <c r="K38" s="6">
        <v>2</v>
      </c>
      <c r="L38" s="6">
        <v>0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20</v>
      </c>
      <c r="Q38" s="6">
        <v>0</v>
      </c>
      <c r="R38" s="6">
        <f>Tabelle2[[#This Row],[wunsch]]*Tabelle2[[#This Row],[gold/stück]]</f>
        <v>0</v>
      </c>
      <c r="S38" s="30" t="s">
        <v>94</v>
      </c>
      <c r="T38" s="30">
        <v>9</v>
      </c>
      <c r="U38" s="30">
        <f>Tabelle2[[#This Row],[Bewertung]]*SUM(Tabelle2[[#This Row],[boss]:[troll]])</f>
        <v>18</v>
      </c>
    </row>
    <row r="39" spans="2:21" s="6" customFormat="1" ht="15.75" x14ac:dyDescent="0.25">
      <c r="B39"/>
      <c r="C39"/>
      <c r="H39"/>
      <c r="I39" s="3">
        <f>I25*$H25+I26*$H26+I27*$H27+I28*$H28+I29*$H29+I30*$H30+I31*$H31+I32*$H32+I33*$H33+I34*$H34+I35*$H35+I36*$H36+I37*$H37+I38*$H38</f>
        <v>85</v>
      </c>
      <c r="J39" s="3">
        <f t="shared" ref="J39:O39" si="1">J25*$H25+J26*$H26+J27*$H27+J28*$H28+J29*$H29+J30*$H30+J31*$H31+J32*$H32+J33*$H33+J34*$H34+J35*$H35+J36*$H36+J37*$H37+J38*$H38</f>
        <v>85</v>
      </c>
      <c r="K39" s="3">
        <f t="shared" si="1"/>
        <v>120</v>
      </c>
      <c r="L39" s="3">
        <f t="shared" si="1"/>
        <v>0</v>
      </c>
      <c r="M39" s="3">
        <f t="shared" si="1"/>
        <v>0</v>
      </c>
      <c r="N39" s="3">
        <f t="shared" si="1"/>
        <v>0</v>
      </c>
      <c r="O39" s="3">
        <f t="shared" si="1"/>
        <v>0</v>
      </c>
      <c r="P39" s="2">
        <f>SUM(P25:P38)</f>
        <v>290</v>
      </c>
      <c r="R39" s="37">
        <f>SUM(Tabelle2[zusatzkosten])</f>
        <v>0</v>
      </c>
      <c r="T39" s="6" t="s">
        <v>130</v>
      </c>
      <c r="U39" s="2">
        <f>SUM(Tabelle2[Warband equip rating])</f>
        <v>157</v>
      </c>
    </row>
    <row r="40" spans="2:21" s="6" customFormat="1" x14ac:dyDescent="0.2">
      <c r="G40"/>
      <c r="T40" s="6" t="s">
        <v>131</v>
      </c>
      <c r="U40" s="3">
        <f>SUM(U25:U32)</f>
        <v>70</v>
      </c>
    </row>
    <row r="41" spans="2:21" s="6" customFormat="1" x14ac:dyDescent="0.2">
      <c r="T41" s="6" t="s">
        <v>132</v>
      </c>
      <c r="U41" s="3">
        <f>SUM(U33:U38)</f>
        <v>87</v>
      </c>
    </row>
    <row r="42" spans="2:21" s="6" customFormat="1" x14ac:dyDescent="0.2"/>
    <row r="43" spans="2:21" s="6" customFormat="1" x14ac:dyDescent="0.2"/>
    <row r="44" spans="2:21" s="6" customFormat="1" x14ac:dyDescent="0.2"/>
    <row r="45" spans="2:21" s="6" customFormat="1" x14ac:dyDescent="0.2"/>
    <row r="46" spans="2:21" s="6" customFormat="1" x14ac:dyDescent="0.2"/>
    <row r="47" spans="2:21" s="6" customFormat="1" x14ac:dyDescent="0.2"/>
    <row r="48" spans="2:21" s="6" customFormat="1" x14ac:dyDescent="0.2"/>
    <row r="49" spans="17:22" s="6" customFormat="1" x14ac:dyDescent="0.2"/>
    <row r="50" spans="17:22" s="6" customFormat="1" x14ac:dyDescent="0.2"/>
    <row r="51" spans="17:22" s="6" customFormat="1" x14ac:dyDescent="0.2">
      <c r="V51" s="1"/>
    </row>
    <row r="52" spans="17:22" s="6" customFormat="1" x14ac:dyDescent="0.2">
      <c r="V52" s="1"/>
    </row>
    <row r="53" spans="17:22" x14ac:dyDescent="0.2">
      <c r="Q53" s="1"/>
      <c r="R53" s="1"/>
      <c r="S53" s="1"/>
    </row>
    <row r="54" spans="17:22" s="6" customFormat="1" x14ac:dyDescent="0.2"/>
    <row r="55" spans="17:22" s="6" customFormat="1" x14ac:dyDescent="0.2"/>
    <row r="56" spans="17:22" s="6" customFormat="1" x14ac:dyDescent="0.2"/>
    <row r="57" spans="17:22" s="6" customFormat="1" x14ac:dyDescent="0.2"/>
    <row r="58" spans="17:22" s="6" customFormat="1" x14ac:dyDescent="0.2"/>
    <row r="59" spans="17:22" s="6" customFormat="1" x14ac:dyDescent="0.2"/>
    <row r="60" spans="17:22" s="6" customFormat="1" x14ac:dyDescent="0.2"/>
    <row r="61" spans="17:22" s="6" customFormat="1" x14ac:dyDescent="0.2"/>
    <row r="62" spans="17:22" s="6" customFormat="1" x14ac:dyDescent="0.2"/>
    <row r="63" spans="17:22" s="6" customFormat="1" x14ac:dyDescent="0.2"/>
    <row r="64" spans="17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s="6" customFormat="1" x14ac:dyDescent="0.2"/>
    <row r="116" ht="12" customHeight="1" x14ac:dyDescent="0.2"/>
  </sheetData>
  <mergeCells count="5">
    <mergeCell ref="B14:B16"/>
    <mergeCell ref="B17:B20"/>
    <mergeCell ref="L23:O23"/>
    <mergeCell ref="I23:K23"/>
    <mergeCell ref="I22:O22"/>
  </mergeCells>
  <conditionalFormatting sqref="C6">
    <cfRule type="cellIs" dxfId="20" priority="48" operator="greaterThan">
      <formula>$C$5</formula>
    </cfRule>
  </conditionalFormatting>
  <conditionalFormatting sqref="G14:G2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H3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P3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P3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P3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20">
    <cfRule type="cellIs" dxfId="19" priority="7" operator="greaterThan">
      <formula>0</formula>
    </cfRule>
  </conditionalFormatting>
  <conditionalFormatting sqref="I25:O38">
    <cfRule type="cellIs" dxfId="18" priority="3" operator="greaterThan">
      <formula>0</formula>
    </cfRule>
  </conditionalFormatting>
  <conditionalFormatting sqref="I25:O38">
    <cfRule type="cellIs" dxfId="17" priority="2" operator="greaterThan">
      <formula>0</formula>
    </cfRule>
  </conditionalFormatting>
  <conditionalFormatting sqref="T25:T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8"/>
  <sheetViews>
    <sheetView workbookViewId="0">
      <selection activeCell="J28" sqref="J28"/>
    </sheetView>
  </sheetViews>
  <sheetFormatPr baseColWidth="10" defaultColWidth="10.7109375" defaultRowHeight="12.75" x14ac:dyDescent="0.2"/>
  <cols>
    <col min="2" max="2" width="5.85546875" bestFit="1" customWidth="1"/>
    <col min="3" max="3" width="11.7109375" bestFit="1" customWidth="1"/>
    <col min="4" max="5" width="15" bestFit="1" customWidth="1"/>
    <col min="6" max="6" width="5.85546875" bestFit="1" customWidth="1"/>
    <col min="7" max="7" width="16.85546875" bestFit="1" customWidth="1"/>
    <col min="8" max="8" width="16.140625" bestFit="1" customWidth="1"/>
    <col min="9" max="9" width="9.42578125" bestFit="1" customWidth="1"/>
    <col min="10" max="10" width="4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42" t="s">
        <v>46</v>
      </c>
      <c r="C2" s="42"/>
      <c r="D2" s="42"/>
    </row>
    <row r="3" spans="2:12" s="6" customFormat="1" ht="15.75" x14ac:dyDescent="0.25">
      <c r="B3" s="35"/>
      <c r="C3" s="35"/>
      <c r="D3" s="35"/>
    </row>
    <row r="4" spans="2:12" s="6" customFormat="1" ht="15.75" x14ac:dyDescent="0.25">
      <c r="B4" s="35"/>
      <c r="C4" s="35"/>
      <c r="D4" s="35"/>
    </row>
    <row r="5" spans="2:12" ht="15.75" x14ac:dyDescent="0.25">
      <c r="C5" s="41" t="s">
        <v>50</v>
      </c>
      <c r="D5" s="41"/>
      <c r="E5" s="41"/>
      <c r="F5" s="41"/>
      <c r="G5" s="41" t="s">
        <v>51</v>
      </c>
      <c r="H5" s="41"/>
      <c r="I5" s="41"/>
    </row>
    <row r="6" spans="2:12" x14ac:dyDescent="0.2">
      <c r="B6" s="13"/>
      <c r="C6" s="12" t="str">
        <f>Member!C14</f>
        <v>orc boss (1)</v>
      </c>
      <c r="D6" s="12" t="str">
        <f>Member!C15</f>
        <v>black orcs (0-2)</v>
      </c>
      <c r="E6" s="12" t="str">
        <f>Member!C16</f>
        <v>young'uns (0-2)</v>
      </c>
      <c r="F6" s="12" t="str">
        <f>Member!C17</f>
        <v>boyz</v>
      </c>
      <c r="G6" s="12" t="str">
        <f>Member!C18</f>
        <v>shootaz (&lt;=boyz)</v>
      </c>
      <c r="H6" s="12" t="str">
        <f>Member!C19</f>
        <v>savage orcs (0-4)</v>
      </c>
      <c r="I6" s="12" t="str">
        <f>Member!C20</f>
        <v>troll (0-1)</v>
      </c>
      <c r="K6" s="40" t="s">
        <v>47</v>
      </c>
      <c r="L6" s="40"/>
    </row>
    <row r="7" spans="2:12" x14ac:dyDescent="0.2">
      <c r="B7" s="14" t="s">
        <v>28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23" t="s">
        <v>50</v>
      </c>
      <c r="L7" s="24" t="s">
        <v>51</v>
      </c>
    </row>
    <row r="8" spans="2:12" x14ac:dyDescent="0.2">
      <c r="B8" s="14" t="s">
        <v>29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10</v>
      </c>
      <c r="L8" s="25">
        <f t="shared" ref="L8:L13" si="0">K8-3</f>
        <v>7</v>
      </c>
    </row>
    <row r="9" spans="2:12" x14ac:dyDescent="0.2">
      <c r="B9" s="14" t="s">
        <v>30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10</v>
      </c>
      <c r="L9" s="25">
        <f t="shared" si="0"/>
        <v>7</v>
      </c>
    </row>
    <row r="10" spans="2:12" x14ac:dyDescent="0.2">
      <c r="B10" s="14" t="s">
        <v>31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8</v>
      </c>
      <c r="L10" s="25">
        <f t="shared" si="0"/>
        <v>5</v>
      </c>
    </row>
    <row r="11" spans="2:12" x14ac:dyDescent="0.2">
      <c r="B11" s="14" t="s">
        <v>32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8</v>
      </c>
      <c r="L11" s="25">
        <f t="shared" si="0"/>
        <v>5</v>
      </c>
    </row>
    <row r="12" spans="2:12" x14ac:dyDescent="0.2">
      <c r="B12" s="14" t="s">
        <v>33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5">
        <f t="shared" si="0"/>
        <v>0</v>
      </c>
    </row>
    <row r="13" spans="2:12" x14ac:dyDescent="0.2">
      <c r="B13" s="14" t="s">
        <v>34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4</v>
      </c>
      <c r="L13" s="25">
        <f t="shared" si="0"/>
        <v>1</v>
      </c>
    </row>
    <row r="14" spans="2:12" x14ac:dyDescent="0.2">
      <c r="B14" s="14" t="s">
        <v>35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1</v>
      </c>
      <c r="L14" s="25">
        <v>0.5</v>
      </c>
    </row>
    <row r="15" spans="2:12" x14ac:dyDescent="0.2">
      <c r="B15" s="14" t="s">
        <v>36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6">
        <v>1</v>
      </c>
      <c r="L15" s="25">
        <v>0.5</v>
      </c>
    </row>
    <row r="16" spans="2:12" x14ac:dyDescent="0.2">
      <c r="B16" s="6"/>
      <c r="C16" s="6"/>
      <c r="D16" s="6"/>
      <c r="E16" s="6"/>
      <c r="F16" s="6"/>
      <c r="G16" s="6"/>
      <c r="H16" s="6"/>
      <c r="I16" s="6"/>
    </row>
    <row r="17" spans="2:10" x14ac:dyDescent="0.2">
      <c r="B17" s="15" t="s">
        <v>37</v>
      </c>
      <c r="C17" s="31">
        <f t="shared" ref="C17:E24" si="1">$K8*C8/C$26</f>
        <v>0.5</v>
      </c>
      <c r="D17" s="31">
        <f t="shared" si="1"/>
        <v>1</v>
      </c>
      <c r="E17" s="31">
        <f t="shared" si="1"/>
        <v>0.8</v>
      </c>
      <c r="F17" s="31">
        <f>$L8*F8/F$26</f>
        <v>0.84</v>
      </c>
      <c r="G17" s="31">
        <f>$L8*G8/G$26</f>
        <v>0.84</v>
      </c>
      <c r="H17" s="31">
        <f>$L8*H8/H$26</f>
        <v>0.52500000000000002</v>
      </c>
      <c r="I17" s="31">
        <f>$L8*I8/I$26</f>
        <v>0.105</v>
      </c>
    </row>
    <row r="18" spans="2:10" x14ac:dyDescent="0.2">
      <c r="B18" s="15" t="s">
        <v>38</v>
      </c>
      <c r="C18" s="31">
        <f t="shared" si="1"/>
        <v>0.5</v>
      </c>
      <c r="D18" s="31">
        <f t="shared" si="1"/>
        <v>0.75</v>
      </c>
      <c r="E18" s="31">
        <f t="shared" si="1"/>
        <v>0.8</v>
      </c>
      <c r="F18" s="31">
        <f t="shared" ref="F18:F24" si="2">$L9*F9/F$26</f>
        <v>0.84</v>
      </c>
      <c r="G18" s="31">
        <f t="shared" ref="G18:I24" si="3">$L9*G9/G$26</f>
        <v>0.84</v>
      </c>
      <c r="H18" s="31">
        <f t="shared" si="3"/>
        <v>0.35</v>
      </c>
      <c r="I18" s="31">
        <f t="shared" si="3"/>
        <v>3.5000000000000003E-2</v>
      </c>
    </row>
    <row r="19" spans="2:10" x14ac:dyDescent="0.2">
      <c r="B19" s="15" t="s">
        <v>39</v>
      </c>
      <c r="C19" s="31">
        <f t="shared" si="1"/>
        <v>0.4</v>
      </c>
      <c r="D19" s="31">
        <f t="shared" si="1"/>
        <v>0.8</v>
      </c>
      <c r="E19" s="31">
        <f t="shared" si="1"/>
        <v>0.96</v>
      </c>
      <c r="F19" s="31">
        <f t="shared" si="2"/>
        <v>0.6</v>
      </c>
      <c r="G19" s="31">
        <f t="shared" si="3"/>
        <v>0.6</v>
      </c>
      <c r="H19" s="31">
        <f t="shared" si="3"/>
        <v>0.375</v>
      </c>
      <c r="I19" s="31">
        <f t="shared" si="3"/>
        <v>0.125</v>
      </c>
    </row>
    <row r="20" spans="2:10" x14ac:dyDescent="0.2">
      <c r="B20" s="15" t="s">
        <v>40</v>
      </c>
      <c r="C20" s="31">
        <f t="shared" si="1"/>
        <v>0.4</v>
      </c>
      <c r="D20" s="31">
        <f t="shared" si="1"/>
        <v>0.8</v>
      </c>
      <c r="E20" s="31">
        <f t="shared" si="1"/>
        <v>1.28</v>
      </c>
      <c r="F20" s="31">
        <f t="shared" si="2"/>
        <v>0.8</v>
      </c>
      <c r="G20" s="31">
        <f t="shared" si="3"/>
        <v>0.8</v>
      </c>
      <c r="H20" s="31">
        <f t="shared" si="3"/>
        <v>0.5</v>
      </c>
      <c r="I20" s="31">
        <f t="shared" si="3"/>
        <v>0.1</v>
      </c>
    </row>
    <row r="21" spans="2:10" x14ac:dyDescent="0.2">
      <c r="B21" s="15" t="s">
        <v>41</v>
      </c>
      <c r="C21" s="31">
        <f t="shared" si="1"/>
        <v>3.7499999999999999E-2</v>
      </c>
      <c r="D21" s="31">
        <f t="shared" si="1"/>
        <v>7.4999999999999997E-2</v>
      </c>
      <c r="E21" s="31">
        <f t="shared" si="1"/>
        <v>0.12</v>
      </c>
      <c r="F21" s="31">
        <f t="shared" si="2"/>
        <v>0</v>
      </c>
      <c r="G21" s="31">
        <f t="shared" si="3"/>
        <v>0</v>
      </c>
      <c r="H21" s="31">
        <f t="shared" si="3"/>
        <v>0</v>
      </c>
      <c r="I21" s="31">
        <f t="shared" si="3"/>
        <v>0</v>
      </c>
    </row>
    <row r="22" spans="2:10" x14ac:dyDescent="0.2">
      <c r="B22" s="15" t="s">
        <v>42</v>
      </c>
      <c r="C22" s="31">
        <f t="shared" si="1"/>
        <v>0.15</v>
      </c>
      <c r="D22" s="31">
        <f t="shared" si="1"/>
        <v>0.3</v>
      </c>
      <c r="E22" s="31">
        <f t="shared" si="1"/>
        <v>0.32</v>
      </c>
      <c r="F22" s="31">
        <f t="shared" si="2"/>
        <v>0.08</v>
      </c>
      <c r="G22" s="31">
        <f t="shared" si="3"/>
        <v>0.08</v>
      </c>
      <c r="H22" s="31">
        <f t="shared" si="3"/>
        <v>0.05</v>
      </c>
      <c r="I22" s="31">
        <f t="shared" si="3"/>
        <v>5.0000000000000001E-3</v>
      </c>
    </row>
    <row r="23" spans="2:10" x14ac:dyDescent="0.2">
      <c r="B23" s="15" t="s">
        <v>43</v>
      </c>
      <c r="C23" s="31">
        <f t="shared" si="1"/>
        <v>1.2500000000000001E-2</v>
      </c>
      <c r="D23" s="31">
        <f t="shared" si="1"/>
        <v>2.5000000000000001E-2</v>
      </c>
      <c r="E23" s="31">
        <f t="shared" si="1"/>
        <v>0.04</v>
      </c>
      <c r="F23" s="31">
        <f t="shared" si="2"/>
        <v>0.02</v>
      </c>
      <c r="G23" s="31">
        <f t="shared" si="3"/>
        <v>0.02</v>
      </c>
      <c r="H23" s="31">
        <f t="shared" si="3"/>
        <v>2.5000000000000001E-2</v>
      </c>
      <c r="I23" s="31">
        <f t="shared" si="3"/>
        <v>7.4999999999999997E-3</v>
      </c>
    </row>
    <row r="24" spans="2:10" x14ac:dyDescent="0.2">
      <c r="B24" s="15" t="s">
        <v>44</v>
      </c>
      <c r="C24" s="31">
        <f t="shared" si="1"/>
        <v>0.1</v>
      </c>
      <c r="D24" s="31">
        <f t="shared" si="1"/>
        <v>0.17499999999999999</v>
      </c>
      <c r="E24" s="31">
        <f t="shared" si="1"/>
        <v>0.28000000000000003</v>
      </c>
      <c r="F24" s="31">
        <f t="shared" si="2"/>
        <v>0.14000000000000001</v>
      </c>
      <c r="G24" s="31">
        <f t="shared" si="3"/>
        <v>0.14000000000000001</v>
      </c>
      <c r="H24" s="31">
        <f t="shared" si="3"/>
        <v>6.25E-2</v>
      </c>
      <c r="I24" s="31">
        <f t="shared" si="3"/>
        <v>0.01</v>
      </c>
    </row>
    <row r="25" spans="2:10" x14ac:dyDescent="0.2">
      <c r="B25" s="6"/>
      <c r="C25" s="6"/>
      <c r="D25" s="6"/>
      <c r="E25" s="1"/>
      <c r="F25" s="6"/>
      <c r="G25" s="6"/>
      <c r="H25" s="6"/>
      <c r="I25" s="6"/>
      <c r="J25" s="6"/>
    </row>
    <row r="26" spans="2:10" x14ac:dyDescent="0.2">
      <c r="B26" s="16" t="s">
        <v>45</v>
      </c>
      <c r="C26" s="11">
        <f>Member!D14</f>
        <v>80</v>
      </c>
      <c r="D26" s="11">
        <f>Member!D15</f>
        <v>40</v>
      </c>
      <c r="E26" s="11">
        <f>Member!D16</f>
        <v>25</v>
      </c>
      <c r="F26" s="11">
        <f>Member!D17</f>
        <v>25</v>
      </c>
      <c r="G26" s="11">
        <f>Member!D18</f>
        <v>25</v>
      </c>
      <c r="H26" s="11">
        <f>Member!D19</f>
        <v>40</v>
      </c>
      <c r="I26" s="11">
        <f>Member!D20</f>
        <v>200</v>
      </c>
      <c r="J26" s="6"/>
    </row>
    <row r="28" spans="2:10" x14ac:dyDescent="0.2">
      <c r="C28">
        <f>SUM(C17:C24)*Member!$E14</f>
        <v>2.0999999999999996</v>
      </c>
      <c r="D28" s="6">
        <f>SUM(D17:D24)*Member!$E15</f>
        <v>7.8499999999999988</v>
      </c>
      <c r="E28" s="6">
        <f>SUM(E17:E24)*Member!$E16</f>
        <v>9.2000000000000011</v>
      </c>
      <c r="F28" s="6">
        <f>SUM(F17:F24)*Member!$E17</f>
        <v>0</v>
      </c>
      <c r="G28" s="6">
        <f>SUM(G17:G24)*Member!$E18</f>
        <v>0</v>
      </c>
      <c r="H28" s="6">
        <f>SUM(H17:H24)*Member!$E19</f>
        <v>0</v>
      </c>
      <c r="I28" s="6">
        <f>SUM(I17:I24)*Member!$E20</f>
        <v>0</v>
      </c>
      <c r="J28" s="1">
        <f>SUM(C28:I28)</f>
        <v>19.149999999999999</v>
      </c>
    </row>
  </sheetData>
  <mergeCells count="4">
    <mergeCell ref="K6:L6"/>
    <mergeCell ref="G5:I5"/>
    <mergeCell ref="C5:F5"/>
    <mergeCell ref="B2:D2"/>
  </mergeCells>
  <conditionalFormatting sqref="C7:I1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I2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8"/>
  <sheetViews>
    <sheetView workbookViewId="0">
      <selection activeCell="F18" sqref="F18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23.85546875" bestFit="1" customWidth="1"/>
    <col min="5" max="5" width="9.140625" customWidth="1"/>
    <col min="6" max="6" width="17.140625" customWidth="1"/>
    <col min="7" max="7" width="19.140625" customWidth="1"/>
    <col min="8" max="8" width="22.42578125" bestFit="1" customWidth="1"/>
  </cols>
  <sheetData>
    <row r="3" spans="2:8" x14ac:dyDescent="0.2">
      <c r="B3" s="1" t="s">
        <v>22</v>
      </c>
      <c r="C3" s="3" t="s">
        <v>61</v>
      </c>
      <c r="D3" s="1" t="s">
        <v>23</v>
      </c>
      <c r="E3" s="3" t="s">
        <v>49</v>
      </c>
      <c r="F3" s="3" t="s">
        <v>58</v>
      </c>
      <c r="G3" s="3" t="s">
        <v>88</v>
      </c>
      <c r="H3" s="3" t="s">
        <v>90</v>
      </c>
    </row>
    <row r="4" spans="2:8" x14ac:dyDescent="0.2">
      <c r="B4" s="7" t="s">
        <v>85</v>
      </c>
      <c r="C4" s="8">
        <v>6.3</v>
      </c>
      <c r="D4" s="6" t="s">
        <v>21</v>
      </c>
      <c r="E4" s="8">
        <f>C4/1</f>
        <v>6.3</v>
      </c>
      <c r="F4">
        <v>0</v>
      </c>
      <c r="G4" s="8">
        <f t="shared" ref="G4:G17" si="0">F4*E4</f>
        <v>0</v>
      </c>
      <c r="H4" s="33">
        <f>Tabelle4[[#This Row],[€ genutzt/Packung]]/Tabelle4[[#This Row],[€/Packung]]</f>
        <v>0</v>
      </c>
    </row>
    <row r="5" spans="2:8" x14ac:dyDescent="0.2">
      <c r="B5" s="7" t="s">
        <v>84</v>
      </c>
      <c r="C5" s="8">
        <v>10.71</v>
      </c>
      <c r="D5" s="6" t="s">
        <v>20</v>
      </c>
      <c r="E5" s="8">
        <f>C5/1</f>
        <v>10.71</v>
      </c>
      <c r="F5">
        <v>0</v>
      </c>
      <c r="G5" s="8">
        <f t="shared" si="0"/>
        <v>0</v>
      </c>
      <c r="H5" s="33">
        <f>Tabelle4[[#This Row],[€ genutzt/Packung]]/Tabelle4[[#This Row],[€/Packung]]</f>
        <v>0</v>
      </c>
    </row>
    <row r="6" spans="2:8" x14ac:dyDescent="0.2">
      <c r="B6" s="7" t="s">
        <v>83</v>
      </c>
      <c r="C6" s="8">
        <v>8.9499999999999993</v>
      </c>
      <c r="D6" s="6" t="s">
        <v>24</v>
      </c>
      <c r="E6" s="8">
        <f>C6/3</f>
        <v>2.9833333333333329</v>
      </c>
      <c r="F6">
        <v>0</v>
      </c>
      <c r="G6" s="8">
        <f t="shared" si="0"/>
        <v>0</v>
      </c>
      <c r="H6" s="33">
        <f>Tabelle4[[#This Row],[€ genutzt/Packung]]/Tabelle4[[#This Row],[€/Packung]]</f>
        <v>0</v>
      </c>
    </row>
    <row r="7" spans="2:8" x14ac:dyDescent="0.2">
      <c r="B7" s="7" t="s">
        <v>82</v>
      </c>
      <c r="C7" s="8">
        <v>9.4499999999999993</v>
      </c>
      <c r="D7" s="6" t="s">
        <v>25</v>
      </c>
      <c r="E7" s="8">
        <f>C7/3</f>
        <v>3.15</v>
      </c>
      <c r="F7">
        <v>0</v>
      </c>
      <c r="G7" s="8">
        <f t="shared" si="0"/>
        <v>0</v>
      </c>
      <c r="H7" s="33">
        <f>Tabelle4[[#This Row],[€ genutzt/Packung]]/Tabelle4[[#This Row],[€/Packung]]</f>
        <v>0</v>
      </c>
    </row>
    <row r="8" spans="2:8" x14ac:dyDescent="0.2">
      <c r="B8" s="7" t="s">
        <v>81</v>
      </c>
      <c r="C8" s="8">
        <v>11.99</v>
      </c>
      <c r="D8" s="6" t="s">
        <v>19</v>
      </c>
      <c r="E8" s="8">
        <f>C8/1</f>
        <v>11.99</v>
      </c>
      <c r="F8">
        <v>0</v>
      </c>
      <c r="G8" s="8">
        <f t="shared" si="0"/>
        <v>0</v>
      </c>
      <c r="H8" s="33">
        <f>Tabelle4[[#This Row],[€ genutzt/Packung]]/Tabelle4[[#This Row],[€/Packung]]</f>
        <v>0</v>
      </c>
    </row>
    <row r="9" spans="2:8" x14ac:dyDescent="0.2">
      <c r="B9" s="7" t="s">
        <v>80</v>
      </c>
      <c r="C9" s="8">
        <v>10.36</v>
      </c>
      <c r="D9" t="s">
        <v>52</v>
      </c>
      <c r="E9" s="8">
        <f>C9/1</f>
        <v>10.36</v>
      </c>
      <c r="F9">
        <v>0</v>
      </c>
      <c r="G9" s="8">
        <f t="shared" si="0"/>
        <v>0</v>
      </c>
      <c r="H9" s="33">
        <f>Tabelle4[[#This Row],[€ genutzt/Packung]]/Tabelle4[[#This Row],[€/Packung]]</f>
        <v>0</v>
      </c>
    </row>
    <row r="10" spans="2:8" x14ac:dyDescent="0.2">
      <c r="B10" s="7" t="s">
        <v>79</v>
      </c>
      <c r="C10" s="8">
        <v>35.200000000000003</v>
      </c>
      <c r="D10" t="s">
        <v>54</v>
      </c>
      <c r="E10" s="8">
        <f>C10/20</f>
        <v>1.7600000000000002</v>
      </c>
      <c r="F10">
        <v>0</v>
      </c>
      <c r="G10" s="8">
        <f t="shared" si="0"/>
        <v>0</v>
      </c>
      <c r="H10" s="33">
        <f>Tabelle4[[#This Row],[€ genutzt/Packung]]/Tabelle4[[#This Row],[€/Packung]]</f>
        <v>0</v>
      </c>
    </row>
    <row r="11" spans="2:8" x14ac:dyDescent="0.2">
      <c r="B11" s="7" t="s">
        <v>78</v>
      </c>
      <c r="C11" s="8">
        <v>21.49</v>
      </c>
      <c r="D11" t="s">
        <v>53</v>
      </c>
      <c r="E11" s="8">
        <f>C11/10</f>
        <v>2.149</v>
      </c>
      <c r="F11">
        <v>0</v>
      </c>
      <c r="G11" s="8">
        <f t="shared" si="0"/>
        <v>0</v>
      </c>
      <c r="H11" s="33">
        <f>Tabelle4[[#This Row],[€ genutzt/Packung]]/Tabelle4[[#This Row],[€/Packung]]</f>
        <v>0</v>
      </c>
    </row>
    <row r="12" spans="2:8" x14ac:dyDescent="0.2">
      <c r="B12" s="7" t="s">
        <v>77</v>
      </c>
      <c r="C12" s="8">
        <v>19.989999999999998</v>
      </c>
      <c r="D12" s="6" t="s">
        <v>55</v>
      </c>
      <c r="E12" s="8">
        <f>C12/10</f>
        <v>1.9989999999999999</v>
      </c>
      <c r="F12" s="6">
        <v>0</v>
      </c>
      <c r="G12" s="8">
        <f t="shared" si="0"/>
        <v>0</v>
      </c>
      <c r="H12" s="33">
        <f>Tabelle4[[#This Row],[€ genutzt/Packung]]/Tabelle4[[#This Row],[€/Packung]]</f>
        <v>0</v>
      </c>
    </row>
    <row r="13" spans="2:8" x14ac:dyDescent="0.2">
      <c r="B13" s="7" t="s">
        <v>76</v>
      </c>
      <c r="C13" s="8">
        <v>7.99</v>
      </c>
      <c r="D13" s="6" t="s">
        <v>56</v>
      </c>
      <c r="E13" s="8">
        <f>C13/1</f>
        <v>7.99</v>
      </c>
      <c r="F13" s="6">
        <v>0</v>
      </c>
      <c r="G13" s="8">
        <f t="shared" si="0"/>
        <v>0</v>
      </c>
      <c r="H13" s="33">
        <f>Tabelle4[[#This Row],[€ genutzt/Packung]]/Tabelle4[[#This Row],[€/Packung]]</f>
        <v>0</v>
      </c>
    </row>
    <row r="14" spans="2:8" x14ac:dyDescent="0.2">
      <c r="B14" s="7" t="s">
        <v>75</v>
      </c>
      <c r="C14" s="8">
        <v>19.989999999999998</v>
      </c>
      <c r="D14" s="6" t="s">
        <v>59</v>
      </c>
      <c r="E14" s="8">
        <f>C14/3</f>
        <v>6.6633333333333331</v>
      </c>
      <c r="F14" s="6">
        <v>0</v>
      </c>
      <c r="G14" s="8">
        <f t="shared" si="0"/>
        <v>0</v>
      </c>
      <c r="H14" s="33">
        <f>Tabelle4[[#This Row],[€ genutzt/Packung]]/Tabelle4[[#This Row],[€/Packung]]</f>
        <v>0</v>
      </c>
    </row>
    <row r="15" spans="2:8" x14ac:dyDescent="0.2">
      <c r="B15" s="7" t="s">
        <v>74</v>
      </c>
      <c r="C15" s="8">
        <v>11.99</v>
      </c>
      <c r="D15" s="6" t="s">
        <v>60</v>
      </c>
      <c r="E15" s="8">
        <f>C15/2</f>
        <v>5.9950000000000001</v>
      </c>
      <c r="F15" s="6">
        <v>0</v>
      </c>
      <c r="G15" s="8">
        <f t="shared" si="0"/>
        <v>0</v>
      </c>
      <c r="H15" s="33">
        <f>Tabelle4[[#This Row],[€ genutzt/Packung]]/Tabelle4[[#This Row],[€/Packung]]</f>
        <v>0</v>
      </c>
    </row>
    <row r="16" spans="2:8" x14ac:dyDescent="0.2">
      <c r="B16" s="7" t="s">
        <v>63</v>
      </c>
      <c r="C16" s="8">
        <v>19.989999999999998</v>
      </c>
      <c r="D16" s="6" t="s">
        <v>62</v>
      </c>
      <c r="E16" s="8">
        <f>C16/20</f>
        <v>0.99949999999999994</v>
      </c>
      <c r="F16" s="6">
        <v>0</v>
      </c>
      <c r="G16" s="8">
        <f t="shared" si="0"/>
        <v>0</v>
      </c>
      <c r="H16" s="33">
        <f>Tabelle4[[#This Row],[€ genutzt/Packung]]/Tabelle4[[#This Row],[€/Packung]]</f>
        <v>0</v>
      </c>
    </row>
    <row r="17" spans="2:8" s="6" customFormat="1" x14ac:dyDescent="0.2">
      <c r="B17" s="7" t="s">
        <v>86</v>
      </c>
      <c r="C17" s="8">
        <v>22.75</v>
      </c>
      <c r="D17" s="6" t="s">
        <v>87</v>
      </c>
      <c r="E17" s="8">
        <f>C17/10</f>
        <v>2.2749999999999999</v>
      </c>
      <c r="F17" s="6">
        <v>0</v>
      </c>
      <c r="G17" s="8">
        <f t="shared" si="0"/>
        <v>0</v>
      </c>
      <c r="H17" s="33">
        <f>Tabelle4[[#This Row],[€ genutzt/Packung]]/Tabelle4[[#This Row],[€/Packung]]</f>
        <v>0</v>
      </c>
    </row>
    <row r="18" spans="2:8" x14ac:dyDescent="0.2">
      <c r="B18" s="1" t="s">
        <v>48</v>
      </c>
      <c r="C18" s="9">
        <f>SUM(C4:C17)</f>
        <v>217.15000000000003</v>
      </c>
      <c r="F18" s="1" t="s">
        <v>57</v>
      </c>
      <c r="G18" s="9">
        <f>SUM(G4:G17)</f>
        <v>0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Member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2018-08-31T12:44:02Z</dcterms:modified>
</cp:coreProperties>
</file>