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nein\"/>
    </mc:Choice>
  </mc:AlternateContent>
  <xr:revisionPtr revIDLastSave="0" documentId="10_ncr:8100000_{6BEC8695-9327-4810-B345-C02B477ACB52}" xr6:coauthVersionLast="34" xr6:coauthVersionMax="34" xr10:uidLastSave="{00000000-0000-0000-0000-000000000000}"/>
  <bookViews>
    <workbookView xWindow="0" yWindow="0" windowWidth="19770" windowHeight="6540" xr2:uid="{00000000-000D-0000-FFFF-FFFF00000000}"/>
  </bookViews>
  <sheets>
    <sheet name="Member" sheetId="1" r:id="rId1"/>
    <sheet name="Characteristik analyse" sheetId="2" r:id="rId2"/>
    <sheet name="Boxe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43" i="1" l="1"/>
  <c r="K43" i="1"/>
  <c r="L43" i="1"/>
  <c r="M43" i="1"/>
  <c r="N43" i="1"/>
  <c r="O43" i="1"/>
  <c r="I43" i="1"/>
  <c r="U25" i="1" l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5" i="1" s="1"/>
  <c r="K6" i="1" s="1"/>
  <c r="U42" i="1"/>
  <c r="U44" i="1" l="1"/>
  <c r="J6" i="1" s="1"/>
  <c r="U43" i="1"/>
  <c r="I6" i="1" s="1"/>
  <c r="R26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25" i="1"/>
  <c r="P43" i="1" l="1"/>
  <c r="H4" i="4"/>
  <c r="H5" i="4"/>
  <c r="H6" i="4"/>
  <c r="H8" i="4"/>
  <c r="H10" i="4"/>
  <c r="H11" i="4"/>
  <c r="H12" i="4"/>
  <c r="H13" i="4"/>
  <c r="H14" i="4"/>
  <c r="H15" i="4"/>
  <c r="H16" i="4"/>
  <c r="I24" i="2"/>
  <c r="H24" i="2"/>
  <c r="G24" i="2"/>
  <c r="F24" i="2"/>
  <c r="F17" i="2" s="1"/>
  <c r="E24" i="2"/>
  <c r="D24" i="2"/>
  <c r="C24" i="2"/>
  <c r="I4" i="2"/>
  <c r="H4" i="2"/>
  <c r="G4" i="2"/>
  <c r="F4" i="2"/>
  <c r="E4" i="2"/>
  <c r="D4" i="2"/>
  <c r="C4" i="2"/>
  <c r="F18" i="2" l="1"/>
  <c r="F16" i="2"/>
  <c r="F15" i="2"/>
  <c r="F22" i="2"/>
  <c r="F20" i="2"/>
  <c r="F21" i="2"/>
  <c r="F19" i="2"/>
  <c r="F26" i="2" l="1"/>
  <c r="E7" i="4"/>
  <c r="G7" i="4" s="1"/>
  <c r="H7" i="4" s="1"/>
  <c r="I7" i="1"/>
  <c r="C18" i="4"/>
  <c r="E17" i="4"/>
  <c r="G17" i="4"/>
  <c r="H17" i="4" s="1"/>
  <c r="E16" i="4"/>
  <c r="G16" i="4"/>
  <c r="E15" i="4"/>
  <c r="G15" i="4" s="1"/>
  <c r="E14" i="4"/>
  <c r="G14" i="4"/>
  <c r="E13" i="4"/>
  <c r="G13" i="4"/>
  <c r="E12" i="4"/>
  <c r="G12" i="4"/>
  <c r="E11" i="4"/>
  <c r="G11" i="4" s="1"/>
  <c r="E10" i="4"/>
  <c r="G10" i="4"/>
  <c r="E9" i="4"/>
  <c r="G9" i="4"/>
  <c r="H9" i="4" s="1"/>
  <c r="E8" i="4"/>
  <c r="G8" i="4"/>
  <c r="E6" i="4"/>
  <c r="G6" i="4" s="1"/>
  <c r="E5" i="4"/>
  <c r="G5" i="4"/>
  <c r="E4" i="4"/>
  <c r="G4" i="4"/>
  <c r="H21" i="2"/>
  <c r="G22" i="2"/>
  <c r="E16" i="2"/>
  <c r="D19" i="2"/>
  <c r="C15" i="2"/>
  <c r="L11" i="2"/>
  <c r="L10" i="2"/>
  <c r="L9" i="2"/>
  <c r="L8" i="2"/>
  <c r="L7" i="2"/>
  <c r="L6" i="2"/>
  <c r="E21" i="1"/>
  <c r="I5" i="1" s="1"/>
  <c r="G15" i="1"/>
  <c r="G16" i="1"/>
  <c r="G17" i="1"/>
  <c r="G18" i="1"/>
  <c r="G19" i="1"/>
  <c r="G20" i="1"/>
  <c r="G14" i="1"/>
  <c r="I19" i="2" l="1"/>
  <c r="G18" i="4"/>
  <c r="D18" i="2"/>
  <c r="I16" i="2"/>
  <c r="I22" i="2"/>
  <c r="I15" i="2"/>
  <c r="I26" i="2" s="1"/>
  <c r="E15" i="2"/>
  <c r="I21" i="2"/>
  <c r="I17" i="2"/>
  <c r="I20" i="2"/>
  <c r="G21" i="1"/>
  <c r="I18" i="2"/>
  <c r="E20" i="2"/>
  <c r="G15" i="2"/>
  <c r="G26" i="2" s="1"/>
  <c r="C16" i="2"/>
  <c r="C26" i="2" s="1"/>
  <c r="G17" i="2"/>
  <c r="G16" i="2"/>
  <c r="G20" i="2"/>
  <c r="C20" i="2"/>
  <c r="G21" i="2"/>
  <c r="G19" i="2"/>
  <c r="G18" i="2"/>
  <c r="H17" i="2"/>
  <c r="C17" i="2"/>
  <c r="H15" i="2"/>
  <c r="E18" i="2"/>
  <c r="E17" i="2"/>
  <c r="H19" i="2"/>
  <c r="E21" i="2"/>
  <c r="H20" i="2"/>
  <c r="H18" i="2"/>
  <c r="C19" i="2"/>
  <c r="D16" i="2"/>
  <c r="C21" i="2"/>
  <c r="C18" i="2"/>
  <c r="D15" i="2"/>
  <c r="H16" i="2"/>
  <c r="D17" i="2"/>
  <c r="E22" i="2"/>
  <c r="D21" i="2"/>
  <c r="C22" i="2"/>
  <c r="H22" i="2"/>
  <c r="E19" i="2"/>
  <c r="D20" i="2"/>
  <c r="D22" i="2"/>
  <c r="E26" i="2" l="1"/>
  <c r="D26" i="2"/>
  <c r="J26" i="2" s="1"/>
  <c r="H26" i="2"/>
  <c r="C6" i="1"/>
  <c r="C7" i="1" s="1"/>
  <c r="R43" i="1"/>
</calcChain>
</file>

<file path=xl/sharedStrings.xml><?xml version="1.0" encoding="utf-8"?>
<sst xmlns="http://schemas.openxmlformats.org/spreadsheetml/2006/main" count="193" uniqueCount="151">
  <si>
    <t>gold</t>
  </si>
  <si>
    <t>axt</t>
  </si>
  <si>
    <t>schwert</t>
  </si>
  <si>
    <t>zweihänder</t>
  </si>
  <si>
    <t>armbrust</t>
  </si>
  <si>
    <t>bogen</t>
  </si>
  <si>
    <t>leichte rüstung</t>
  </si>
  <si>
    <t>helm</t>
  </si>
  <si>
    <t>schild</t>
  </si>
  <si>
    <t>dolch (+1)</t>
  </si>
  <si>
    <t>speer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</si>
  <si>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</si>
  <si>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</si>
  <si>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</si>
  <si>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</si>
  <si>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</si>
  <si>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</si>
  <si>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</si>
  <si>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</si>
  <si>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zweihänder, leichte rüstung</t>
  </si>
  <si>
    <t>2 dolche/schwerter</t>
  </si>
  <si>
    <t>2 dolche/äxte/schwerter</t>
  </si>
  <si>
    <t>Mögliche einheiten</t>
  </si>
  <si>
    <t>Ausrüstung</t>
  </si>
  <si>
    <t>je 1 dolch/schwert</t>
  </si>
  <si>
    <t>je 1 speer 3 schild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</si>
  <si>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</si>
  <si>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</si>
  <si>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</si>
  <si>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</si>
  <si>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</si>
  <si>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</si>
  <si>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</si>
  <si>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</si>
  <si>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</si>
  <si>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</si>
  <si>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</si>
  <si>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Boss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</si>
  <si>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</si>
  <si>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</si>
  <si>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</si>
  <si>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</si>
  <si>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</si>
  <si>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</si>
  <si>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</si>
  <si>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</si>
  <si>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</si>
  <si>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Characteristik Analyse</t>
  </si>
  <si>
    <t>gewichtung</t>
  </si>
  <si>
    <t>Gesamt</t>
  </si>
  <si>
    <t>€/Figur</t>
  </si>
  <si>
    <t>heroes</t>
  </si>
  <si>
    <t>henchmen</t>
  </si>
  <si>
    <t>-</t>
  </si>
  <si>
    <t>Bogen</t>
  </si>
  <si>
    <t>gemischt</t>
  </si>
  <si>
    <t>Äxte (1h/2h/schilde)</t>
  </si>
  <si>
    <t>Schwert/Banner</t>
  </si>
  <si>
    <t>Kosten Warband</t>
  </si>
  <si>
    <t>Genutzte figuren</t>
  </si>
  <si>
    <t>Schwert/Axt</t>
  </si>
  <si>
    <t>Keule/Schwert/Schuld</t>
  </si>
  <si>
    <t>€/Packung</t>
  </si>
  <si>
    <t>2h Äxte</t>
  </si>
  <si>
    <t>Orc Greatax Regiment (Kings of War)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</si>
  <si>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</si>
  <si>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</si>
  <si>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</si>
  <si>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</si>
  <si>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</si>
  <si>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</si>
  <si>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</si>
  <si>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</si>
  <si>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</si>
  <si>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</si>
  <si>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2 Orc War Drum (Kings of War)</t>
  </si>
  <si>
    <t>3 Ogre Berserker Braves (Kings of War)</t>
  </si>
  <si>
    <t>Orc Flagger (Kings of War)</t>
  </si>
  <si>
    <t>10 Orc Morax Troop (Kings of War)</t>
  </si>
  <si>
    <t>10 Orc Skulks (Kings of War)</t>
  </si>
  <si>
    <t>20 Bonesplitterz Savage Orruks (GW)</t>
  </si>
  <si>
    <t>Orc Shaman (Avatars of War)</t>
  </si>
  <si>
    <t>Orcs Troll Bruiser (Kings Of War)</t>
  </si>
  <si>
    <t>3 Goblin Speerträger (Gamezone)</t>
  </si>
  <si>
    <t>3  Fiese Schlitzer (GW)</t>
  </si>
  <si>
    <t>Nartz (Freebooters Fate)</t>
  </si>
  <si>
    <t>Goblin Hero (Gamezone)</t>
  </si>
  <si>
    <t>10 Orruks (GW)</t>
  </si>
  <si>
    <t>Gemischt</t>
  </si>
  <si>
    <t>€ genutzt/Packung</t>
  </si>
  <si>
    <t>ausrüstung gesamt</t>
  </si>
  <si>
    <t>Prozentuale Nutzung</t>
  </si>
  <si>
    <t>wunsch</t>
  </si>
  <si>
    <t>zusatzkosten</t>
  </si>
  <si>
    <t>Gruppe</t>
  </si>
  <si>
    <t>heros</t>
  </si>
  <si>
    <t>ork boss (1)</t>
  </si>
  <si>
    <t>schamane (0-1)</t>
  </si>
  <si>
    <t>big'uns (0-3)</t>
  </si>
  <si>
    <t>goblin warrior (max 2x anz boyz)</t>
  </si>
  <si>
    <t>cave squig</t>
  </si>
  <si>
    <t>ork boy</t>
  </si>
  <si>
    <t>+1 enemy armour save</t>
  </si>
  <si>
    <t>cutting edge</t>
  </si>
  <si>
    <t>morgenstern</t>
  </si>
  <si>
    <t>user</t>
  </si>
  <si>
    <t>Heavy, Difficult to Use, S+1 (1st turn per h-t-h cc)</t>
  </si>
  <si>
    <t>parry</t>
  </si>
  <si>
    <t>user+2</t>
  </si>
  <si>
    <t>Two-Handed, Last strike</t>
  </si>
  <si>
    <t>hellebarde</t>
  </si>
  <si>
    <t>user+1</t>
  </si>
  <si>
    <t>Two-Handed</t>
  </si>
  <si>
    <t>wurfwaffen</t>
  </si>
  <si>
    <t>Move or Fire</t>
  </si>
  <si>
    <t>keule</t>
  </si>
  <si>
    <t>Strike First, Unwiedly, Cavalery Bonus</t>
  </si>
  <si>
    <t>kurzbogen</t>
  </si>
  <si>
    <t>16"</t>
  </si>
  <si>
    <t>squig schubser</t>
  </si>
  <si>
    <t>12"</t>
  </si>
  <si>
    <t>ball und kette</t>
  </si>
  <si>
    <t>Two-Handed, Incredible, Force, Cumbersome, Unwieldy, Random</t>
  </si>
  <si>
    <t xml:space="preserve">Mad Cap Mushroom </t>
  </si>
  <si>
    <t>save 5+ D6</t>
  </si>
  <si>
    <t>O</t>
  </si>
  <si>
    <t>G</t>
  </si>
  <si>
    <t>OS</t>
  </si>
  <si>
    <t>OSG</t>
  </si>
  <si>
    <t>Anzahl</t>
  </si>
  <si>
    <t>schamane</t>
  </si>
  <si>
    <t>big'uns</t>
  </si>
  <si>
    <t>goblin</t>
  </si>
  <si>
    <t>squig</t>
  </si>
  <si>
    <t>boy</t>
  </si>
  <si>
    <t>Orks</t>
  </si>
  <si>
    <t>save 6+ D6</t>
  </si>
  <si>
    <t>OG</t>
  </si>
  <si>
    <t>rout test</t>
  </si>
  <si>
    <t>Bewertung</t>
  </si>
  <si>
    <t>(schlecht) 1 .. 10 (sehr gut)</t>
  </si>
  <si>
    <t>Orks (Boss, Bit'Uns)</t>
  </si>
  <si>
    <t>Schamane</t>
  </si>
  <si>
    <t>Goblins</t>
  </si>
  <si>
    <t>Warband Equip Rating</t>
  </si>
  <si>
    <t>Equip rating</t>
  </si>
  <si>
    <t>v1.6</t>
  </si>
  <si>
    <t>er ges</t>
  </si>
  <si>
    <t>er off</t>
  </si>
  <si>
    <t>er deff</t>
  </si>
  <si>
    <t>Magic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</si>
</sst>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0.00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0" fillId="2" borderId="0" xfId="0" applyFill="1" applyAlignment="1">
      <alignment wrapText="1"/>
    </xf>
    <xf numFmtId="8" fontId="0" fillId="0" borderId="0" xfId="0" applyNumberFormat="1"/>
    <xf numFmtId="8" fontId="1" fillId="0" borderId="0" xfId="0" applyNumberFormat="1" applyFont="1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8" fillId="0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9" fillId="0" borderId="0" xfId="0" applyFont="1"/>
    <xf numFmtId="0" fontId="10" fillId="0" borderId="2" xfId="0" applyFont="1" applyBorder="1"/>
    <xf numFmtId="0" fontId="5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30">
    <dxf>
      <numFmt numFmtId="14" formatCode="0.00%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fill>
        <patternFill patternType="solid"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C24:U42" totalsRowShown="0" headerRowDxfId="22" headerRowBorderDxfId="21" tableBorderDxfId="20">
  <autoFilter ref="C24:U42" xr:uid="{00000000-0009-0000-0100-000002000000}"/>
  <tableColumns count="19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19"/>
    <tableColumn id="5" xr3:uid="{00000000-0010-0000-0000-000005000000}" name="SP"/>
    <tableColumn id="6" xr3:uid="{00000000-0010-0000-0000-000006000000}" name="gold/stück"/>
    <tableColumn id="7" xr3:uid="{00000000-0010-0000-0000-000007000000}" name="Boss" dataDxfId="18">
      <calculatedColumnFormula>#REF!+#REF!+#REF!+#REF!+#REF!+#REF!+#REF!</calculatedColumnFormula>
    </tableColumn>
    <tableColumn id="17" xr3:uid="{00000000-0010-0000-0000-000011000000}" name="schamane" dataDxfId="17"/>
    <tableColumn id="16" xr3:uid="{00000000-0010-0000-0000-000010000000}" name="big'uns" dataDxfId="16"/>
    <tableColumn id="15" xr3:uid="{00000000-0010-0000-0000-00000F000000}" name="goblin" dataDxfId="15"/>
    <tableColumn id="14" xr3:uid="{00000000-0010-0000-0000-00000E000000}" name="squig" dataDxfId="14"/>
    <tableColumn id="13" xr3:uid="{00000000-0010-0000-0000-00000D000000}" name="boy" dataDxfId="13"/>
    <tableColumn id="12" xr3:uid="{00000000-0010-0000-0000-00000C000000}" name="troll" dataDxfId="12"/>
    <tableColumn id="8" xr3:uid="{00000000-0010-0000-0000-000008000000}" name="kosten" dataDxfId="11">
      <calculatedColumnFormula>SUM(Tabelle2[[#This Row],[Boss]:[troll]])*Tabelle2[[#This Row],[gold/stück]]</calculatedColumnFormula>
    </tableColumn>
    <tableColumn id="9" xr3:uid="{00000000-0010-0000-0000-000009000000}" name="wunsch" dataDxfId="10">
      <calculatedColumnFormula>#REF!+#REF!+#REF!+#REF!+#REF!+#REF!+#REF!</calculatedColumnFormula>
    </tableColumn>
    <tableColumn id="10" xr3:uid="{00000000-0010-0000-0000-00000A000000}" name="zusatzkosten" dataDxfId="9">
      <calculatedColumnFormula>Tabelle2[[#This Row],[gold/stück]]*Tabelle2[[#This Row],[wunsch]]</calculatedColumnFormula>
    </tableColumn>
    <tableColumn id="11" xr3:uid="{00000000-0010-0000-0000-00000B000000}" name="Gruppe" dataDxfId="8"/>
    <tableColumn id="18" xr3:uid="{00000000-0010-0000-0000-000012000000}" name="Bewertung" dataDxfId="7"/>
    <tableColumn id="19" xr3:uid="{00000000-0010-0000-0000-000013000000}" name="Warband Equip Rating" dataDxfId="6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B3:H17" totalsRowShown="0" headerRowDxfId="5">
  <autoFilter ref="B3:H17" xr:uid="{00000000-0009-0000-0100-000004000000}"/>
  <tableColumns count="7">
    <tableColumn id="1" xr3:uid="{00000000-0010-0000-0100-000001000000}" name="Mögliche einheiten" dataDxfId="4"/>
    <tableColumn id="2" xr3:uid="{00000000-0010-0000-0100-000002000000}" name="€/Packung" dataDxfId="3"/>
    <tableColumn id="3" xr3:uid="{00000000-0010-0000-0100-000003000000}" name="Ausrüstung"/>
    <tableColumn id="4" xr3:uid="{00000000-0010-0000-0100-000004000000}" name="€/Figur" dataDxfId="2"/>
    <tableColumn id="5" xr3:uid="{00000000-0010-0000-0100-000005000000}" name="Genutzte figuren"/>
    <tableColumn id="6" xr3:uid="{00000000-0010-0000-0100-000006000000}" name="€ genutzt/Packung" dataDxfId="1">
      <calculatedColumnFormula>F4*E4</calculatedColumnFormula>
    </tableColumn>
    <tableColumn id="7" xr3:uid="{00000000-0010-0000-0100-000007000000}" name="Prozentuale Nutzung" dataDxfId="0">
      <calculatedColumnFormula>Tabelle4[[#This Row],[€ genutzt/Packung]]/Tabelle4[[#This Row],[€/Packung]]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123"/>
  <sheetViews>
    <sheetView tabSelected="1" topLeftCell="D1" zoomScale="85" zoomScaleNormal="85" workbookViewId="0">
      <selection activeCell="I4" sqref="I4"/>
    </sheetView>
  </sheetViews>
  <sheetFormatPr baseColWidth="10" defaultColWidth="10.7109375" defaultRowHeight="12.75" x14ac:dyDescent="0.2"/>
  <cols>
    <col min="1" max="1" width="10.7109375" style="6"/>
    <col min="2" max="2" width="11" bestFit="1" customWidth="1"/>
    <col min="3" max="3" width="28.7109375" bestFit="1" customWidth="1"/>
    <col min="4" max="4" width="12.85546875" bestFit="1" customWidth="1"/>
    <col min="5" max="5" width="10.42578125" style="6" bestFit="1" customWidth="1"/>
    <col min="6" max="6" width="10.28515625" bestFit="1" customWidth="1"/>
    <col min="7" max="7" width="55.85546875" bestFit="1" customWidth="1"/>
    <col min="8" max="8" width="14.28515625" bestFit="1" customWidth="1"/>
    <col min="9" max="9" width="8.7109375" bestFit="1" customWidth="1"/>
    <col min="10" max="10" width="13.7109375" style="6" bestFit="1" customWidth="1"/>
    <col min="11" max="11" width="11.28515625" style="6" bestFit="1" customWidth="1"/>
    <col min="12" max="12" width="10.5703125" style="6" bestFit="1" customWidth="1"/>
    <col min="13" max="13" width="9.5703125" style="6" bestFit="1" customWidth="1"/>
    <col min="14" max="14" width="7.85546875" style="6" bestFit="1" customWidth="1"/>
    <col min="15" max="15" width="8.5703125" style="6" bestFit="1" customWidth="1"/>
    <col min="16" max="16" width="10.5703125" bestFit="1" customWidth="1"/>
    <col min="17" max="17" width="11.28515625" style="6" bestFit="1" customWidth="1"/>
    <col min="18" max="18" width="18.140625" style="6" bestFit="1" customWidth="1"/>
    <col min="19" max="19" width="11.42578125" style="6" bestFit="1" customWidth="1"/>
    <col min="20" max="20" width="23.85546875" style="6" bestFit="1" customWidth="1"/>
    <col min="21" max="21" width="26" bestFit="1" customWidth="1"/>
    <col min="22" max="23" width="7.42578125" bestFit="1" customWidth="1"/>
    <col min="24" max="25" width="12.42578125" bestFit="1" customWidth="1"/>
    <col min="26" max="26" width="18.28515625" bestFit="1" customWidth="1"/>
    <col min="27" max="27" width="5.7109375" style="6" bestFit="1" customWidth="1"/>
    <col min="28" max="28" width="6.85546875" style="6" bestFit="1" customWidth="1"/>
    <col min="29" max="29" width="6.7109375" style="6" bestFit="1" customWidth="1"/>
    <col min="30" max="30" width="55.85546875" style="6" bestFit="1" customWidth="1"/>
    <col min="31" max="31" width="10.7109375" bestFit="1" customWidth="1"/>
    <col min="32" max="33" width="7.42578125" bestFit="1" customWidth="1"/>
    <col min="34" max="34" width="13" bestFit="1" customWidth="1"/>
    <col min="35" max="35" width="23.85546875" bestFit="1" customWidth="1"/>
  </cols>
  <sheetData>
    <row r="2" spans="2:18" ht="18" x14ac:dyDescent="0.25">
      <c r="B2" s="11" t="s">
        <v>16</v>
      </c>
      <c r="C2" s="20" t="s">
        <v>135</v>
      </c>
      <c r="D2" s="20"/>
      <c r="E2" s="20"/>
      <c r="F2" s="22">
        <v>43340</v>
      </c>
    </row>
    <row r="3" spans="2:18" s="6" customFormat="1" ht="18" x14ac:dyDescent="0.25">
      <c r="B3" s="11" t="s">
        <v>146</v>
      </c>
      <c r="E3" s="10"/>
      <c r="F3" s="21"/>
      <c r="H3" s="6" t="s">
        <v>150</v>
      </c>
      <c r="I3" s="1">
        <v>10</v>
      </c>
    </row>
    <row r="4" spans="2:18" x14ac:dyDescent="0.2">
      <c r="H4" s="11" t="s">
        <v>73</v>
      </c>
      <c r="I4" s="10">
        <f>5*SUM(E14:E20)+E14*F14+E15*F15+E16*F16+E17*F17+E18*F18+E19*F19+E20*F20+10+5+5+5</f>
        <v>150</v>
      </c>
    </row>
    <row r="5" spans="2:18" ht="15" x14ac:dyDescent="0.2">
      <c r="B5" s="4" t="s">
        <v>0</v>
      </c>
      <c r="C5" s="4">
        <v>500</v>
      </c>
      <c r="H5" t="s">
        <v>138</v>
      </c>
      <c r="I5" s="10">
        <f>E21/4</f>
        <v>2.5</v>
      </c>
    </row>
    <row r="6" spans="2:18" ht="15.75" thickBot="1" x14ac:dyDescent="0.25">
      <c r="B6" s="4" t="s">
        <v>18</v>
      </c>
      <c r="C6" s="4">
        <f>G21+P43</f>
        <v>500</v>
      </c>
      <c r="H6" s="5" t="s">
        <v>145</v>
      </c>
      <c r="I6" s="39">
        <f>U43</f>
        <v>92</v>
      </c>
      <c r="J6" s="6">
        <f>U44</f>
        <v>85</v>
      </c>
      <c r="K6" s="6">
        <f>U45</f>
        <v>7</v>
      </c>
    </row>
    <row r="7" spans="2:18" ht="16.5" thickTop="1" x14ac:dyDescent="0.25">
      <c r="B7" s="26" t="s">
        <v>15</v>
      </c>
      <c r="C7" s="33">
        <f>C5-C6</f>
        <v>0</v>
      </c>
      <c r="I7" s="2">
        <f>(I3+I6+I4)*I5</f>
        <v>630</v>
      </c>
    </row>
    <row r="9" spans="2:18" s="6" customFormat="1" x14ac:dyDescent="0.2"/>
    <row r="10" spans="2:18" s="6" customFormat="1" x14ac:dyDescent="0.2"/>
    <row r="11" spans="2:18" s="6" customFormat="1" x14ac:dyDescent="0.2"/>
    <row r="12" spans="2:18" s="6" customFormat="1" x14ac:dyDescent="0.2">
      <c r="Q12" s="6" t="s">
        <v>125</v>
      </c>
      <c r="R12" s="6" t="s">
        <v>141</v>
      </c>
    </row>
    <row r="13" spans="2:18" x14ac:dyDescent="0.2">
      <c r="C13" s="12" t="s">
        <v>17</v>
      </c>
      <c r="D13" s="12" t="s">
        <v>26</v>
      </c>
      <c r="E13" s="12" t="s">
        <v>13</v>
      </c>
      <c r="F13" s="12" t="s">
        <v>74</v>
      </c>
      <c r="G13" s="12" t="s">
        <v>14</v>
      </c>
      <c r="Q13" s="6" t="s">
        <v>31</v>
      </c>
      <c r="R13" s="6" t="s">
        <v>142</v>
      </c>
    </row>
    <row r="14" spans="2:18" x14ac:dyDescent="0.2">
      <c r="B14" s="40" t="s">
        <v>95</v>
      </c>
      <c r="C14" s="6" t="s">
        <v>96</v>
      </c>
      <c r="D14" s="6">
        <v>80</v>
      </c>
      <c r="E14" s="27">
        <v>1</v>
      </c>
      <c r="F14" s="27">
        <v>20</v>
      </c>
      <c r="G14">
        <f t="shared" ref="G14:G20" si="0">E14*D14</f>
        <v>80</v>
      </c>
      <c r="Q14" s="6" t="s">
        <v>126</v>
      </c>
      <c r="R14" s="6" t="s">
        <v>143</v>
      </c>
    </row>
    <row r="15" spans="2:18" x14ac:dyDescent="0.2">
      <c r="B15" s="40"/>
      <c r="C15" s="6" t="s">
        <v>97</v>
      </c>
      <c r="D15" s="6">
        <v>40</v>
      </c>
      <c r="E15" s="27">
        <v>1</v>
      </c>
      <c r="F15" s="27">
        <v>10</v>
      </c>
      <c r="G15">
        <f t="shared" si="0"/>
        <v>40</v>
      </c>
    </row>
    <row r="16" spans="2:18" x14ac:dyDescent="0.2">
      <c r="B16" s="40"/>
      <c r="C16" s="6" t="s">
        <v>98</v>
      </c>
      <c r="D16" s="6">
        <v>40</v>
      </c>
      <c r="E16" s="27">
        <v>3</v>
      </c>
      <c r="F16" s="27">
        <v>15</v>
      </c>
      <c r="G16">
        <f t="shared" si="0"/>
        <v>120</v>
      </c>
    </row>
    <row r="17" spans="2:21" x14ac:dyDescent="0.2">
      <c r="B17" s="40" t="s">
        <v>52</v>
      </c>
      <c r="C17" s="6" t="s">
        <v>99</v>
      </c>
      <c r="D17" s="6">
        <v>15</v>
      </c>
      <c r="E17" s="27">
        <v>0</v>
      </c>
      <c r="F17" s="27">
        <v>0</v>
      </c>
      <c r="G17">
        <f t="shared" si="0"/>
        <v>0</v>
      </c>
    </row>
    <row r="18" spans="2:21" x14ac:dyDescent="0.2">
      <c r="B18" s="40"/>
      <c r="C18" s="6" t="s">
        <v>100</v>
      </c>
      <c r="D18" s="6">
        <v>15</v>
      </c>
      <c r="E18" s="27">
        <v>0</v>
      </c>
      <c r="F18" s="27">
        <v>0</v>
      </c>
      <c r="G18">
        <f t="shared" si="0"/>
        <v>0</v>
      </c>
    </row>
    <row r="19" spans="2:21" x14ac:dyDescent="0.2">
      <c r="B19" s="40"/>
      <c r="C19" s="6" t="s">
        <v>101</v>
      </c>
      <c r="D19" s="6">
        <v>25</v>
      </c>
      <c r="E19" s="27">
        <v>5</v>
      </c>
      <c r="F19" s="27">
        <v>0</v>
      </c>
      <c r="G19">
        <f t="shared" si="0"/>
        <v>125</v>
      </c>
    </row>
    <row r="20" spans="2:21" ht="13.5" thickBot="1" x14ac:dyDescent="0.25">
      <c r="B20" s="40"/>
      <c r="C20" s="5" t="s">
        <v>11</v>
      </c>
      <c r="D20" s="5">
        <v>200</v>
      </c>
      <c r="E20" s="28">
        <v>0</v>
      </c>
      <c r="F20" s="28">
        <v>0</v>
      </c>
      <c r="G20" s="5">
        <f t="shared" si="0"/>
        <v>0</v>
      </c>
    </row>
    <row r="21" spans="2:21" ht="16.5" thickTop="1" x14ac:dyDescent="0.25">
      <c r="C21" s="16" t="s">
        <v>49</v>
      </c>
      <c r="E21" s="2">
        <f>SUM(E14:E20)</f>
        <v>10</v>
      </c>
      <c r="F21" s="6"/>
      <c r="G21" s="2">
        <f>SUM(G14:G20)</f>
        <v>365</v>
      </c>
    </row>
    <row r="22" spans="2:21" s="6" customFormat="1" x14ac:dyDescent="0.2">
      <c r="B22" s="17"/>
      <c r="F22" s="1"/>
      <c r="I22" s="41" t="s">
        <v>129</v>
      </c>
      <c r="J22" s="41"/>
      <c r="K22" s="41"/>
      <c r="L22" s="41"/>
      <c r="M22" s="41"/>
      <c r="N22" s="41"/>
      <c r="O22" s="41"/>
    </row>
    <row r="23" spans="2:21" ht="15.75" x14ac:dyDescent="0.25">
      <c r="B23" s="2"/>
      <c r="C23" s="2"/>
      <c r="I23" s="41" t="s">
        <v>51</v>
      </c>
      <c r="J23" s="41"/>
      <c r="K23" s="41"/>
      <c r="L23" s="41" t="s">
        <v>52</v>
      </c>
      <c r="M23" s="41"/>
      <c r="N23" s="41"/>
      <c r="O23" s="41"/>
      <c r="T23" s="6" t="s">
        <v>140</v>
      </c>
    </row>
    <row r="24" spans="2:21" s="6" customFormat="1" x14ac:dyDescent="0.2">
      <c r="B24"/>
      <c r="C24" s="12" t="s">
        <v>90</v>
      </c>
      <c r="D24" s="19" t="s">
        <v>65</v>
      </c>
      <c r="E24" s="19" t="s">
        <v>70</v>
      </c>
      <c r="F24" s="19" t="s">
        <v>31</v>
      </c>
      <c r="G24" s="19" t="s">
        <v>71</v>
      </c>
      <c r="H24" s="12" t="s">
        <v>27</v>
      </c>
      <c r="I24" s="12" t="s">
        <v>37</v>
      </c>
      <c r="J24" s="12" t="s">
        <v>130</v>
      </c>
      <c r="K24" s="12" t="s">
        <v>131</v>
      </c>
      <c r="L24" s="12" t="s">
        <v>132</v>
      </c>
      <c r="M24" s="12" t="s">
        <v>133</v>
      </c>
      <c r="N24" s="12" t="s">
        <v>134</v>
      </c>
      <c r="O24" s="12" t="s">
        <v>11</v>
      </c>
      <c r="P24" s="12" t="s">
        <v>12</v>
      </c>
      <c r="Q24" s="12" t="s">
        <v>92</v>
      </c>
      <c r="R24" s="12" t="s">
        <v>93</v>
      </c>
      <c r="S24" s="12" t="s">
        <v>94</v>
      </c>
      <c r="T24" s="38" t="s">
        <v>139</v>
      </c>
      <c r="U24" s="38" t="s">
        <v>144</v>
      </c>
    </row>
    <row r="25" spans="2:21" s="6" customFormat="1" x14ac:dyDescent="0.2">
      <c r="B25"/>
      <c r="C25" s="6" t="s">
        <v>9</v>
      </c>
      <c r="D25" s="6" t="s">
        <v>66</v>
      </c>
      <c r="F25" s="29"/>
      <c r="G25" s="18" t="s">
        <v>102</v>
      </c>
      <c r="H25" s="6">
        <v>2</v>
      </c>
      <c r="I25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>
        <f>SUM(Tabelle2[[#This Row],[Boss]:[troll]])*Tabelle2[[#This Row],[gold/stück]]</f>
        <v>0</v>
      </c>
      <c r="Q25" s="6">
        <v>0</v>
      </c>
      <c r="R25" s="6">
        <f>Tabelle2[[#This Row],[gold/stück]]*Tabelle2[[#This Row],[wunsch]]</f>
        <v>0</v>
      </c>
      <c r="S25" s="30" t="s">
        <v>128</v>
      </c>
      <c r="T25" s="30">
        <v>1</v>
      </c>
      <c r="U25" s="30">
        <f>Tabelle2[[#This Row],[Bewertung]]*SUM(Tabelle2[[#This Row],[Boss]:[troll]])</f>
        <v>0</v>
      </c>
    </row>
    <row r="26" spans="2:21" s="6" customFormat="1" x14ac:dyDescent="0.2">
      <c r="B26"/>
      <c r="C26" s="6" t="s">
        <v>1</v>
      </c>
      <c r="D26" s="6" t="s">
        <v>66</v>
      </c>
      <c r="F26" s="29"/>
      <c r="G26" s="6" t="s">
        <v>103</v>
      </c>
      <c r="H26" s="6">
        <v>5</v>
      </c>
      <c r="I26" s="6">
        <v>0</v>
      </c>
      <c r="J26" s="6">
        <v>0</v>
      </c>
      <c r="K26" s="6">
        <v>1</v>
      </c>
      <c r="L26" s="6">
        <v>0</v>
      </c>
      <c r="M26" s="6">
        <v>0</v>
      </c>
      <c r="N26" s="6">
        <v>5</v>
      </c>
      <c r="O26" s="6">
        <v>0</v>
      </c>
      <c r="P26" s="6">
        <f>SUM(Tabelle2[[#This Row],[Boss]:[troll]])*Tabelle2[[#This Row],[gold/stück]]</f>
        <v>30</v>
      </c>
      <c r="Q26" s="6">
        <v>0</v>
      </c>
      <c r="R26" s="6">
        <f>Tabelle2[[#This Row],[gold/stück]]*Tabelle2[[#This Row],[wunsch]]</f>
        <v>0</v>
      </c>
      <c r="S26" s="30" t="s">
        <v>127</v>
      </c>
      <c r="T26" s="30">
        <v>4</v>
      </c>
      <c r="U26" s="30">
        <f>Tabelle2[[#This Row],[Bewertung]]*SUM(Tabelle2[[#This Row],[Boss]:[troll]])</f>
        <v>24</v>
      </c>
    </row>
    <row r="27" spans="2:21" s="6" customFormat="1" x14ac:dyDescent="0.2">
      <c r="B27"/>
      <c r="C27" s="6" t="s">
        <v>104</v>
      </c>
      <c r="D27" s="6" t="s">
        <v>66</v>
      </c>
      <c r="F27" s="29" t="s">
        <v>105</v>
      </c>
      <c r="G27" s="6" t="s">
        <v>106</v>
      </c>
      <c r="H27" s="6">
        <v>15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f>SUM(Tabelle2[[#This Row],[Boss]:[troll]])*Tabelle2[[#This Row],[gold/stück]]</f>
        <v>0</v>
      </c>
      <c r="Q27" s="6">
        <v>0</v>
      </c>
      <c r="R27" s="6">
        <f>Tabelle2[[#This Row],[gold/stück]]*Tabelle2[[#This Row],[wunsch]]</f>
        <v>0</v>
      </c>
      <c r="S27" s="30" t="s">
        <v>127</v>
      </c>
      <c r="T27" s="30">
        <v>9</v>
      </c>
      <c r="U27" s="30">
        <f>Tabelle2[[#This Row],[Bewertung]]*SUM(Tabelle2[[#This Row],[Boss]:[troll]])</f>
        <v>0</v>
      </c>
    </row>
    <row r="28" spans="2:21" s="6" customFormat="1" x14ac:dyDescent="0.2">
      <c r="B28"/>
      <c r="C28" s="6" t="s">
        <v>2</v>
      </c>
      <c r="D28" s="6" t="s">
        <v>66</v>
      </c>
      <c r="F28" s="29" t="s">
        <v>105</v>
      </c>
      <c r="G28" s="6" t="s">
        <v>107</v>
      </c>
      <c r="H28" s="6">
        <v>10</v>
      </c>
      <c r="I28" s="6">
        <v>0</v>
      </c>
      <c r="J28" s="6">
        <v>0</v>
      </c>
      <c r="K28" s="6">
        <v>3</v>
      </c>
      <c r="L28" s="6">
        <v>0</v>
      </c>
      <c r="M28" s="6">
        <v>0</v>
      </c>
      <c r="N28" s="6">
        <v>0</v>
      </c>
      <c r="O28" s="6">
        <v>0</v>
      </c>
      <c r="P28" s="6">
        <f>SUM(Tabelle2[[#This Row],[Boss]:[troll]])*Tabelle2[[#This Row],[gold/stück]]</f>
        <v>30</v>
      </c>
      <c r="Q28" s="6">
        <v>0</v>
      </c>
      <c r="R28" s="6">
        <f>Tabelle2[[#This Row],[gold/stück]]*Tabelle2[[#This Row],[wunsch]]</f>
        <v>0</v>
      </c>
      <c r="S28" s="30" t="s">
        <v>128</v>
      </c>
      <c r="T28" s="30">
        <v>5</v>
      </c>
      <c r="U28" s="30">
        <f>Tabelle2[[#This Row],[Bewertung]]*SUM(Tabelle2[[#This Row],[Boss]:[troll]])</f>
        <v>15</v>
      </c>
    </row>
    <row r="29" spans="2:21" s="6" customFormat="1" x14ac:dyDescent="0.2">
      <c r="B29"/>
      <c r="C29" s="6" t="s">
        <v>3</v>
      </c>
      <c r="D29" s="6" t="s">
        <v>66</v>
      </c>
      <c r="F29" s="29" t="s">
        <v>108</v>
      </c>
      <c r="G29" s="6" t="s">
        <v>109</v>
      </c>
      <c r="H29" s="6">
        <v>10</v>
      </c>
      <c r="I29" s="6">
        <v>1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f>SUM(Tabelle2[[#This Row],[Boss]:[troll]])*Tabelle2[[#This Row],[gold/stück]]</f>
        <v>20</v>
      </c>
      <c r="Q29" s="6">
        <v>0</v>
      </c>
      <c r="R29" s="6">
        <f>Tabelle2[[#This Row],[gold/stück]]*Tabelle2[[#This Row],[wunsch]]</f>
        <v>0</v>
      </c>
      <c r="S29" s="30" t="s">
        <v>127</v>
      </c>
      <c r="T29" s="30">
        <v>8</v>
      </c>
      <c r="U29" s="30">
        <f>Tabelle2[[#This Row],[Bewertung]]*SUM(Tabelle2[[#This Row],[Boss]:[troll]])</f>
        <v>16</v>
      </c>
    </row>
    <row r="30" spans="2:21" s="6" customFormat="1" x14ac:dyDescent="0.2">
      <c r="B30"/>
      <c r="C30" s="6" t="s">
        <v>110</v>
      </c>
      <c r="D30" s="6" t="s">
        <v>66</v>
      </c>
      <c r="F30" s="29" t="s">
        <v>111</v>
      </c>
      <c r="G30" s="6" t="s">
        <v>112</v>
      </c>
      <c r="H30" s="6">
        <v>10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f>SUM(Tabelle2[[#This Row],[Boss]:[troll]])*Tabelle2[[#This Row],[gold/stück]]</f>
        <v>0</v>
      </c>
      <c r="Q30" s="6">
        <v>0</v>
      </c>
      <c r="R30" s="6">
        <f>Tabelle2[[#This Row],[gold/stück]]*Tabelle2[[#This Row],[wunsch]]</f>
        <v>0</v>
      </c>
      <c r="S30" s="30" t="s">
        <v>127</v>
      </c>
      <c r="T30" s="30">
        <v>7</v>
      </c>
      <c r="U30" s="30">
        <f>Tabelle2[[#This Row],[Bewertung]]*SUM(Tabelle2[[#This Row],[Boss]:[troll]])</f>
        <v>0</v>
      </c>
    </row>
    <row r="31" spans="2:21" s="6" customFormat="1" x14ac:dyDescent="0.2">
      <c r="B31"/>
      <c r="C31" s="6" t="s">
        <v>113</v>
      </c>
      <c r="D31" s="6" t="s">
        <v>68</v>
      </c>
      <c r="F31" s="29"/>
      <c r="H31" s="6">
        <v>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f>SUM(Tabelle2[[#This Row],[Boss]:[troll]])*Tabelle2[[#This Row],[gold/stück]]</f>
        <v>0</v>
      </c>
      <c r="Q31" s="6">
        <v>0</v>
      </c>
      <c r="R31" s="6">
        <f>Tabelle2[[#This Row],[gold/stück]]*Tabelle2[[#This Row],[wunsch]]</f>
        <v>0</v>
      </c>
      <c r="S31" s="30" t="s">
        <v>128</v>
      </c>
      <c r="T31" s="30">
        <v>2</v>
      </c>
      <c r="U31" s="30">
        <f>Tabelle2[[#This Row],[Bewertung]]*SUM(Tabelle2[[#This Row],[Boss]:[troll]])</f>
        <v>0</v>
      </c>
    </row>
    <row r="32" spans="2:21" s="6" customFormat="1" x14ac:dyDescent="0.2">
      <c r="B32"/>
      <c r="C32" s="6" t="s">
        <v>4</v>
      </c>
      <c r="D32" s="6" t="s">
        <v>68</v>
      </c>
      <c r="E32" s="6" t="s">
        <v>69</v>
      </c>
      <c r="F32" s="29">
        <v>4</v>
      </c>
      <c r="G32" s="6" t="s">
        <v>114</v>
      </c>
      <c r="H32" s="6">
        <v>25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f>SUM(Tabelle2[[#This Row],[Boss]:[troll]])*Tabelle2[[#This Row],[gold/stück]]</f>
        <v>0</v>
      </c>
      <c r="Q32" s="6">
        <v>0</v>
      </c>
      <c r="R32" s="6">
        <f>Tabelle2[[#This Row],[gold/stück]]*Tabelle2[[#This Row],[wunsch]]</f>
        <v>0</v>
      </c>
      <c r="S32" s="30" t="s">
        <v>127</v>
      </c>
      <c r="T32" s="30">
        <v>6</v>
      </c>
      <c r="U32" s="30">
        <f>Tabelle2[[#This Row],[Bewertung]]*SUM(Tabelle2[[#This Row],[Boss]:[troll]])</f>
        <v>0</v>
      </c>
    </row>
    <row r="33" spans="2:21" s="6" customFormat="1" x14ac:dyDescent="0.2">
      <c r="B33"/>
      <c r="C33" s="6" t="s">
        <v>5</v>
      </c>
      <c r="D33" s="6" t="s">
        <v>68</v>
      </c>
      <c r="E33" s="6" t="s">
        <v>72</v>
      </c>
      <c r="F33" s="29">
        <v>3</v>
      </c>
      <c r="H33" s="6">
        <v>10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5</v>
      </c>
      <c r="O33" s="6">
        <v>0</v>
      </c>
      <c r="P33" s="6">
        <f>SUM(Tabelle2[[#This Row],[Boss]:[troll]])*Tabelle2[[#This Row],[gold/stück]]</f>
        <v>50</v>
      </c>
      <c r="Q33" s="6">
        <v>0</v>
      </c>
      <c r="R33" s="6">
        <f>Tabelle2[[#This Row],[gold/stück]]*Tabelle2[[#This Row],[wunsch]]</f>
        <v>0</v>
      </c>
      <c r="S33" s="30" t="s">
        <v>127</v>
      </c>
      <c r="T33" s="30">
        <v>6</v>
      </c>
      <c r="U33" s="30">
        <f>Tabelle2[[#This Row],[Bewertung]]*SUM(Tabelle2[[#This Row],[Boss]:[troll]])</f>
        <v>30</v>
      </c>
    </row>
    <row r="34" spans="2:21" s="6" customFormat="1" x14ac:dyDescent="0.2">
      <c r="C34" s="6" t="s">
        <v>115</v>
      </c>
      <c r="D34" s="6" t="s">
        <v>66</v>
      </c>
      <c r="F34" s="29"/>
      <c r="H34" s="6">
        <v>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f>SUM(Tabelle2[[#This Row],[Boss]:[troll]])*Tabelle2[[#This Row],[gold/stück]]</f>
        <v>0</v>
      </c>
      <c r="Q34" s="6">
        <v>0</v>
      </c>
      <c r="R34" s="6">
        <f>Tabelle2[[#This Row],[gold/stück]]*Tabelle2[[#This Row],[wunsch]]</f>
        <v>0</v>
      </c>
      <c r="S34" s="30" t="s">
        <v>126</v>
      </c>
      <c r="T34" s="30">
        <v>3</v>
      </c>
      <c r="U34" s="30">
        <f>Tabelle2[[#This Row],[Bewertung]]*SUM(Tabelle2[[#This Row],[Boss]:[troll]])</f>
        <v>0</v>
      </c>
    </row>
    <row r="35" spans="2:21" s="6" customFormat="1" x14ac:dyDescent="0.2">
      <c r="C35" s="6" t="s">
        <v>10</v>
      </c>
      <c r="D35" s="6" t="s">
        <v>66</v>
      </c>
      <c r="F35" s="29" t="s">
        <v>105</v>
      </c>
      <c r="G35" s="6" t="s">
        <v>116</v>
      </c>
      <c r="H35" s="6">
        <v>5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f>SUM(Tabelle2[[#This Row],[Boss]:[troll]])*Tabelle2[[#This Row],[gold/stück]]</f>
        <v>0</v>
      </c>
      <c r="Q35" s="6">
        <v>0</v>
      </c>
      <c r="R35" s="6">
        <f>Tabelle2[[#This Row],[gold/stück]]*Tabelle2[[#This Row],[wunsch]]</f>
        <v>0</v>
      </c>
      <c r="S35" s="30" t="s">
        <v>126</v>
      </c>
      <c r="T35" s="30">
        <v>5</v>
      </c>
      <c r="U35" s="30">
        <f>Tabelle2[[#This Row],[Bewertung]]*SUM(Tabelle2[[#This Row],[Boss]:[troll]])</f>
        <v>0</v>
      </c>
    </row>
    <row r="36" spans="2:21" s="6" customFormat="1" x14ac:dyDescent="0.2">
      <c r="C36" s="6" t="s">
        <v>117</v>
      </c>
      <c r="D36" s="6" t="s">
        <v>68</v>
      </c>
      <c r="E36" s="6" t="s">
        <v>118</v>
      </c>
      <c r="F36" s="29">
        <v>3</v>
      </c>
      <c r="H36" s="6">
        <v>5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f>SUM(Tabelle2[[#This Row],[Boss]:[troll]])*Tabelle2[[#This Row],[gold/stück]]</f>
        <v>0</v>
      </c>
      <c r="Q36" s="6">
        <v>0</v>
      </c>
      <c r="R36" s="6">
        <f>Tabelle2[[#This Row],[gold/stück]]*Tabelle2[[#This Row],[wunsch]]</f>
        <v>0</v>
      </c>
      <c r="S36" s="30" t="s">
        <v>126</v>
      </c>
      <c r="T36" s="30">
        <v>5</v>
      </c>
      <c r="U36" s="30">
        <f>Tabelle2[[#This Row],[Bewertung]]*SUM(Tabelle2[[#This Row],[Boss]:[troll]])</f>
        <v>0</v>
      </c>
    </row>
    <row r="37" spans="2:21" s="6" customFormat="1" x14ac:dyDescent="0.2">
      <c r="C37" s="6" t="s">
        <v>119</v>
      </c>
      <c r="D37" s="6" t="s">
        <v>53</v>
      </c>
      <c r="E37" s="18" t="s">
        <v>120</v>
      </c>
      <c r="F37" s="29"/>
      <c r="H37" s="6">
        <v>15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f>SUM(Tabelle2[[#This Row],[Boss]:[troll]])*Tabelle2[[#This Row],[gold/stück]]</f>
        <v>0</v>
      </c>
      <c r="Q37" s="6">
        <v>0</v>
      </c>
      <c r="R37" s="6">
        <f>Tabelle2[[#This Row],[gold/stück]]*Tabelle2[[#This Row],[wunsch]]</f>
        <v>0</v>
      </c>
      <c r="S37" s="30" t="s">
        <v>126</v>
      </c>
      <c r="T37" s="30">
        <v>3</v>
      </c>
      <c r="U37" s="30">
        <f>Tabelle2[[#This Row],[Bewertung]]*SUM(Tabelle2[[#This Row],[Boss]:[troll]])</f>
        <v>0</v>
      </c>
    </row>
    <row r="38" spans="2:21" s="6" customFormat="1" x14ac:dyDescent="0.2">
      <c r="C38" s="6" t="s">
        <v>121</v>
      </c>
      <c r="D38" s="6" t="s">
        <v>66</v>
      </c>
      <c r="F38" s="29" t="s">
        <v>108</v>
      </c>
      <c r="G38" s="6" t="s">
        <v>122</v>
      </c>
      <c r="H38" s="6">
        <v>15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f>SUM(Tabelle2[[#This Row],[Boss]:[troll]])*Tabelle2[[#This Row],[gold/stück]]</f>
        <v>0</v>
      </c>
      <c r="Q38" s="6">
        <v>0</v>
      </c>
      <c r="R38" s="6">
        <f>Tabelle2[[#This Row],[gold/stück]]*Tabelle2[[#This Row],[wunsch]]</f>
        <v>0</v>
      </c>
      <c r="S38" s="30" t="s">
        <v>126</v>
      </c>
      <c r="T38" s="30">
        <v>9</v>
      </c>
      <c r="U38" s="30">
        <f>Tabelle2[[#This Row],[Bewertung]]*SUM(Tabelle2[[#This Row],[Boss]:[troll]])</f>
        <v>0</v>
      </c>
    </row>
    <row r="39" spans="2:21" s="6" customFormat="1" x14ac:dyDescent="0.2">
      <c r="C39" s="34" t="s">
        <v>123</v>
      </c>
      <c r="D39" s="34" t="s">
        <v>53</v>
      </c>
      <c r="E39" s="34"/>
      <c r="F39" s="35"/>
      <c r="G39" s="34"/>
      <c r="H39" s="34">
        <v>25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f>SUM(Tabelle2[[#This Row],[Boss]:[troll]])*Tabelle2[[#This Row],[gold/stück]]</f>
        <v>0</v>
      </c>
      <c r="Q39" s="6">
        <v>0</v>
      </c>
      <c r="R39" s="6">
        <f>Tabelle2[[#This Row],[gold/stück]]*Tabelle2[[#This Row],[wunsch]]</f>
        <v>0</v>
      </c>
      <c r="S39" s="30" t="s">
        <v>126</v>
      </c>
      <c r="T39" s="30">
        <v>5</v>
      </c>
      <c r="U39" s="30">
        <f>Tabelle2[[#This Row],[Bewertung]]*SUM(Tabelle2[[#This Row],[Boss]:[troll]])</f>
        <v>0</v>
      </c>
    </row>
    <row r="40" spans="2:21" s="6" customFormat="1" x14ac:dyDescent="0.2">
      <c r="C40" s="6" t="s">
        <v>6</v>
      </c>
      <c r="D40" s="6" t="s">
        <v>67</v>
      </c>
      <c r="F40" s="29"/>
      <c r="G40" s="6" t="s">
        <v>124</v>
      </c>
      <c r="H40" s="6">
        <v>20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f>SUM(Tabelle2[[#This Row],[Boss]:[troll]])*Tabelle2[[#This Row],[gold/stück]]</f>
        <v>0</v>
      </c>
      <c r="Q40" s="6">
        <v>0</v>
      </c>
      <c r="R40" s="6">
        <f>Tabelle2[[#This Row],[gold/stück]]*Tabelle2[[#This Row],[wunsch]]</f>
        <v>0</v>
      </c>
      <c r="S40" s="30" t="s">
        <v>125</v>
      </c>
      <c r="T40" s="30">
        <v>8</v>
      </c>
      <c r="U40" s="30">
        <f>Tabelle2[[#This Row],[Bewertung]]*SUM(Tabelle2[[#This Row],[Boss]:[troll]])</f>
        <v>0</v>
      </c>
    </row>
    <row r="41" spans="2:21" s="6" customFormat="1" x14ac:dyDescent="0.2">
      <c r="C41" s="6" t="s">
        <v>8</v>
      </c>
      <c r="D41" s="34" t="s">
        <v>67</v>
      </c>
      <c r="E41" s="34"/>
      <c r="F41" s="35"/>
      <c r="G41" s="34" t="s">
        <v>136</v>
      </c>
      <c r="H41" s="6">
        <v>5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f>SUM(Tabelle2[[#This Row],[Boss]:[troll]])*Tabelle2[[#This Row],[gold/stück]]</f>
        <v>5</v>
      </c>
      <c r="Q41" s="6">
        <v>0</v>
      </c>
      <c r="R41" s="6">
        <f>Tabelle2[[#This Row],[gold/stück]]*Tabelle2[[#This Row],[wunsch]]</f>
        <v>0</v>
      </c>
      <c r="S41" s="30" t="s">
        <v>137</v>
      </c>
      <c r="T41" s="30">
        <v>7</v>
      </c>
      <c r="U41" s="30">
        <f>Tabelle2[[#This Row],[Bewertung]]*SUM(Tabelle2[[#This Row],[Boss]:[troll]])</f>
        <v>7</v>
      </c>
    </row>
    <row r="42" spans="2:21" s="6" customFormat="1" x14ac:dyDescent="0.2">
      <c r="C42" s="34" t="s">
        <v>7</v>
      </c>
      <c r="D42" s="34" t="s">
        <v>67</v>
      </c>
      <c r="E42" s="34"/>
      <c r="F42" s="35"/>
      <c r="G42" s="34"/>
      <c r="H42" s="34">
        <v>10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f>SUM(Tabelle2[[#This Row],[Boss]:[troll]])*Tabelle2[[#This Row],[gold/stück]]</f>
        <v>0</v>
      </c>
      <c r="Q42" s="6">
        <v>0</v>
      </c>
      <c r="R42" s="6">
        <f>Tabelle2[[#This Row],[gold/stück]]*Tabelle2[[#This Row],[wunsch]]</f>
        <v>0</v>
      </c>
      <c r="S42" s="30" t="s">
        <v>137</v>
      </c>
      <c r="T42" s="30">
        <v>7</v>
      </c>
      <c r="U42" s="30">
        <f>Tabelle2[[#This Row],[Bewertung]]*SUM(Tabelle2[[#This Row],[Boss]:[troll]])</f>
        <v>0</v>
      </c>
    </row>
    <row r="43" spans="2:21" s="6" customFormat="1" ht="15.75" x14ac:dyDescent="0.25">
      <c r="B43"/>
      <c r="C43" s="34"/>
      <c r="D43" s="34"/>
      <c r="E43" s="34"/>
      <c r="F43" s="35"/>
      <c r="G43" s="34"/>
      <c r="H43" s="34"/>
      <c r="I43" s="3">
        <f>I25*$H25+I26*$H26+I27*$H27+I28*$H28+I29*$H29+I30*$H30+I31*$H31+I32*$H32+I33*$H33+I34*$H34+I35*$H35+I36*$H36+I37*$H37+I38*$H38+I39*$H39+I40*$H40+I41*$H41+I42*$H42</f>
        <v>10</v>
      </c>
      <c r="J43" s="3">
        <f t="shared" ref="J43:O43" si="1">J25*$H25+J26*$H26+J27*$H27+J28*$H28+J29*$H29+J30*$H30+J31*$H31+J32*$H32+J33*$H33+J34*$H34+J35*$H35+J36*$H36+J37*$H37+J38*$H38+J39*$H39+J40*$H40+J41*$H41+J42*$H42</f>
        <v>0</v>
      </c>
      <c r="K43" s="3">
        <f t="shared" si="1"/>
        <v>50</v>
      </c>
      <c r="L43" s="3">
        <f t="shared" si="1"/>
        <v>0</v>
      </c>
      <c r="M43" s="3">
        <f t="shared" si="1"/>
        <v>0</v>
      </c>
      <c r="N43" s="3">
        <f t="shared" si="1"/>
        <v>75</v>
      </c>
      <c r="O43" s="3">
        <f t="shared" si="1"/>
        <v>0</v>
      </c>
      <c r="P43" s="2">
        <f>SUM(P25:P42)</f>
        <v>135</v>
      </c>
      <c r="Q43" s="34"/>
      <c r="R43" s="37">
        <f>SUM(Tabelle2[zusatzkosten])</f>
        <v>0</v>
      </c>
      <c r="S43" s="36"/>
      <c r="T43" s="6" t="s">
        <v>147</v>
      </c>
      <c r="U43" s="2">
        <f>SUM(Tabelle2[Warband Equip Rating])</f>
        <v>92</v>
      </c>
    </row>
    <row r="44" spans="2:21" s="6" customFormat="1" x14ac:dyDescent="0.2">
      <c r="F44" s="29"/>
      <c r="S44" s="30"/>
      <c r="T44" s="6" t="s">
        <v>148</v>
      </c>
      <c r="U44" s="6">
        <f>SUM(U25:U39)</f>
        <v>85</v>
      </c>
    </row>
    <row r="45" spans="2:21" s="6" customFormat="1" x14ac:dyDescent="0.2">
      <c r="F45" s="29"/>
      <c r="S45" s="30"/>
      <c r="T45" s="6" t="s">
        <v>149</v>
      </c>
      <c r="U45" s="6">
        <f>SUM(U40:U42)</f>
        <v>7</v>
      </c>
    </row>
    <row r="46" spans="2:21" s="6" customFormat="1" x14ac:dyDescent="0.2">
      <c r="C46" s="34"/>
      <c r="D46" s="34"/>
      <c r="E46" s="34"/>
      <c r="F46" s="35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6"/>
    </row>
    <row r="47" spans="2:21" s="6" customFormat="1" ht="15.75" x14ac:dyDescent="0.25">
      <c r="C47"/>
      <c r="H47"/>
      <c r="I47" s="4"/>
      <c r="J47" s="4"/>
      <c r="K47" s="4"/>
      <c r="L47" s="4"/>
      <c r="M47" s="4"/>
      <c r="N47" s="4"/>
      <c r="O47" s="4"/>
      <c r="P47" s="2"/>
    </row>
    <row r="48" spans="2:21" s="6" customFormat="1" x14ac:dyDescent="0.2">
      <c r="G48"/>
    </row>
    <row r="49" spans="3:22" s="6" customFormat="1" x14ac:dyDescent="0.2"/>
    <row r="50" spans="3:22" s="6" customFormat="1" x14ac:dyDescent="0.2"/>
    <row r="51" spans="3:22" s="6" customFormat="1" x14ac:dyDescent="0.2"/>
    <row r="52" spans="3:22" s="6" customFormat="1" x14ac:dyDescent="0.2"/>
    <row r="53" spans="3:22" s="6" customFormat="1" x14ac:dyDescent="0.2"/>
    <row r="54" spans="3:22" s="6" customFormat="1" x14ac:dyDescent="0.2"/>
    <row r="55" spans="3:22" s="6" customFormat="1" x14ac:dyDescent="0.2">
      <c r="V55" s="1"/>
    </row>
    <row r="56" spans="3:22" s="6" customFormat="1" x14ac:dyDescent="0.2">
      <c r="V56" s="1"/>
    </row>
    <row r="57" spans="3:22" x14ac:dyDescent="0.2">
      <c r="C57" s="6"/>
      <c r="D57" s="6"/>
      <c r="F57" s="6"/>
      <c r="G57" s="6"/>
      <c r="H57" s="6"/>
      <c r="I57" s="6"/>
      <c r="P57" s="6"/>
    </row>
    <row r="58" spans="3:22" s="6" customFormat="1" x14ac:dyDescent="0.2"/>
    <row r="59" spans="3:22" s="6" customFormat="1" x14ac:dyDescent="0.2"/>
    <row r="60" spans="3:22" s="6" customFormat="1" x14ac:dyDescent="0.2"/>
    <row r="61" spans="3:22" s="6" customFormat="1" x14ac:dyDescent="0.2">
      <c r="C61"/>
      <c r="D61"/>
      <c r="F61"/>
      <c r="G61"/>
      <c r="H61"/>
      <c r="I61"/>
      <c r="P61"/>
      <c r="Q61" s="1"/>
      <c r="R61" s="1"/>
      <c r="S61" s="1"/>
    </row>
    <row r="62" spans="3:22" s="6" customFormat="1" x14ac:dyDescent="0.2"/>
    <row r="63" spans="3:22" s="6" customFormat="1" x14ac:dyDescent="0.2"/>
    <row r="64" spans="3:22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pans="3:16" s="6" customFormat="1" x14ac:dyDescent="0.2"/>
    <row r="98" spans="3:16" s="6" customFormat="1" x14ac:dyDescent="0.2"/>
    <row r="99" spans="3:16" s="6" customFormat="1" x14ac:dyDescent="0.2"/>
    <row r="100" spans="3:16" s="6" customFormat="1" x14ac:dyDescent="0.2"/>
    <row r="101" spans="3:16" s="6" customFormat="1" x14ac:dyDescent="0.2"/>
    <row r="102" spans="3:16" s="6" customFormat="1" x14ac:dyDescent="0.2"/>
    <row r="103" spans="3:16" s="6" customFormat="1" x14ac:dyDescent="0.2"/>
    <row r="104" spans="3:16" x14ac:dyDescent="0.2">
      <c r="C104" s="6"/>
      <c r="D104" s="6"/>
      <c r="F104" s="6"/>
      <c r="G104" s="6"/>
      <c r="H104" s="6"/>
      <c r="I104" s="6"/>
      <c r="P104" s="6"/>
    </row>
    <row r="105" spans="3:16" x14ac:dyDescent="0.2">
      <c r="C105" s="6"/>
      <c r="D105" s="6"/>
      <c r="F105" s="6"/>
      <c r="G105" s="6"/>
      <c r="H105" s="6"/>
      <c r="I105" s="6"/>
      <c r="P105" s="6"/>
    </row>
    <row r="106" spans="3:16" x14ac:dyDescent="0.2">
      <c r="C106" s="6"/>
      <c r="D106" s="6"/>
      <c r="F106" s="6"/>
      <c r="G106" s="6"/>
      <c r="H106" s="6"/>
      <c r="I106" s="6"/>
      <c r="P106" s="6"/>
    </row>
    <row r="107" spans="3:16" x14ac:dyDescent="0.2">
      <c r="C107" s="6"/>
      <c r="D107" s="6"/>
      <c r="F107" s="6"/>
      <c r="G107" s="6"/>
      <c r="H107" s="6"/>
      <c r="I107" s="6"/>
      <c r="P107" s="6"/>
    </row>
    <row r="113" spans="3:16" s="6" customFormat="1" x14ac:dyDescent="0.2">
      <c r="C113"/>
      <c r="D113"/>
      <c r="F113"/>
      <c r="G113"/>
      <c r="H113"/>
      <c r="I113"/>
      <c r="P113"/>
    </row>
    <row r="114" spans="3:16" s="6" customFormat="1" x14ac:dyDescent="0.2">
      <c r="C114"/>
      <c r="D114"/>
      <c r="F114"/>
      <c r="G114"/>
      <c r="H114"/>
      <c r="I114"/>
      <c r="P114"/>
    </row>
    <row r="115" spans="3:16" s="6" customFormat="1" x14ac:dyDescent="0.2">
      <c r="C115"/>
      <c r="D115"/>
      <c r="F115"/>
      <c r="G115"/>
      <c r="H115"/>
      <c r="I115"/>
      <c r="P115"/>
    </row>
    <row r="116" spans="3:16" s="6" customFormat="1" x14ac:dyDescent="0.2">
      <c r="C116"/>
      <c r="D116"/>
      <c r="F116"/>
      <c r="G116"/>
      <c r="H116"/>
      <c r="I116"/>
      <c r="P116"/>
    </row>
    <row r="117" spans="3:16" s="6" customFormat="1" x14ac:dyDescent="0.2"/>
    <row r="118" spans="3:16" s="6" customFormat="1" x14ac:dyDescent="0.2"/>
    <row r="119" spans="3:16" s="6" customFormat="1" x14ac:dyDescent="0.2"/>
    <row r="120" spans="3:16" ht="12" customHeight="1" x14ac:dyDescent="0.2">
      <c r="C120" s="6"/>
      <c r="D120" s="6"/>
      <c r="F120" s="6"/>
      <c r="G120" s="6"/>
      <c r="H120" s="6"/>
      <c r="I120" s="6"/>
      <c r="P120" s="6"/>
    </row>
    <row r="121" spans="3:16" x14ac:dyDescent="0.2">
      <c r="C121" s="6"/>
      <c r="D121" s="6"/>
      <c r="F121" s="6"/>
      <c r="G121" s="6"/>
      <c r="H121" s="6"/>
      <c r="I121" s="6"/>
      <c r="P121" s="6"/>
    </row>
    <row r="122" spans="3:16" x14ac:dyDescent="0.2">
      <c r="C122" s="6"/>
      <c r="D122" s="6"/>
      <c r="F122" s="6"/>
      <c r="G122" s="6"/>
      <c r="H122" s="6"/>
      <c r="I122" s="6"/>
      <c r="P122" s="6"/>
    </row>
    <row r="123" spans="3:16" x14ac:dyDescent="0.2">
      <c r="C123" s="6"/>
      <c r="D123" s="6"/>
      <c r="F123" s="6"/>
      <c r="G123" s="6"/>
      <c r="H123" s="6"/>
      <c r="I123" s="6"/>
      <c r="P123" s="6"/>
    </row>
  </sheetData>
  <mergeCells count="5">
    <mergeCell ref="B14:B16"/>
    <mergeCell ref="B17:B20"/>
    <mergeCell ref="I23:K23"/>
    <mergeCell ref="L23:O23"/>
    <mergeCell ref="I22:O22"/>
  </mergeCells>
  <conditionalFormatting sqref="C6">
    <cfRule type="cellIs" dxfId="29" priority="55" operator="greaterThan">
      <formula>$C$5</formula>
    </cfRule>
  </conditionalFormatting>
  <conditionalFormatting sqref="G14:G2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5:P4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D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3:H4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4:P42 P44:P46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44:P46 P25:P42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5:H33 H40:H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4:H3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5">
    <cfRule type="cellIs" dxfId="28" priority="7" operator="greaterThan">
      <formula>0</formula>
    </cfRule>
  </conditionalFormatting>
  <conditionalFormatting sqref="J25:O25">
    <cfRule type="cellIs" dxfId="27" priority="6" operator="greaterThan">
      <formula>0</formula>
    </cfRule>
  </conditionalFormatting>
  <conditionalFormatting sqref="I26:I42">
    <cfRule type="cellIs" dxfId="26" priority="5" operator="greaterThan">
      <formula>0</formula>
    </cfRule>
  </conditionalFormatting>
  <conditionalFormatting sqref="J26:O42">
    <cfRule type="cellIs" dxfId="25" priority="4" operator="greaterThan">
      <formula>0</formula>
    </cfRule>
  </conditionalFormatting>
  <conditionalFormatting sqref="I25:O42">
    <cfRule type="cellIs" dxfId="24" priority="3" operator="greaterThan">
      <formula>0</formula>
    </cfRule>
  </conditionalFormatting>
  <conditionalFormatting sqref="E14:E20">
    <cfRule type="cellIs" dxfId="23" priority="2" operator="greaterThan">
      <formula>0</formula>
    </cfRule>
  </conditionalFormatting>
  <conditionalFormatting sqref="T25:T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6"/>
  <sheetViews>
    <sheetView topLeftCell="B1" zoomScaleNormal="100" workbookViewId="0">
      <selection activeCell="C5" sqref="C5:I13"/>
    </sheetView>
  </sheetViews>
  <sheetFormatPr baseColWidth="10" defaultColWidth="10.7109375" defaultRowHeight="12.75" x14ac:dyDescent="0.2"/>
  <cols>
    <col min="2" max="2" width="26" bestFit="1" customWidth="1"/>
    <col min="3" max="3" width="11.85546875" bestFit="1" customWidth="1"/>
    <col min="4" max="4" width="14.7109375" bestFit="1" customWidth="1"/>
    <col min="5" max="5" width="12.28515625" bestFit="1" customWidth="1"/>
    <col min="6" max="6" width="31.140625" bestFit="1" customWidth="1"/>
    <col min="7" max="7" width="11" bestFit="1" customWidth="1"/>
    <col min="8" max="8" width="8.42578125" bestFit="1" customWidth="1"/>
    <col min="9" max="9" width="5.5703125" bestFit="1" customWidth="1"/>
    <col min="10" max="10" width="4" bestFit="1" customWidth="1"/>
    <col min="11" max="11" width="7.140625" bestFit="1" customWidth="1"/>
    <col min="12" max="12" width="10.5703125" bestFit="1" customWidth="1"/>
  </cols>
  <sheetData>
    <row r="2" spans="2:12" ht="15.75" x14ac:dyDescent="0.25">
      <c r="B2" s="2" t="s">
        <v>47</v>
      </c>
    </row>
    <row r="3" spans="2:12" ht="15.75" x14ac:dyDescent="0.25">
      <c r="C3" s="42" t="s">
        <v>51</v>
      </c>
      <c r="D3" s="42"/>
      <c r="E3" s="42"/>
      <c r="F3" s="42"/>
      <c r="G3" s="42" t="s">
        <v>52</v>
      </c>
      <c r="H3" s="42"/>
      <c r="I3" s="42"/>
    </row>
    <row r="4" spans="2:12" x14ac:dyDescent="0.2">
      <c r="B4" s="13"/>
      <c r="C4" s="12" t="str">
        <f>Member!C14</f>
        <v>ork boss (1)</v>
      </c>
      <c r="D4" s="12" t="str">
        <f>Member!C15</f>
        <v>schamane (0-1)</v>
      </c>
      <c r="E4" s="12" t="str">
        <f>Member!C16</f>
        <v>big'uns (0-3)</v>
      </c>
      <c r="F4" s="12" t="str">
        <f>Member!C17</f>
        <v>goblin warrior (max 2x anz boyz)</v>
      </c>
      <c r="G4" s="12" t="str">
        <f>Member!C18</f>
        <v>cave squig</v>
      </c>
      <c r="H4" s="12" t="str">
        <f>Member!C19</f>
        <v>ork boy</v>
      </c>
      <c r="I4" s="12" t="str">
        <f>Member!C20</f>
        <v>troll</v>
      </c>
      <c r="K4" s="41" t="s">
        <v>48</v>
      </c>
      <c r="L4" s="41"/>
    </row>
    <row r="5" spans="2:12" x14ac:dyDescent="0.2">
      <c r="B5" s="14" t="s">
        <v>28</v>
      </c>
      <c r="C5" s="6">
        <v>4</v>
      </c>
      <c r="D5" s="6">
        <v>4</v>
      </c>
      <c r="E5" s="6">
        <v>4</v>
      </c>
      <c r="F5" s="6">
        <v>4</v>
      </c>
      <c r="G5" s="17">
        <v>0</v>
      </c>
      <c r="H5" s="6">
        <v>4</v>
      </c>
      <c r="I5" s="6">
        <v>6</v>
      </c>
      <c r="K5" s="23" t="s">
        <v>51</v>
      </c>
      <c r="L5" s="24" t="s">
        <v>52</v>
      </c>
    </row>
    <row r="6" spans="2:12" x14ac:dyDescent="0.2">
      <c r="B6" s="14" t="s">
        <v>29</v>
      </c>
      <c r="C6" s="6">
        <v>4</v>
      </c>
      <c r="D6" s="6">
        <v>3</v>
      </c>
      <c r="E6" s="6">
        <v>4</v>
      </c>
      <c r="F6" s="6">
        <v>2</v>
      </c>
      <c r="G6" s="6">
        <v>4</v>
      </c>
      <c r="H6" s="6">
        <v>3</v>
      </c>
      <c r="I6" s="6">
        <v>3</v>
      </c>
      <c r="K6" s="6">
        <v>10</v>
      </c>
      <c r="L6" s="25">
        <f t="shared" ref="L6:L11" si="0">K6-3</f>
        <v>7</v>
      </c>
    </row>
    <row r="7" spans="2:12" x14ac:dyDescent="0.2">
      <c r="B7" s="14" t="s">
        <v>30</v>
      </c>
      <c r="C7" s="6">
        <v>4</v>
      </c>
      <c r="D7" s="6">
        <v>3</v>
      </c>
      <c r="E7" s="6">
        <v>3</v>
      </c>
      <c r="F7" s="6">
        <v>3</v>
      </c>
      <c r="G7" s="6">
        <v>0</v>
      </c>
      <c r="H7" s="6">
        <v>3</v>
      </c>
      <c r="I7" s="6">
        <v>1</v>
      </c>
      <c r="K7" s="6">
        <v>10</v>
      </c>
      <c r="L7" s="25">
        <f t="shared" si="0"/>
        <v>7</v>
      </c>
    </row>
    <row r="8" spans="2:12" x14ac:dyDescent="0.2">
      <c r="B8" s="14" t="s">
        <v>31</v>
      </c>
      <c r="C8" s="6">
        <v>4</v>
      </c>
      <c r="D8" s="6">
        <v>3</v>
      </c>
      <c r="E8" s="6">
        <v>3</v>
      </c>
      <c r="F8" s="6">
        <v>3</v>
      </c>
      <c r="G8" s="6">
        <v>4</v>
      </c>
      <c r="H8" s="6">
        <v>3</v>
      </c>
      <c r="I8" s="6">
        <v>5</v>
      </c>
      <c r="K8" s="6">
        <v>8</v>
      </c>
      <c r="L8" s="25">
        <f t="shared" si="0"/>
        <v>5</v>
      </c>
    </row>
    <row r="9" spans="2:12" x14ac:dyDescent="0.2">
      <c r="B9" s="14" t="s">
        <v>32</v>
      </c>
      <c r="C9" s="6">
        <v>4</v>
      </c>
      <c r="D9" s="6">
        <v>4</v>
      </c>
      <c r="E9" s="6">
        <v>4</v>
      </c>
      <c r="F9" s="6">
        <v>3</v>
      </c>
      <c r="G9" s="6">
        <v>3</v>
      </c>
      <c r="H9" s="6">
        <v>4</v>
      </c>
      <c r="I9" s="6">
        <v>4</v>
      </c>
      <c r="K9" s="6">
        <v>8</v>
      </c>
      <c r="L9" s="25">
        <f t="shared" si="0"/>
        <v>5</v>
      </c>
    </row>
    <row r="10" spans="2:12" x14ac:dyDescent="0.2">
      <c r="B10" s="14" t="s">
        <v>33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3</v>
      </c>
      <c r="K10" s="6">
        <v>3</v>
      </c>
      <c r="L10" s="25">
        <f t="shared" si="0"/>
        <v>0</v>
      </c>
    </row>
    <row r="11" spans="2:12" x14ac:dyDescent="0.2">
      <c r="B11" s="14" t="s">
        <v>34</v>
      </c>
      <c r="C11" s="6">
        <v>3</v>
      </c>
      <c r="D11" s="6">
        <v>3</v>
      </c>
      <c r="E11" s="6">
        <v>3</v>
      </c>
      <c r="F11" s="6">
        <v>3</v>
      </c>
      <c r="G11" s="6">
        <v>4</v>
      </c>
      <c r="H11" s="6">
        <v>2</v>
      </c>
      <c r="I11" s="6">
        <v>1</v>
      </c>
      <c r="K11" s="6">
        <v>4</v>
      </c>
      <c r="L11" s="25">
        <f t="shared" si="0"/>
        <v>1</v>
      </c>
    </row>
    <row r="12" spans="2:12" x14ac:dyDescent="0.2">
      <c r="B12" s="14" t="s">
        <v>35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3</v>
      </c>
      <c r="K12" s="6">
        <v>1</v>
      </c>
      <c r="L12" s="25">
        <v>0.5</v>
      </c>
    </row>
    <row r="13" spans="2:12" x14ac:dyDescent="0.2">
      <c r="B13" s="14" t="s">
        <v>36</v>
      </c>
      <c r="C13" s="6">
        <v>8</v>
      </c>
      <c r="D13" s="6">
        <v>7</v>
      </c>
      <c r="E13" s="6">
        <v>7</v>
      </c>
      <c r="F13" s="6">
        <v>5</v>
      </c>
      <c r="G13" s="6">
        <v>5</v>
      </c>
      <c r="H13" s="6">
        <v>7</v>
      </c>
      <c r="I13" s="6">
        <v>4</v>
      </c>
      <c r="K13" s="6">
        <v>1</v>
      </c>
      <c r="L13" s="25">
        <v>0.5</v>
      </c>
    </row>
    <row r="14" spans="2:12" x14ac:dyDescent="0.2">
      <c r="B14" s="6"/>
      <c r="C14" s="6"/>
      <c r="D14" s="6"/>
      <c r="E14" s="6"/>
      <c r="F14" s="6"/>
      <c r="G14" s="6"/>
      <c r="H14" s="6"/>
      <c r="I14" s="6"/>
    </row>
    <row r="15" spans="2:12" x14ac:dyDescent="0.2">
      <c r="B15" s="15" t="s">
        <v>38</v>
      </c>
      <c r="C15" s="31">
        <f t="shared" ref="C15:E22" si="1">$K6*C6/C$24</f>
        <v>0.5</v>
      </c>
      <c r="D15" s="31">
        <f t="shared" si="1"/>
        <v>0.75</v>
      </c>
      <c r="E15" s="31">
        <f t="shared" si="1"/>
        <v>1</v>
      </c>
      <c r="F15" s="31">
        <f>$L6*F6/F$24</f>
        <v>0.93333333333333335</v>
      </c>
      <c r="G15" s="31">
        <f>$L6*G6/G$24</f>
        <v>1.8666666666666667</v>
      </c>
      <c r="H15" s="31">
        <f>$L6*H6/H$24</f>
        <v>0.84</v>
      </c>
      <c r="I15" s="31">
        <f>$L6*I6/I$24</f>
        <v>0.105</v>
      </c>
    </row>
    <row r="16" spans="2:12" x14ac:dyDescent="0.2">
      <c r="B16" s="15" t="s">
        <v>39</v>
      </c>
      <c r="C16" s="31">
        <f t="shared" si="1"/>
        <v>0.5</v>
      </c>
      <c r="D16" s="31">
        <f t="shared" si="1"/>
        <v>0.75</v>
      </c>
      <c r="E16" s="31">
        <f t="shared" si="1"/>
        <v>0.75</v>
      </c>
      <c r="F16" s="31">
        <f t="shared" ref="F16:F22" si="2">$L7*F7/F$24</f>
        <v>1.4</v>
      </c>
      <c r="G16" s="31">
        <f t="shared" ref="G16:I22" si="3">$L7*G7/G$24</f>
        <v>0</v>
      </c>
      <c r="H16" s="31">
        <f t="shared" si="3"/>
        <v>0.84</v>
      </c>
      <c r="I16" s="31">
        <f t="shared" si="3"/>
        <v>3.5000000000000003E-2</v>
      </c>
    </row>
    <row r="17" spans="2:10" x14ac:dyDescent="0.2">
      <c r="B17" s="15" t="s">
        <v>40</v>
      </c>
      <c r="C17" s="31">
        <f t="shared" si="1"/>
        <v>0.4</v>
      </c>
      <c r="D17" s="31">
        <f t="shared" si="1"/>
        <v>0.6</v>
      </c>
      <c r="E17" s="31">
        <f t="shared" si="1"/>
        <v>0.6</v>
      </c>
      <c r="F17" s="31">
        <f t="shared" si="2"/>
        <v>1</v>
      </c>
      <c r="G17" s="31">
        <f t="shared" si="3"/>
        <v>1.3333333333333333</v>
      </c>
      <c r="H17" s="31">
        <f t="shared" si="3"/>
        <v>0.6</v>
      </c>
      <c r="I17" s="31">
        <f t="shared" si="3"/>
        <v>0.125</v>
      </c>
    </row>
    <row r="18" spans="2:10" x14ac:dyDescent="0.2">
      <c r="B18" s="15" t="s">
        <v>41</v>
      </c>
      <c r="C18" s="31">
        <f t="shared" si="1"/>
        <v>0.4</v>
      </c>
      <c r="D18" s="31">
        <f t="shared" si="1"/>
        <v>0.8</v>
      </c>
      <c r="E18" s="31">
        <f t="shared" si="1"/>
        <v>0.8</v>
      </c>
      <c r="F18" s="31">
        <f t="shared" si="2"/>
        <v>1</v>
      </c>
      <c r="G18" s="31">
        <f t="shared" si="3"/>
        <v>1</v>
      </c>
      <c r="H18" s="31">
        <f t="shared" si="3"/>
        <v>0.8</v>
      </c>
      <c r="I18" s="31">
        <f t="shared" si="3"/>
        <v>0.1</v>
      </c>
    </row>
    <row r="19" spans="2:10" x14ac:dyDescent="0.2">
      <c r="B19" s="15" t="s">
        <v>42</v>
      </c>
      <c r="C19" s="31">
        <f t="shared" si="1"/>
        <v>3.7499999999999999E-2</v>
      </c>
      <c r="D19" s="31">
        <f t="shared" si="1"/>
        <v>7.4999999999999997E-2</v>
      </c>
      <c r="E19" s="31">
        <f t="shared" si="1"/>
        <v>7.4999999999999997E-2</v>
      </c>
      <c r="F19" s="31">
        <f t="shared" si="2"/>
        <v>0</v>
      </c>
      <c r="G19" s="31">
        <f t="shared" si="3"/>
        <v>0</v>
      </c>
      <c r="H19" s="31">
        <f t="shared" si="3"/>
        <v>0</v>
      </c>
      <c r="I19" s="31">
        <f t="shared" si="3"/>
        <v>0</v>
      </c>
    </row>
    <row r="20" spans="2:10" x14ac:dyDescent="0.2">
      <c r="B20" s="15" t="s">
        <v>43</v>
      </c>
      <c r="C20" s="31">
        <f t="shared" si="1"/>
        <v>0.15</v>
      </c>
      <c r="D20" s="31">
        <f t="shared" si="1"/>
        <v>0.3</v>
      </c>
      <c r="E20" s="31">
        <f t="shared" si="1"/>
        <v>0.3</v>
      </c>
      <c r="F20" s="31">
        <f t="shared" si="2"/>
        <v>0.2</v>
      </c>
      <c r="G20" s="31">
        <f t="shared" si="3"/>
        <v>0.26666666666666666</v>
      </c>
      <c r="H20" s="31">
        <f t="shared" si="3"/>
        <v>0.08</v>
      </c>
      <c r="I20" s="31">
        <f t="shared" si="3"/>
        <v>5.0000000000000001E-3</v>
      </c>
    </row>
    <row r="21" spans="2:10" x14ac:dyDescent="0.2">
      <c r="B21" s="15" t="s">
        <v>44</v>
      </c>
      <c r="C21" s="31">
        <f t="shared" si="1"/>
        <v>1.2500000000000001E-2</v>
      </c>
      <c r="D21" s="31">
        <f t="shared" si="1"/>
        <v>2.5000000000000001E-2</v>
      </c>
      <c r="E21" s="31">
        <f t="shared" si="1"/>
        <v>2.5000000000000001E-2</v>
      </c>
      <c r="F21" s="31">
        <f t="shared" si="2"/>
        <v>3.3333333333333333E-2</v>
      </c>
      <c r="G21" s="31">
        <f t="shared" si="3"/>
        <v>3.3333333333333333E-2</v>
      </c>
      <c r="H21" s="31">
        <f t="shared" si="3"/>
        <v>0.02</v>
      </c>
      <c r="I21" s="31">
        <f t="shared" si="3"/>
        <v>7.4999999999999997E-3</v>
      </c>
    </row>
    <row r="22" spans="2:10" x14ac:dyDescent="0.2">
      <c r="B22" s="15" t="s">
        <v>45</v>
      </c>
      <c r="C22" s="31">
        <f t="shared" si="1"/>
        <v>0.1</v>
      </c>
      <c r="D22" s="31">
        <f t="shared" si="1"/>
        <v>0.17499999999999999</v>
      </c>
      <c r="E22" s="31">
        <f t="shared" si="1"/>
        <v>0.17499999999999999</v>
      </c>
      <c r="F22" s="31">
        <f t="shared" si="2"/>
        <v>0.16666666666666666</v>
      </c>
      <c r="G22" s="31">
        <f t="shared" si="3"/>
        <v>0.16666666666666666</v>
      </c>
      <c r="H22" s="31">
        <f t="shared" si="3"/>
        <v>0.14000000000000001</v>
      </c>
      <c r="I22" s="31">
        <f t="shared" si="3"/>
        <v>0.01</v>
      </c>
    </row>
    <row r="23" spans="2:10" x14ac:dyDescent="0.2">
      <c r="B23" s="6"/>
      <c r="C23" s="6"/>
      <c r="D23" s="6"/>
      <c r="E23" s="1"/>
      <c r="F23" s="6"/>
      <c r="G23" s="6"/>
      <c r="H23" s="6"/>
      <c r="I23" s="6"/>
      <c r="J23" s="6"/>
    </row>
    <row r="24" spans="2:10" x14ac:dyDescent="0.2">
      <c r="B24" s="16" t="s">
        <v>46</v>
      </c>
      <c r="C24" s="11">
        <f>Member!D14</f>
        <v>80</v>
      </c>
      <c r="D24" s="11">
        <f>Member!D15</f>
        <v>40</v>
      </c>
      <c r="E24" s="11">
        <f>Member!D16</f>
        <v>40</v>
      </c>
      <c r="F24" s="11">
        <f>Member!D17</f>
        <v>15</v>
      </c>
      <c r="G24" s="11">
        <f>Member!D18</f>
        <v>15</v>
      </c>
      <c r="H24" s="11">
        <f>Member!D19</f>
        <v>25</v>
      </c>
      <c r="I24" s="11">
        <f>Member!D20</f>
        <v>200</v>
      </c>
      <c r="J24" s="6"/>
    </row>
    <row r="26" spans="2:10" x14ac:dyDescent="0.2">
      <c r="C26">
        <f>SUM(C15:C22)*Member!E14</f>
        <v>2.0999999999999996</v>
      </c>
      <c r="D26" s="6">
        <f>SUM(D15:D22)*Member!E15</f>
        <v>3.4750000000000001</v>
      </c>
      <c r="E26" s="6">
        <f>SUM(E15:E22)*Member!E16</f>
        <v>11.175000000000001</v>
      </c>
      <c r="F26" s="6">
        <f>SUM(F15:F22)*Member!E17</f>
        <v>0</v>
      </c>
      <c r="G26" s="6">
        <f>SUM(G15:G22)*Member!E18</f>
        <v>0</v>
      </c>
      <c r="H26" s="6">
        <f>SUM(H15:H22)*Member!E19</f>
        <v>16.600000000000001</v>
      </c>
      <c r="I26" s="6">
        <f>SUM(I15:I22)*Member!E20</f>
        <v>0</v>
      </c>
      <c r="J26" s="1">
        <f>SUM(C26:I26)</f>
        <v>33.35</v>
      </c>
    </row>
  </sheetData>
  <mergeCells count="3">
    <mergeCell ref="K4:L4"/>
    <mergeCell ref="G3:I3"/>
    <mergeCell ref="C3:F3"/>
  </mergeCells>
  <conditionalFormatting sqref="C24:I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I22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8"/>
  <sheetViews>
    <sheetView workbookViewId="0">
      <selection activeCell="F9" sqref="F9"/>
    </sheetView>
  </sheetViews>
  <sheetFormatPr baseColWidth="10" defaultColWidth="11.5703125" defaultRowHeight="12.75" x14ac:dyDescent="0.2"/>
  <cols>
    <col min="2" max="2" width="34.28515625" bestFit="1" customWidth="1"/>
    <col min="3" max="3" width="12.42578125" customWidth="1"/>
    <col min="4" max="4" width="23.85546875" bestFit="1" customWidth="1"/>
    <col min="5" max="5" width="9.140625" customWidth="1"/>
    <col min="6" max="6" width="17.140625" customWidth="1"/>
    <col min="7" max="7" width="19.140625" customWidth="1"/>
    <col min="8" max="8" width="22.42578125" bestFit="1" customWidth="1"/>
  </cols>
  <sheetData>
    <row r="3" spans="2:8" x14ac:dyDescent="0.2">
      <c r="B3" s="1" t="s">
        <v>22</v>
      </c>
      <c r="C3" s="3" t="s">
        <v>62</v>
      </c>
      <c r="D3" s="1" t="s">
        <v>23</v>
      </c>
      <c r="E3" s="3" t="s">
        <v>50</v>
      </c>
      <c r="F3" s="3" t="s">
        <v>59</v>
      </c>
      <c r="G3" s="3" t="s">
        <v>89</v>
      </c>
      <c r="H3" s="3" t="s">
        <v>91</v>
      </c>
    </row>
    <row r="4" spans="2:8" x14ac:dyDescent="0.2">
      <c r="B4" s="7" t="s">
        <v>86</v>
      </c>
      <c r="C4" s="8">
        <v>6.3</v>
      </c>
      <c r="D4" s="6" t="s">
        <v>21</v>
      </c>
      <c r="E4" s="8">
        <f>C4/1</f>
        <v>6.3</v>
      </c>
      <c r="F4">
        <v>0</v>
      </c>
      <c r="G4" s="8">
        <f t="shared" ref="G4:G17" si="0">F4*E4</f>
        <v>0</v>
      </c>
      <c r="H4" s="32">
        <f>Tabelle4[[#This Row],[€ genutzt/Packung]]/Tabelle4[[#This Row],[€/Packung]]</f>
        <v>0</v>
      </c>
    </row>
    <row r="5" spans="2:8" x14ac:dyDescent="0.2">
      <c r="B5" s="7" t="s">
        <v>85</v>
      </c>
      <c r="C5" s="8">
        <v>10.71</v>
      </c>
      <c r="D5" s="6" t="s">
        <v>20</v>
      </c>
      <c r="E5" s="8">
        <f>C5/1</f>
        <v>10.71</v>
      </c>
      <c r="F5">
        <v>0</v>
      </c>
      <c r="G5" s="8">
        <f t="shared" si="0"/>
        <v>0</v>
      </c>
      <c r="H5" s="32">
        <f>Tabelle4[[#This Row],[€ genutzt/Packung]]/Tabelle4[[#This Row],[€/Packung]]</f>
        <v>0</v>
      </c>
    </row>
    <row r="6" spans="2:8" x14ac:dyDescent="0.2">
      <c r="B6" s="7" t="s">
        <v>84</v>
      </c>
      <c r="C6" s="8">
        <v>8.9499999999999993</v>
      </c>
      <c r="D6" s="6" t="s">
        <v>24</v>
      </c>
      <c r="E6" s="8">
        <f>C6/3</f>
        <v>2.9833333333333329</v>
      </c>
      <c r="F6">
        <v>0</v>
      </c>
      <c r="G6" s="8">
        <f t="shared" si="0"/>
        <v>0</v>
      </c>
      <c r="H6" s="32">
        <f>Tabelle4[[#This Row],[€ genutzt/Packung]]/Tabelle4[[#This Row],[€/Packung]]</f>
        <v>0</v>
      </c>
    </row>
    <row r="7" spans="2:8" x14ac:dyDescent="0.2">
      <c r="B7" s="7" t="s">
        <v>83</v>
      </c>
      <c r="C7" s="8">
        <v>9.4499999999999993</v>
      </c>
      <c r="D7" s="6" t="s">
        <v>25</v>
      </c>
      <c r="E7" s="8">
        <f>C7/3</f>
        <v>3.15</v>
      </c>
      <c r="F7">
        <v>3</v>
      </c>
      <c r="G7" s="8">
        <f t="shared" si="0"/>
        <v>9.4499999999999993</v>
      </c>
      <c r="H7" s="32">
        <f>Tabelle4[[#This Row],[€ genutzt/Packung]]/Tabelle4[[#This Row],[€/Packung]]</f>
        <v>1</v>
      </c>
    </row>
    <row r="8" spans="2:8" x14ac:dyDescent="0.2">
      <c r="B8" s="7" t="s">
        <v>82</v>
      </c>
      <c r="C8" s="8">
        <v>11.99</v>
      </c>
      <c r="D8" s="6" t="s">
        <v>19</v>
      </c>
      <c r="E8" s="8">
        <f>C8/1</f>
        <v>11.99</v>
      </c>
      <c r="F8">
        <v>0</v>
      </c>
      <c r="G8" s="8">
        <f t="shared" si="0"/>
        <v>0</v>
      </c>
      <c r="H8" s="32">
        <f>Tabelle4[[#This Row],[€ genutzt/Packung]]/Tabelle4[[#This Row],[€/Packung]]</f>
        <v>0</v>
      </c>
    </row>
    <row r="9" spans="2:8" x14ac:dyDescent="0.2">
      <c r="B9" s="7" t="s">
        <v>81</v>
      </c>
      <c r="C9" s="8">
        <v>10.36</v>
      </c>
      <c r="D9" t="s">
        <v>53</v>
      </c>
      <c r="E9" s="8">
        <f>C9/1</f>
        <v>10.36</v>
      </c>
      <c r="F9">
        <v>1</v>
      </c>
      <c r="G9" s="8">
        <f t="shared" si="0"/>
        <v>10.36</v>
      </c>
      <c r="H9" s="32">
        <f>Tabelle4[[#This Row],[€ genutzt/Packung]]/Tabelle4[[#This Row],[€/Packung]]</f>
        <v>1</v>
      </c>
    </row>
    <row r="10" spans="2:8" x14ac:dyDescent="0.2">
      <c r="B10" s="7" t="s">
        <v>80</v>
      </c>
      <c r="C10" s="8">
        <v>35.200000000000003</v>
      </c>
      <c r="D10" t="s">
        <v>55</v>
      </c>
      <c r="E10" s="8">
        <f>C10/20</f>
        <v>1.7600000000000002</v>
      </c>
      <c r="F10">
        <v>0</v>
      </c>
      <c r="G10" s="8">
        <f t="shared" si="0"/>
        <v>0</v>
      </c>
      <c r="H10" s="32">
        <f>Tabelle4[[#This Row],[€ genutzt/Packung]]/Tabelle4[[#This Row],[€/Packung]]</f>
        <v>0</v>
      </c>
    </row>
    <row r="11" spans="2:8" x14ac:dyDescent="0.2">
      <c r="B11" s="7" t="s">
        <v>79</v>
      </c>
      <c r="C11" s="8">
        <v>21.49</v>
      </c>
      <c r="D11" t="s">
        <v>54</v>
      </c>
      <c r="E11" s="8">
        <f>C11/10</f>
        <v>2.149</v>
      </c>
      <c r="F11">
        <v>0</v>
      </c>
      <c r="G11" s="8">
        <f t="shared" si="0"/>
        <v>0</v>
      </c>
      <c r="H11" s="32">
        <f>Tabelle4[[#This Row],[€ genutzt/Packung]]/Tabelle4[[#This Row],[€/Packung]]</f>
        <v>0</v>
      </c>
    </row>
    <row r="12" spans="2:8" x14ac:dyDescent="0.2">
      <c r="B12" s="7" t="s">
        <v>78</v>
      </c>
      <c r="C12" s="8">
        <v>19.989999999999998</v>
      </c>
      <c r="D12" s="6" t="s">
        <v>56</v>
      </c>
      <c r="E12" s="8">
        <f>C12/10</f>
        <v>1.9989999999999999</v>
      </c>
      <c r="F12" s="6">
        <v>0</v>
      </c>
      <c r="G12" s="8">
        <f t="shared" si="0"/>
        <v>0</v>
      </c>
      <c r="H12" s="32">
        <f>Tabelle4[[#This Row],[€ genutzt/Packung]]/Tabelle4[[#This Row],[€/Packung]]</f>
        <v>0</v>
      </c>
    </row>
    <row r="13" spans="2:8" x14ac:dyDescent="0.2">
      <c r="B13" s="7" t="s">
        <v>77</v>
      </c>
      <c r="C13" s="8">
        <v>7.99</v>
      </c>
      <c r="D13" s="6" t="s">
        <v>57</v>
      </c>
      <c r="E13" s="8">
        <f>C13/1</f>
        <v>7.99</v>
      </c>
      <c r="F13" s="6">
        <v>0</v>
      </c>
      <c r="G13" s="8">
        <f t="shared" si="0"/>
        <v>0</v>
      </c>
      <c r="H13" s="32">
        <f>Tabelle4[[#This Row],[€ genutzt/Packung]]/Tabelle4[[#This Row],[€/Packung]]</f>
        <v>0</v>
      </c>
    </row>
    <row r="14" spans="2:8" x14ac:dyDescent="0.2">
      <c r="B14" s="7" t="s">
        <v>76</v>
      </c>
      <c r="C14" s="8">
        <v>19.989999999999998</v>
      </c>
      <c r="D14" s="6" t="s">
        <v>60</v>
      </c>
      <c r="E14" s="8">
        <f>C14/3</f>
        <v>6.6633333333333331</v>
      </c>
      <c r="F14" s="6">
        <v>0</v>
      </c>
      <c r="G14" s="8">
        <f t="shared" si="0"/>
        <v>0</v>
      </c>
      <c r="H14" s="32">
        <f>Tabelle4[[#This Row],[€ genutzt/Packung]]/Tabelle4[[#This Row],[€/Packung]]</f>
        <v>0</v>
      </c>
    </row>
    <row r="15" spans="2:8" x14ac:dyDescent="0.2">
      <c r="B15" s="7" t="s">
        <v>75</v>
      </c>
      <c r="C15" s="8">
        <v>11.99</v>
      </c>
      <c r="D15" s="6" t="s">
        <v>61</v>
      </c>
      <c r="E15" s="8">
        <f>C15/2</f>
        <v>5.9950000000000001</v>
      </c>
      <c r="F15" s="6">
        <v>0</v>
      </c>
      <c r="G15" s="8">
        <f t="shared" si="0"/>
        <v>0</v>
      </c>
      <c r="H15" s="32">
        <f>Tabelle4[[#This Row],[€ genutzt/Packung]]/Tabelle4[[#This Row],[€/Packung]]</f>
        <v>0</v>
      </c>
    </row>
    <row r="16" spans="2:8" x14ac:dyDescent="0.2">
      <c r="B16" s="7" t="s">
        <v>64</v>
      </c>
      <c r="C16" s="8">
        <v>19.989999999999998</v>
      </c>
      <c r="D16" s="6" t="s">
        <v>63</v>
      </c>
      <c r="E16" s="8">
        <f>C16/20</f>
        <v>0.99949999999999994</v>
      </c>
      <c r="F16" s="6">
        <v>0</v>
      </c>
      <c r="G16" s="8">
        <f t="shared" si="0"/>
        <v>0</v>
      </c>
      <c r="H16" s="32">
        <f>Tabelle4[[#This Row],[€ genutzt/Packung]]/Tabelle4[[#This Row],[€/Packung]]</f>
        <v>0</v>
      </c>
    </row>
    <row r="17" spans="2:8" s="6" customFormat="1" x14ac:dyDescent="0.2">
      <c r="B17" s="7" t="s">
        <v>87</v>
      </c>
      <c r="C17" s="8">
        <v>22.75</v>
      </c>
      <c r="D17" s="6" t="s">
        <v>88</v>
      </c>
      <c r="E17" s="8">
        <f>C17/10</f>
        <v>2.2749999999999999</v>
      </c>
      <c r="F17" s="6">
        <v>5</v>
      </c>
      <c r="G17" s="8">
        <f t="shared" si="0"/>
        <v>11.375</v>
      </c>
      <c r="H17" s="32">
        <f>Tabelle4[[#This Row],[€ genutzt/Packung]]/Tabelle4[[#This Row],[€/Packung]]</f>
        <v>0.5</v>
      </c>
    </row>
    <row r="18" spans="2:8" x14ac:dyDescent="0.2">
      <c r="B18" s="1" t="s">
        <v>49</v>
      </c>
      <c r="C18" s="9">
        <f>SUM(C4:C17)</f>
        <v>217.15000000000003</v>
      </c>
      <c r="F18" s="1" t="s">
        <v>58</v>
      </c>
      <c r="G18" s="9">
        <f>SUM(G4:G17)</f>
        <v>31.184999999999999</v>
      </c>
    </row>
  </sheetData>
  <conditionalFormatting sqref="C4:C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Member</vt:lpstr>
      <vt:lpstr>Characteristik analyse</vt:lpstr>
      <vt:lpstr>Boxen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2018-08-20T13:02:44Z</dcterms:created>
  <dcterms:modified xsi:type="dcterms:W3CDTF">2018-08-31T12:46:41Z</dcterms:modified>
</cp:coreProperties>
</file>