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klaute\Dropbox\Privat\Mordheim\kai\nein\"/>
    </mc:Choice>
  </mc:AlternateContent>
  <xr:revisionPtr revIDLastSave="0" documentId="10_ncr:8100000_{A3E9C6D2-A0A9-4FF3-BEA4-194FEFF25714}" xr6:coauthVersionLast="34" xr6:coauthVersionMax="34" xr10:uidLastSave="{00000000-0000-0000-0000-000000000000}"/>
  <bookViews>
    <workbookView xWindow="0" yWindow="0" windowWidth="17205" windowHeight="8640" xr2:uid="{00000000-000D-0000-FFFF-FFFF00000000}"/>
  </bookViews>
  <sheets>
    <sheet name="Member" sheetId="1" r:id="rId1"/>
    <sheet name="Characteristik analyse" sheetId="2" r:id="rId2"/>
    <sheet name="Boxe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J28" i="2" l="1"/>
  <c r="I28" i="2"/>
  <c r="H28" i="2"/>
  <c r="G28" i="2"/>
  <c r="F28" i="2"/>
  <c r="E28" i="2"/>
  <c r="D28" i="2"/>
  <c r="C28" i="2"/>
  <c r="H7" i="1" l="1"/>
  <c r="H5" i="1" l="1"/>
  <c r="H6" i="1"/>
  <c r="J6" i="1"/>
  <c r="I6" i="1"/>
  <c r="T39" i="1"/>
  <c r="T38" i="1"/>
  <c r="T37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O24" i="1" l="1"/>
  <c r="O25" i="1"/>
  <c r="O26" i="1"/>
  <c r="O27" i="1"/>
  <c r="O28" i="1"/>
  <c r="O29" i="1"/>
  <c r="O30" i="1"/>
  <c r="O31" i="1"/>
  <c r="O32" i="1"/>
  <c r="O33" i="1"/>
  <c r="O34" i="1"/>
  <c r="O35" i="1"/>
  <c r="O36" i="1"/>
  <c r="O23" i="1"/>
  <c r="I37" i="1"/>
  <c r="J37" i="1"/>
  <c r="K37" i="1"/>
  <c r="L37" i="1"/>
  <c r="M37" i="1"/>
  <c r="N37" i="1"/>
  <c r="H37" i="1"/>
  <c r="O37" i="1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I26" i="2"/>
  <c r="H26" i="2"/>
  <c r="G26" i="2"/>
  <c r="F26" i="2"/>
  <c r="F19" i="2" s="1"/>
  <c r="E26" i="2"/>
  <c r="D26" i="2"/>
  <c r="C26" i="2"/>
  <c r="I6" i="2"/>
  <c r="H6" i="2"/>
  <c r="G6" i="2"/>
  <c r="F6" i="2"/>
  <c r="E6" i="2"/>
  <c r="D6" i="2"/>
  <c r="C6" i="2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23" i="1"/>
  <c r="F20" i="2" l="1"/>
  <c r="F18" i="2"/>
  <c r="F17" i="2"/>
  <c r="F24" i="2"/>
  <c r="F22" i="2"/>
  <c r="F23" i="2"/>
  <c r="F21" i="2"/>
  <c r="Q37" i="1" l="1"/>
  <c r="E7" i="4"/>
  <c r="G7" i="4" s="1"/>
  <c r="C18" i="4"/>
  <c r="E17" i="4"/>
  <c r="G17" i="4"/>
  <c r="E16" i="4"/>
  <c r="G16" i="4"/>
  <c r="E15" i="4"/>
  <c r="G15" i="4" s="1"/>
  <c r="E14" i="4"/>
  <c r="G14" i="4"/>
  <c r="E13" i="4"/>
  <c r="G13" i="4"/>
  <c r="E12" i="4"/>
  <c r="G12" i="4"/>
  <c r="E11" i="4"/>
  <c r="G11" i="4" s="1"/>
  <c r="E10" i="4"/>
  <c r="G10" i="4"/>
  <c r="E9" i="4"/>
  <c r="G9" i="4"/>
  <c r="E8" i="4"/>
  <c r="G8" i="4"/>
  <c r="E6" i="4"/>
  <c r="G6" i="4" s="1"/>
  <c r="E5" i="4"/>
  <c r="G5" i="4"/>
  <c r="E4" i="4"/>
  <c r="G4" i="4"/>
  <c r="H23" i="2"/>
  <c r="G24" i="2"/>
  <c r="E18" i="2"/>
  <c r="D21" i="2"/>
  <c r="C17" i="2"/>
  <c r="L13" i="2"/>
  <c r="L12" i="2"/>
  <c r="L11" i="2"/>
  <c r="L10" i="2"/>
  <c r="L9" i="2"/>
  <c r="L8" i="2"/>
  <c r="D19" i="1"/>
  <c r="F13" i="1"/>
  <c r="F14" i="1"/>
  <c r="F15" i="1"/>
  <c r="F16" i="1"/>
  <c r="F17" i="1"/>
  <c r="F18" i="1"/>
  <c r="F12" i="1"/>
  <c r="I21" i="2" l="1"/>
  <c r="G18" i="4"/>
  <c r="D20" i="2"/>
  <c r="I18" i="2"/>
  <c r="I24" i="2"/>
  <c r="I17" i="2"/>
  <c r="E17" i="2"/>
  <c r="I23" i="2"/>
  <c r="I19" i="2"/>
  <c r="I22" i="2"/>
  <c r="F19" i="1"/>
  <c r="B6" i="1" s="1"/>
  <c r="B7" i="1" s="1"/>
  <c r="I20" i="2"/>
  <c r="E22" i="2"/>
  <c r="G17" i="2"/>
  <c r="C18" i="2"/>
  <c r="G19" i="2"/>
  <c r="G18" i="2"/>
  <c r="G22" i="2"/>
  <c r="C22" i="2"/>
  <c r="G23" i="2"/>
  <c r="G21" i="2"/>
  <c r="G20" i="2"/>
  <c r="H19" i="2"/>
  <c r="C19" i="2"/>
  <c r="H17" i="2"/>
  <c r="E20" i="2"/>
  <c r="E19" i="2"/>
  <c r="H21" i="2"/>
  <c r="E23" i="2"/>
  <c r="H22" i="2"/>
  <c r="H20" i="2"/>
  <c r="C21" i="2"/>
  <c r="D18" i="2"/>
  <c r="C23" i="2"/>
  <c r="C20" i="2"/>
  <c r="D17" i="2"/>
  <c r="H18" i="2"/>
  <c r="D19" i="2"/>
  <c r="E24" i="2"/>
  <c r="D23" i="2"/>
  <c r="C24" i="2"/>
  <c r="H24" i="2"/>
  <c r="E21" i="2"/>
  <c r="D22" i="2"/>
  <c r="D24" i="2"/>
</calcChain>
</file>

<file path=xl/sharedStrings.xml><?xml version="1.0" encoding="utf-8"?>
<sst xmlns="http://schemas.openxmlformats.org/spreadsheetml/2006/main" count="166" uniqueCount="134">
  <si>
    <t>gold</t>
  </si>
  <si>
    <t>axt</t>
  </si>
  <si>
    <t>schwert</t>
  </si>
  <si>
    <t>zweihänder</t>
  </si>
  <si>
    <t>armbrust</t>
  </si>
  <si>
    <t>bogen</t>
  </si>
  <si>
    <t>leichte rüstung</t>
  </si>
  <si>
    <t>helm</t>
  </si>
  <si>
    <t>schild</t>
  </si>
  <si>
    <t>dolch (+1)</t>
  </si>
  <si>
    <t>speer</t>
  </si>
  <si>
    <t>troll</t>
  </si>
  <si>
    <t>kosten</t>
  </si>
  <si>
    <t>anzahl</t>
  </si>
  <si>
    <t>summe</t>
  </si>
  <si>
    <t>zu verteilen</t>
  </si>
  <si>
    <t>Kai</t>
  </si>
  <si>
    <t>Warband</t>
  </si>
  <si>
    <t>verteilt</t>
  </si>
  <si>
    <t>zweihänder, leichte rüstung</t>
  </si>
  <si>
    <t>2 dolche/schwerter</t>
  </si>
  <si>
    <t>2 dolche/äxte/schwerter</t>
  </si>
  <si>
    <t>Mögliche einheiten</t>
  </si>
  <si>
    <t>Ausrüstung</t>
  </si>
  <si>
    <t>je 1 dolch/schwert</t>
  </si>
  <si>
    <t>je 1 speer 3 schild</t>
  </si>
  <si>
    <t>gold/einheit</t>
  </si>
  <si>
    <t>gold/stück</t>
  </si>
  <si>
    <t>M</t>
  </si>
  <si>
    <t>WS</t>
  </si>
  <si>
    <t>BS</t>
  </si>
  <si>
    <t>S</t>
  </si>
  <si>
    <t>T</t>
  </si>
  <si>
    <t>W</t>
  </si>
  <si>
    <t>I</t>
  </si>
  <si>
    <t>A</t>
  </si>
  <si>
    <t>Ld</t>
  </si>
  <si>
    <t>WS/g</t>
  </si>
  <si>
    <t>BS/g</t>
  </si>
  <si>
    <t>S/g</t>
  </si>
  <si>
    <t>T/g</t>
  </si>
  <si>
    <t>W/g</t>
  </si>
  <si>
    <t>I/g</t>
  </si>
  <si>
    <t>A/g</t>
  </si>
  <si>
    <t>Ld/g</t>
  </si>
  <si>
    <t>Gold</t>
  </si>
  <si>
    <t>Characteristik Analyse</t>
  </si>
  <si>
    <t>gewichtung</t>
  </si>
  <si>
    <t>Gesamt</t>
  </si>
  <si>
    <t>€/Figur</t>
  </si>
  <si>
    <t>heroes</t>
  </si>
  <si>
    <t>henchmen</t>
  </si>
  <si>
    <t>-</t>
  </si>
  <si>
    <t>Bogen</t>
  </si>
  <si>
    <t>gemischt</t>
  </si>
  <si>
    <t>Äxte (1h/2h/schilde)</t>
  </si>
  <si>
    <t>Schwert/Banner</t>
  </si>
  <si>
    <t>Kosten Warband</t>
  </si>
  <si>
    <t>Genutzte figuren</t>
  </si>
  <si>
    <t>Schwert/Axt</t>
  </si>
  <si>
    <t>Keule/Schwert/Schuld</t>
  </si>
  <si>
    <t>€/Packung</t>
  </si>
  <si>
    <t>2h Äxte</t>
  </si>
  <si>
    <t>Orc Greatax Regiment (Kings of War)</t>
  </si>
  <si>
    <t>Typ</t>
  </si>
  <si>
    <t>cc</t>
  </si>
  <si>
    <t>armor</t>
  </si>
  <si>
    <t>mw</t>
  </si>
  <si>
    <t>30"</t>
  </si>
  <si>
    <t>Range</t>
  </si>
  <si>
    <t>SP</t>
  </si>
  <si>
    <t>24"</t>
  </si>
  <si>
    <t>Warband Rating</t>
  </si>
  <si>
    <t>Exp</t>
  </si>
  <si>
    <t>2 Orc War Drum (Kings of War)</t>
  </si>
  <si>
    <t>3 Ogre Berserker Braves (Kings of War)</t>
  </si>
  <si>
    <t>Orc Flagger (Kings of War)</t>
  </si>
  <si>
    <t>10 Orc Morax Troop (Kings of War)</t>
  </si>
  <si>
    <t>10 Orc Skulks (Kings of War)</t>
  </si>
  <si>
    <t>20 Bonesplitterz Savage Orruks (GW)</t>
  </si>
  <si>
    <t>Orc Shaman (Avatars of War)</t>
  </si>
  <si>
    <t>Orcs Troll Bruiser (Kings Of War)</t>
  </si>
  <si>
    <t>3 Goblin Speerträger (Gamezone)</t>
  </si>
  <si>
    <t>3  Fiese Schlitzer (GW)</t>
  </si>
  <si>
    <t>Nartz (Freebooters Fate)</t>
  </si>
  <si>
    <t>Goblin Hero (Gamezone)</t>
  </si>
  <si>
    <t>10 Orruks (GW)</t>
  </si>
  <si>
    <t>Gemischt</t>
  </si>
  <si>
    <t>€ genutzt/Packung</t>
  </si>
  <si>
    <t>ausrüstung gesamt</t>
  </si>
  <si>
    <t>Prozentuale Nutzung</t>
  </si>
  <si>
    <t>wunsch</t>
  </si>
  <si>
    <t>zusatzkosten</t>
  </si>
  <si>
    <t>v1.3</t>
  </si>
  <si>
    <t>Gruppe</t>
  </si>
  <si>
    <t>young'uns</t>
  </si>
  <si>
    <t>shootaz</t>
  </si>
  <si>
    <t>orc boss (1)</t>
  </si>
  <si>
    <t>Black Orcs</t>
  </si>
  <si>
    <t>choppa (morgenstern)</t>
  </si>
  <si>
    <t>buckler</t>
  </si>
  <si>
    <t>schwere rüstung</t>
  </si>
  <si>
    <t>*</t>
  </si>
  <si>
    <t>black orks</t>
  </si>
  <si>
    <t>boyz</t>
  </si>
  <si>
    <t>young'uns upgrade</t>
  </si>
  <si>
    <t>hero</t>
  </si>
  <si>
    <t>black orcs (0-2)</t>
  </si>
  <si>
    <t>young'uns (0-2)</t>
  </si>
  <si>
    <t>troll (0-1)</t>
  </si>
  <si>
    <t>savage orcs (0-4)</t>
  </si>
  <si>
    <t>shootaz (&lt;=boyz)</t>
  </si>
  <si>
    <t>boss</t>
  </si>
  <si>
    <t>savage</t>
  </si>
  <si>
    <t>+1 enemy armour save</t>
  </si>
  <si>
    <t>cutting edge</t>
  </si>
  <si>
    <t>parry</t>
  </si>
  <si>
    <t>Heavy, Difficult to Use, S+1 (1st turn per h-t-h cc)</t>
  </si>
  <si>
    <t>Strike First, Unwiedly, Cavalery Bonus</t>
  </si>
  <si>
    <t>Two-Handed, Last strike</t>
  </si>
  <si>
    <t>Move or Fire</t>
  </si>
  <si>
    <t>save 6 D6</t>
  </si>
  <si>
    <t>save 5+ D6</t>
  </si>
  <si>
    <t>general 6+save</t>
  </si>
  <si>
    <t>Anzahl</t>
  </si>
  <si>
    <t>save45+ D6</t>
  </si>
  <si>
    <t>Magic rating</t>
  </si>
  <si>
    <t>Rout test by</t>
  </si>
  <si>
    <t>Equip rating</t>
  </si>
  <si>
    <t>Bewertung</t>
  </si>
  <si>
    <t>Warband equip rating</t>
  </si>
  <si>
    <t>er off</t>
  </si>
  <si>
    <t>er deff</t>
  </si>
  <si>
    <t>er 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</si>
</sst>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0.000"/>
  </numFmts>
  <fonts count="11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b/>
      <i/>
      <sz val="12"/>
      <color theme="1"/>
      <name val="Arial"/>
      <family val="2"/>
    </font>
    <font>
      <b/>
      <i/>
      <sz val="10"/>
      <color theme="1"/>
      <name val="Arial"/>
      <family val="2"/>
    </font>
    <font>
      <sz val="14"/>
      <color theme="1"/>
      <name val="Arial"/>
      <family val="2"/>
    </font>
    <font>
      <sz val="10"/>
      <color theme="9" tint="-0.249977111117893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0" borderId="0" xfId="0"/>
    <xf numFmtId="0" fontId="0" fillId="2" borderId="0" xfId="0" applyFill="1" applyAlignment="1">
      <alignment wrapText="1"/>
    </xf>
    <xf numFmtId="8" fontId="0" fillId="0" borderId="0" xfId="0" applyNumberFormat="1"/>
    <xf numFmtId="8" fontId="1" fillId="0" borderId="0" xfId="0" applyNumberFormat="1" applyFont="1"/>
    <xf numFmtId="0" fontId="5" fillId="0" borderId="0" xfId="0" applyFont="1"/>
    <xf numFmtId="0" fontId="0" fillId="0" borderId="0" xfId="0" applyFont="1"/>
    <xf numFmtId="0" fontId="5" fillId="0" borderId="2" xfId="0" applyFont="1" applyBorder="1"/>
    <xf numFmtId="0" fontId="0" fillId="0" borderId="4" xfId="0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quotePrefix="1"/>
    <xf numFmtId="0" fontId="3" fillId="0" borderId="2" xfId="0" applyFont="1" applyBorder="1"/>
    <xf numFmtId="0" fontId="6" fillId="0" borderId="0" xfId="0" applyFont="1"/>
    <xf numFmtId="14" fontId="6" fillId="0" borderId="0" xfId="0" applyNumberFormat="1" applyFont="1"/>
    <xf numFmtId="14" fontId="0" fillId="0" borderId="0" xfId="0" applyNumberFormat="1" applyFont="1"/>
    <xf numFmtId="0" fontId="1" fillId="0" borderId="2" xfId="0" applyFont="1" applyBorder="1"/>
    <xf numFmtId="0" fontId="1" fillId="0" borderId="6" xfId="0" applyFont="1" applyBorder="1"/>
    <xf numFmtId="0" fontId="0" fillId="0" borderId="5" xfId="0" applyBorder="1"/>
    <xf numFmtId="0" fontId="7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0" fontId="0" fillId="0" borderId="1" xfId="0" applyFont="1" applyBorder="1"/>
    <xf numFmtId="10" fontId="0" fillId="0" borderId="0" xfId="0" applyNumberFormat="1"/>
    <xf numFmtId="0" fontId="8" fillId="0" borderId="0" xfId="0" applyFont="1" applyFill="1"/>
    <xf numFmtId="0" fontId="2" fillId="0" borderId="0" xfId="0" applyFont="1" applyAlignment="1">
      <alignment horizontal="left"/>
    </xf>
    <xf numFmtId="0" fontId="0" fillId="0" borderId="0" xfId="0" applyBorder="1"/>
    <xf numFmtId="0" fontId="9" fillId="0" borderId="0" xfId="0" applyFont="1"/>
    <xf numFmtId="0" fontId="0" fillId="0" borderId="0" xfId="0"/>
    <xf numFmtId="0" fontId="2" fillId="0" borderId="0" xfId="0" applyFont="1"/>
    <xf numFmtId="0" fontId="0" fillId="0" borderId="1" xfId="0" applyBorder="1"/>
    <xf numFmtId="0" fontId="5" fillId="0" borderId="0" xfId="0" applyFont="1"/>
    <xf numFmtId="0" fontId="0" fillId="0" borderId="0" xfId="0" applyFont="1"/>
    <xf numFmtId="0" fontId="5" fillId="0" borderId="1" xfId="0" applyFont="1" applyBorder="1"/>
    <xf numFmtId="0" fontId="0" fillId="0" borderId="0" xfId="0" applyNumberFormat="1"/>
    <xf numFmtId="0" fontId="10" fillId="0" borderId="2" xfId="0" applyFont="1" applyBorder="1"/>
    <xf numFmtId="164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21">
    <dxf>
      <numFmt numFmtId="14" formatCode="0.00%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fill>
        <patternFill patternType="solid">
          <fgColor indexed="64"/>
          <bgColor rgb="FFFFC000"/>
        </patternFill>
      </fill>
      <alignment horizontal="general" vertical="bottom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border outline="0">
        <bottom style="double">
          <color indexed="64"/>
        </bottom>
      </border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b/>
        <i val="0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2" displayName="Tabelle2" ref="B22:T36" totalsRowShown="0" headerRowDxfId="16" headerRowBorderDxfId="15" tableBorderDxfId="14">
  <autoFilter ref="B22:T36" xr:uid="{00000000-0009-0000-0100-000002000000}"/>
  <tableColumns count="19">
    <tableColumn id="1" xr3:uid="{00000000-0010-0000-0000-000001000000}" name="ausrüstung gesamt"/>
    <tableColumn id="2" xr3:uid="{00000000-0010-0000-0000-000002000000}" name="Typ"/>
    <tableColumn id="3" xr3:uid="{00000000-0010-0000-0000-000003000000}" name="Range"/>
    <tableColumn id="4" xr3:uid="{00000000-0010-0000-0000-000004000000}" name="S" dataDxfId="13"/>
    <tableColumn id="5" xr3:uid="{00000000-0010-0000-0000-000005000000}" name="SP"/>
    <tableColumn id="6" xr3:uid="{00000000-0010-0000-0000-000006000000}" name="gold/stück"/>
    <tableColumn id="7" xr3:uid="{00000000-0010-0000-0000-000007000000}" name="boss" dataDxfId="12">
      <calculatedColumnFormula>#REF!+#REF!+#REF!+#REF!+#REF!+#REF!+#REF!</calculatedColumnFormula>
    </tableColumn>
    <tableColumn id="17" xr3:uid="{00000000-0010-0000-0000-000011000000}" name="black orks"/>
    <tableColumn id="16" xr3:uid="{00000000-0010-0000-0000-000010000000}" name="young'uns"/>
    <tableColumn id="15" xr3:uid="{00000000-0010-0000-0000-00000F000000}" name="boyz"/>
    <tableColumn id="14" xr3:uid="{00000000-0010-0000-0000-00000E000000}" name="shootaz"/>
    <tableColumn id="13" xr3:uid="{00000000-0010-0000-0000-00000D000000}" name="savage"/>
    <tableColumn id="12" xr3:uid="{00000000-0010-0000-0000-00000C000000}" name="troll"/>
    <tableColumn id="8" xr3:uid="{00000000-0010-0000-0000-000008000000}" name="kosten" dataDxfId="11">
      <calculatedColumnFormula>SUM(Tabelle2[[#This Row],[boss]:[troll]])*Tabelle2[[#This Row],[gold/stück]]</calculatedColumnFormula>
    </tableColumn>
    <tableColumn id="9" xr3:uid="{00000000-0010-0000-0000-000009000000}" name="wunsch" dataDxfId="10">
      <calculatedColumnFormula>#REF!+#REF!+#REF!+#REF!+#REF!+#REF!+#REF!</calculatedColumnFormula>
    </tableColumn>
    <tableColumn id="10" xr3:uid="{00000000-0010-0000-0000-00000A000000}" name="zusatzkosten" dataDxfId="9">
      <calculatedColumnFormula>#REF!+#REF!+#REF!+#REF!+#REF!+#REF!+#REF!</calculatedColumnFormula>
    </tableColumn>
    <tableColumn id="11" xr3:uid="{00000000-0010-0000-0000-00000B000000}" name="Gruppe" dataDxfId="8"/>
    <tableColumn id="18" xr3:uid="{00000000-0010-0000-0000-000012000000}" name="Bewertung" dataDxfId="7"/>
    <tableColumn id="19" xr3:uid="{00000000-0010-0000-0000-000013000000}" name="Warband equip rating" dataDxfId="6">
      <calculatedColumnFormula>Tabelle2[[#This Row],[Bewertung]]*SUM(Tabelle2[[#This Row],[boss]:[troll]])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elle4" displayName="Tabelle4" ref="B3:H17" totalsRowShown="0" headerRowDxfId="5">
  <autoFilter ref="B3:H17" xr:uid="{00000000-0009-0000-0100-000004000000}"/>
  <tableColumns count="7">
    <tableColumn id="1" xr3:uid="{00000000-0010-0000-0100-000001000000}" name="Mögliche einheiten" dataDxfId="4"/>
    <tableColumn id="2" xr3:uid="{00000000-0010-0000-0100-000002000000}" name="€/Packung" dataDxfId="3"/>
    <tableColumn id="3" xr3:uid="{00000000-0010-0000-0100-000003000000}" name="Ausrüstung"/>
    <tableColumn id="4" xr3:uid="{00000000-0010-0000-0100-000004000000}" name="€/Figur" dataDxfId="2"/>
    <tableColumn id="5" xr3:uid="{00000000-0010-0000-0100-000005000000}" name="Genutzte figuren"/>
    <tableColumn id="6" xr3:uid="{00000000-0010-0000-0100-000006000000}" name="€ genutzt/Packung" dataDxfId="1">
      <calculatedColumnFormula>F4*E4</calculatedColumnFormula>
    </tableColumn>
    <tableColumn id="7" xr3:uid="{00000000-0010-0000-0100-000007000000}" name="Prozentuale Nutzung" dataDxfId="0">
      <calculatedColumnFormula>Tabelle4[[#This Row],[€ genutzt/Packung]]/Tabelle4[[#This Row],[€/Packung]]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114"/>
  <sheetViews>
    <sheetView tabSelected="1" zoomScale="85" zoomScaleNormal="85" workbookViewId="0">
      <selection activeCell="H5" sqref="H5"/>
    </sheetView>
  </sheetViews>
  <sheetFormatPr baseColWidth="10" defaultColWidth="10.7109375" defaultRowHeight="12.75" x14ac:dyDescent="0.2"/>
  <cols>
    <col min="1" max="1" width="12.140625" bestFit="1" customWidth="1"/>
    <col min="2" max="2" width="25.7109375" bestFit="1" customWidth="1"/>
    <col min="3" max="3" width="16" bestFit="1" customWidth="1"/>
    <col min="4" max="4" width="13.5703125" style="6" bestFit="1" customWidth="1"/>
    <col min="5" max="5" width="10.140625" bestFit="1" customWidth="1"/>
    <col min="6" max="6" width="42.5703125" bestFit="1" customWidth="1"/>
    <col min="7" max="7" width="16.85546875" bestFit="1" customWidth="1"/>
    <col min="8" max="8" width="12.140625" bestFit="1" customWidth="1"/>
    <col min="9" max="9" width="17.85546875" style="6" bestFit="1" customWidth="1"/>
    <col min="10" max="10" width="17.42578125" style="6" bestFit="1" customWidth="1"/>
    <col min="11" max="11" width="11.7109375" style="6" bestFit="1" customWidth="1"/>
    <col min="12" max="12" width="15.42578125" style="6" bestFit="1" customWidth="1"/>
    <col min="13" max="13" width="14.42578125" style="6" bestFit="1" customWidth="1"/>
    <col min="14" max="14" width="11.42578125" style="6" bestFit="1" customWidth="1"/>
    <col min="15" max="15" width="14.28515625" bestFit="1" customWidth="1"/>
    <col min="16" max="16" width="14.5703125" style="6" bestFit="1" customWidth="1"/>
    <col min="17" max="17" width="20.7109375" style="6" bestFit="1" customWidth="1"/>
    <col min="18" max="18" width="14.42578125" style="6" bestFit="1" customWidth="1"/>
    <col min="19" max="19" width="14.28515625" style="6" bestFit="1" customWidth="1"/>
    <col min="20" max="20" width="25.28515625" bestFit="1" customWidth="1"/>
    <col min="21" max="22" width="7.42578125" bestFit="1" customWidth="1"/>
    <col min="23" max="24" width="12.42578125" bestFit="1" customWidth="1"/>
    <col min="25" max="25" width="18.28515625" bestFit="1" customWidth="1"/>
    <col min="26" max="26" width="5.7109375" style="6" bestFit="1" customWidth="1"/>
    <col min="27" max="27" width="6.85546875" style="6" bestFit="1" customWidth="1"/>
    <col min="28" max="28" width="6.7109375" style="6" bestFit="1" customWidth="1"/>
    <col min="29" max="29" width="55.85546875" style="6" bestFit="1" customWidth="1"/>
    <col min="30" max="30" width="10.7109375" bestFit="1" customWidth="1"/>
    <col min="31" max="32" width="7.42578125" bestFit="1" customWidth="1"/>
    <col min="33" max="33" width="13" bestFit="1" customWidth="1"/>
    <col min="34" max="34" width="23.85546875" bestFit="1" customWidth="1"/>
  </cols>
  <sheetData>
    <row r="2" spans="1:10" ht="18" x14ac:dyDescent="0.25">
      <c r="A2" s="11" t="s">
        <v>16</v>
      </c>
      <c r="B2" s="20" t="s">
        <v>98</v>
      </c>
      <c r="C2" s="20"/>
      <c r="D2" s="20"/>
      <c r="E2" s="22">
        <v>43339</v>
      </c>
    </row>
    <row r="3" spans="1:10" s="6" customFormat="1" ht="18" x14ac:dyDescent="0.25">
      <c r="A3" s="11" t="s">
        <v>93</v>
      </c>
      <c r="B3" s="11"/>
      <c r="C3" s="10"/>
      <c r="D3" s="10"/>
      <c r="E3" s="21"/>
      <c r="G3" s="38" t="s">
        <v>126</v>
      </c>
      <c r="H3" s="38">
        <v>0</v>
      </c>
      <c r="I3" s="38"/>
      <c r="J3" s="38"/>
    </row>
    <row r="4" spans="1:10" x14ac:dyDescent="0.2">
      <c r="G4" s="42" t="s">
        <v>72</v>
      </c>
      <c r="H4" s="41">
        <f>5*D19+D12*E12+D13*E13+D14*E14+D15*E15+D16*E16+D17*E17+D18*E18+D18*20+10+5+5</f>
        <v>121</v>
      </c>
      <c r="I4" s="38"/>
      <c r="J4" s="38"/>
    </row>
    <row r="5" spans="1:10" ht="15" x14ac:dyDescent="0.2">
      <c r="A5" s="4" t="s">
        <v>0</v>
      </c>
      <c r="B5" s="4">
        <v>500</v>
      </c>
      <c r="G5" s="38" t="s">
        <v>127</v>
      </c>
      <c r="H5" s="41">
        <f>D19/4</f>
        <v>3.25</v>
      </c>
      <c r="I5" s="38"/>
      <c r="J5" s="38"/>
    </row>
    <row r="6" spans="1:10" ht="15.75" thickBot="1" x14ac:dyDescent="0.25">
      <c r="A6" s="4" t="s">
        <v>18</v>
      </c>
      <c r="B6" s="4">
        <f>F19+Member!O37</f>
        <v>500</v>
      </c>
      <c r="G6" s="40" t="s">
        <v>128</v>
      </c>
      <c r="H6" s="43">
        <f>T37</f>
        <v>67</v>
      </c>
      <c r="I6" s="38">
        <f>T38</f>
        <v>60</v>
      </c>
      <c r="J6" s="38">
        <f>T39</f>
        <v>7</v>
      </c>
    </row>
    <row r="7" spans="1:10" ht="16.5" thickTop="1" x14ac:dyDescent="0.25">
      <c r="A7" s="26" t="s">
        <v>15</v>
      </c>
      <c r="B7" s="34">
        <f>B5-B6</f>
        <v>0</v>
      </c>
      <c r="G7" s="38"/>
      <c r="H7" s="39">
        <f>(H4+H3+H6)*H5</f>
        <v>611</v>
      </c>
      <c r="I7" s="38"/>
      <c r="J7" s="38"/>
    </row>
    <row r="9" spans="1:10" s="6" customFormat="1" x14ac:dyDescent="0.2"/>
    <row r="10" spans="1:10" s="6" customFormat="1" x14ac:dyDescent="0.2"/>
    <row r="11" spans="1:10" x14ac:dyDescent="0.2">
      <c r="B11" s="12" t="s">
        <v>17</v>
      </c>
      <c r="C11" s="12" t="s">
        <v>26</v>
      </c>
      <c r="D11" s="12" t="s">
        <v>13</v>
      </c>
      <c r="E11" s="12" t="s">
        <v>73</v>
      </c>
      <c r="F11" s="12" t="s">
        <v>14</v>
      </c>
    </row>
    <row r="12" spans="1:10" x14ac:dyDescent="0.2">
      <c r="A12" s="47" t="s">
        <v>50</v>
      </c>
      <c r="B12" t="s">
        <v>97</v>
      </c>
      <c r="C12">
        <v>80</v>
      </c>
      <c r="D12" s="11">
        <v>1</v>
      </c>
      <c r="E12" s="27">
        <v>20</v>
      </c>
      <c r="F12">
        <f t="shared" ref="F12:F18" si="0">D12*C12</f>
        <v>80</v>
      </c>
    </row>
    <row r="13" spans="1:10" x14ac:dyDescent="0.2">
      <c r="A13" s="47"/>
      <c r="B13" t="s">
        <v>107</v>
      </c>
      <c r="C13">
        <v>40</v>
      </c>
      <c r="D13" s="11">
        <v>2</v>
      </c>
      <c r="E13" s="27">
        <v>8</v>
      </c>
      <c r="F13">
        <f t="shared" si="0"/>
        <v>80</v>
      </c>
    </row>
    <row r="14" spans="1:10" x14ac:dyDescent="0.2">
      <c r="A14" s="47"/>
      <c r="B14" t="s">
        <v>108</v>
      </c>
      <c r="C14">
        <v>25</v>
      </c>
      <c r="D14" s="11">
        <v>2</v>
      </c>
      <c r="E14" s="27">
        <v>0</v>
      </c>
      <c r="F14">
        <f t="shared" si="0"/>
        <v>50</v>
      </c>
    </row>
    <row r="15" spans="1:10" x14ac:dyDescent="0.2">
      <c r="A15" s="47" t="s">
        <v>51</v>
      </c>
      <c r="B15" t="s">
        <v>104</v>
      </c>
      <c r="C15">
        <v>25</v>
      </c>
      <c r="D15" s="11">
        <v>4</v>
      </c>
      <c r="E15" s="27">
        <v>0</v>
      </c>
      <c r="F15">
        <f t="shared" si="0"/>
        <v>100</v>
      </c>
    </row>
    <row r="16" spans="1:10" x14ac:dyDescent="0.2">
      <c r="A16" s="47"/>
      <c r="B16" t="s">
        <v>111</v>
      </c>
      <c r="C16">
        <v>25</v>
      </c>
      <c r="D16" s="11">
        <v>4</v>
      </c>
      <c r="E16" s="27">
        <v>0</v>
      </c>
      <c r="F16">
        <f t="shared" si="0"/>
        <v>100</v>
      </c>
    </row>
    <row r="17" spans="1:20" x14ac:dyDescent="0.2">
      <c r="A17" s="47"/>
      <c r="B17" t="s">
        <v>110</v>
      </c>
      <c r="C17">
        <v>40</v>
      </c>
      <c r="D17" s="11">
        <v>0</v>
      </c>
      <c r="E17" s="27">
        <v>0</v>
      </c>
      <c r="F17">
        <f t="shared" si="0"/>
        <v>0</v>
      </c>
    </row>
    <row r="18" spans="1:20" ht="13.5" thickBot="1" x14ac:dyDescent="0.25">
      <c r="A18" s="47"/>
      <c r="B18" s="5" t="s">
        <v>109</v>
      </c>
      <c r="C18" s="5">
        <v>200</v>
      </c>
      <c r="D18" s="32">
        <v>0</v>
      </c>
      <c r="E18" s="28">
        <v>0</v>
      </c>
      <c r="F18" s="5">
        <f t="shared" si="0"/>
        <v>0</v>
      </c>
    </row>
    <row r="19" spans="1:20" ht="16.5" thickTop="1" x14ac:dyDescent="0.25">
      <c r="B19" s="16" t="s">
        <v>48</v>
      </c>
      <c r="D19" s="2">
        <f>SUM(D12:D18)</f>
        <v>13</v>
      </c>
      <c r="E19" s="6"/>
      <c r="F19" s="2">
        <f>SUM(F12:F18)</f>
        <v>410</v>
      </c>
    </row>
    <row r="20" spans="1:20" s="6" customFormat="1" x14ac:dyDescent="0.2">
      <c r="A20" s="17"/>
      <c r="E20" s="1"/>
      <c r="H20" s="48" t="s">
        <v>124</v>
      </c>
      <c r="I20" s="48"/>
      <c r="J20" s="48"/>
      <c r="K20" s="48"/>
      <c r="L20" s="48"/>
      <c r="M20" s="48"/>
      <c r="N20" s="48"/>
    </row>
    <row r="21" spans="1:20" ht="15.75" x14ac:dyDescent="0.25">
      <c r="A21" s="2"/>
      <c r="B21" s="2"/>
      <c r="H21" s="48" t="s">
        <v>50</v>
      </c>
      <c r="I21" s="48"/>
      <c r="J21" s="48"/>
      <c r="K21" s="48" t="s">
        <v>51</v>
      </c>
      <c r="L21" s="48"/>
      <c r="M21" s="48"/>
      <c r="N21" s="48"/>
    </row>
    <row r="22" spans="1:20" s="6" customFormat="1" x14ac:dyDescent="0.2">
      <c r="A22"/>
      <c r="B22" s="12" t="s">
        <v>89</v>
      </c>
      <c r="C22" s="19" t="s">
        <v>64</v>
      </c>
      <c r="D22" s="19" t="s">
        <v>69</v>
      </c>
      <c r="E22" s="19" t="s">
        <v>31</v>
      </c>
      <c r="F22" s="19" t="s">
        <v>70</v>
      </c>
      <c r="G22" s="12" t="s">
        <v>27</v>
      </c>
      <c r="H22" s="12" t="s">
        <v>112</v>
      </c>
      <c r="I22" s="12" t="s">
        <v>103</v>
      </c>
      <c r="J22" s="12" t="s">
        <v>95</v>
      </c>
      <c r="K22" s="12" t="s">
        <v>104</v>
      </c>
      <c r="L22" s="12" t="s">
        <v>96</v>
      </c>
      <c r="M22" s="12" t="s">
        <v>113</v>
      </c>
      <c r="N22" s="12" t="s">
        <v>11</v>
      </c>
      <c r="O22" s="12" t="s">
        <v>12</v>
      </c>
      <c r="P22" s="12" t="s">
        <v>91</v>
      </c>
      <c r="Q22" s="12" t="s">
        <v>92</v>
      </c>
      <c r="R22" s="12" t="s">
        <v>94</v>
      </c>
      <c r="S22" s="45" t="s">
        <v>129</v>
      </c>
      <c r="T22" s="45" t="s">
        <v>130</v>
      </c>
    </row>
    <row r="23" spans="1:20" s="6" customFormat="1" x14ac:dyDescent="0.2">
      <c r="A23"/>
      <c r="B23" t="s">
        <v>9</v>
      </c>
      <c r="C23" s="6" t="s">
        <v>65</v>
      </c>
      <c r="E23" s="29"/>
      <c r="F23" s="18" t="s">
        <v>114</v>
      </c>
      <c r="G23">
        <v>2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>
        <f>SUM(Tabelle2[[#This Row],[boss]:[troll]])*Tabelle2[[#This Row],[gold/stück]]</f>
        <v>0</v>
      </c>
      <c r="P23" s="6">
        <v>0</v>
      </c>
      <c r="Q23" s="6">
        <f>Tabelle2[[#This Row],[wunsch]]*Tabelle2[[#This Row],[gold/stück]]</f>
        <v>0</v>
      </c>
      <c r="R23" s="30" t="s">
        <v>102</v>
      </c>
      <c r="S23" s="44">
        <v>1</v>
      </c>
      <c r="T23" s="44">
        <f>Tabelle2[[#This Row],[Bewertung]]*SUM(Tabelle2[[#This Row],[boss]:[troll]])</f>
        <v>0</v>
      </c>
    </row>
    <row r="24" spans="1:20" s="6" customFormat="1" x14ac:dyDescent="0.2">
      <c r="A24"/>
      <c r="B24" t="s">
        <v>1</v>
      </c>
      <c r="C24" s="6" t="s">
        <v>65</v>
      </c>
      <c r="E24" s="29"/>
      <c r="F24" s="6" t="s">
        <v>115</v>
      </c>
      <c r="G24">
        <v>5</v>
      </c>
      <c r="H24" s="6">
        <v>1</v>
      </c>
      <c r="I24" s="6">
        <v>2</v>
      </c>
      <c r="J24" s="6">
        <v>2</v>
      </c>
      <c r="K24" s="6">
        <v>4</v>
      </c>
      <c r="L24" s="6">
        <v>0</v>
      </c>
      <c r="M24" s="6">
        <v>0</v>
      </c>
      <c r="N24" s="6">
        <v>0</v>
      </c>
      <c r="O24" s="6">
        <f>SUM(Tabelle2[[#This Row],[boss]:[troll]])*Tabelle2[[#This Row],[gold/stück]]</f>
        <v>45</v>
      </c>
      <c r="P24" s="6">
        <v>0</v>
      </c>
      <c r="Q24" s="6">
        <f>Tabelle2[[#This Row],[wunsch]]*Tabelle2[[#This Row],[gold/stück]]</f>
        <v>0</v>
      </c>
      <c r="R24" s="30" t="s">
        <v>102</v>
      </c>
      <c r="S24" s="44">
        <v>4</v>
      </c>
      <c r="T24" s="44">
        <f>Tabelle2[[#This Row],[Bewertung]]*SUM(Tabelle2[[#This Row],[boss]:[troll]])</f>
        <v>36</v>
      </c>
    </row>
    <row r="25" spans="1:20" s="6" customFormat="1" x14ac:dyDescent="0.2">
      <c r="A25"/>
      <c r="B25" t="s">
        <v>2</v>
      </c>
      <c r="C25" s="6" t="s">
        <v>65</v>
      </c>
      <c r="E25" s="29"/>
      <c r="F25" s="6" t="s">
        <v>116</v>
      </c>
      <c r="G25">
        <v>10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f>SUM(Tabelle2[[#This Row],[boss]:[troll]])*Tabelle2[[#This Row],[gold/stück]]</f>
        <v>0</v>
      </c>
      <c r="P25" s="6">
        <v>0</v>
      </c>
      <c r="Q25" s="6">
        <f>Tabelle2[[#This Row],[wunsch]]*Tabelle2[[#This Row],[gold/stück]]</f>
        <v>0</v>
      </c>
      <c r="R25" s="30" t="s">
        <v>102</v>
      </c>
      <c r="S25" s="44">
        <v>5</v>
      </c>
      <c r="T25" s="44">
        <f>Tabelle2[[#This Row],[Bewertung]]*SUM(Tabelle2[[#This Row],[boss]:[troll]])</f>
        <v>0</v>
      </c>
    </row>
    <row r="26" spans="1:20" s="6" customFormat="1" x14ac:dyDescent="0.2">
      <c r="A26"/>
      <c r="B26" t="s">
        <v>99</v>
      </c>
      <c r="C26" s="6" t="s">
        <v>65</v>
      </c>
      <c r="E26" s="29"/>
      <c r="F26" s="6" t="s">
        <v>117</v>
      </c>
      <c r="G26">
        <v>11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f>SUM(Tabelle2[[#This Row],[boss]:[troll]])*Tabelle2[[#This Row],[gold/stück]]</f>
        <v>0</v>
      </c>
      <c r="P26" s="6">
        <v>0</v>
      </c>
      <c r="Q26" s="6">
        <f>Tabelle2[[#This Row],[wunsch]]*Tabelle2[[#This Row],[gold/stück]]</f>
        <v>0</v>
      </c>
      <c r="R26" s="30" t="s">
        <v>102</v>
      </c>
      <c r="S26" s="44">
        <v>9</v>
      </c>
      <c r="T26" s="44">
        <f>Tabelle2[[#This Row],[Bewertung]]*SUM(Tabelle2[[#This Row],[boss]:[troll]])</f>
        <v>0</v>
      </c>
    </row>
    <row r="27" spans="1:20" s="6" customFormat="1" x14ac:dyDescent="0.2">
      <c r="A27"/>
      <c r="B27" t="s">
        <v>10</v>
      </c>
      <c r="C27" s="6" t="s">
        <v>65</v>
      </c>
      <c r="E27" s="29"/>
      <c r="F27" s="6" t="s">
        <v>118</v>
      </c>
      <c r="G27">
        <v>5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f>SUM(Tabelle2[[#This Row],[boss]:[troll]])*Tabelle2[[#This Row],[gold/stück]]</f>
        <v>0</v>
      </c>
      <c r="P27" s="6">
        <v>0</v>
      </c>
      <c r="Q27" s="6">
        <f>Tabelle2[[#This Row],[wunsch]]*Tabelle2[[#This Row],[gold/stück]]</f>
        <v>0</v>
      </c>
      <c r="R27" s="30" t="s">
        <v>102</v>
      </c>
      <c r="S27" s="44">
        <v>5</v>
      </c>
      <c r="T27" s="44">
        <f>Tabelle2[[#This Row],[Bewertung]]*SUM(Tabelle2[[#This Row],[boss]:[troll]])</f>
        <v>0</v>
      </c>
    </row>
    <row r="28" spans="1:20" s="6" customFormat="1" x14ac:dyDescent="0.2">
      <c r="A28"/>
      <c r="B28" t="s">
        <v>3</v>
      </c>
      <c r="C28" s="6" t="s">
        <v>65</v>
      </c>
      <c r="E28" s="29"/>
      <c r="F28" s="6" t="s">
        <v>119</v>
      </c>
      <c r="G28">
        <v>15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f>SUM(Tabelle2[[#This Row],[boss]:[troll]])*Tabelle2[[#This Row],[gold/stück]]</f>
        <v>0</v>
      </c>
      <c r="P28" s="6">
        <v>0</v>
      </c>
      <c r="Q28" s="6">
        <f>Tabelle2[[#This Row],[wunsch]]*Tabelle2[[#This Row],[gold/stück]]</f>
        <v>0</v>
      </c>
      <c r="R28" s="30" t="s">
        <v>102</v>
      </c>
      <c r="S28" s="44">
        <v>8</v>
      </c>
      <c r="T28" s="44">
        <f>Tabelle2[[#This Row],[Bewertung]]*SUM(Tabelle2[[#This Row],[boss]:[troll]])</f>
        <v>0</v>
      </c>
    </row>
    <row r="29" spans="1:20" s="6" customFormat="1" x14ac:dyDescent="0.2">
      <c r="A29"/>
      <c r="B29" t="s">
        <v>5</v>
      </c>
      <c r="C29" s="6" t="s">
        <v>67</v>
      </c>
      <c r="D29" s="6" t="s">
        <v>71</v>
      </c>
      <c r="E29" s="29"/>
      <c r="G29">
        <v>10</v>
      </c>
      <c r="H29" s="6">
        <v>0</v>
      </c>
      <c r="I29" s="6">
        <v>0</v>
      </c>
      <c r="J29" s="6">
        <v>0</v>
      </c>
      <c r="K29" s="6">
        <v>0</v>
      </c>
      <c r="L29" s="6">
        <v>4</v>
      </c>
      <c r="M29" s="6">
        <v>0</v>
      </c>
      <c r="N29" s="6">
        <v>0</v>
      </c>
      <c r="O29" s="6">
        <f>SUM(Tabelle2[[#This Row],[boss]:[troll]])*Tabelle2[[#This Row],[gold/stück]]</f>
        <v>40</v>
      </c>
      <c r="P29" s="6">
        <v>0</v>
      </c>
      <c r="Q29" s="6">
        <f>Tabelle2[[#This Row],[wunsch]]*Tabelle2[[#This Row],[gold/stück]]</f>
        <v>0</v>
      </c>
      <c r="R29" s="30" t="s">
        <v>102</v>
      </c>
      <c r="S29" s="44">
        <v>6</v>
      </c>
      <c r="T29" s="44">
        <f>Tabelle2[[#This Row],[Bewertung]]*SUM(Tabelle2[[#This Row],[boss]:[troll]])</f>
        <v>24</v>
      </c>
    </row>
    <row r="30" spans="1:20" s="6" customFormat="1" x14ac:dyDescent="0.2">
      <c r="A30"/>
      <c r="B30" t="s">
        <v>4</v>
      </c>
      <c r="C30" s="6" t="s">
        <v>67</v>
      </c>
      <c r="D30" s="6" t="s">
        <v>68</v>
      </c>
      <c r="E30" s="29"/>
      <c r="F30" s="6" t="s">
        <v>120</v>
      </c>
      <c r="G30">
        <v>25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f>SUM(Tabelle2[[#This Row],[boss]:[troll]])*Tabelle2[[#This Row],[gold/stück]]</f>
        <v>0</v>
      </c>
      <c r="P30" s="6">
        <v>0</v>
      </c>
      <c r="Q30" s="6">
        <f>Tabelle2[[#This Row],[wunsch]]*Tabelle2[[#This Row],[gold/stück]]</f>
        <v>0</v>
      </c>
      <c r="R30" s="30" t="s">
        <v>102</v>
      </c>
      <c r="S30" s="44">
        <v>6</v>
      </c>
      <c r="T30" s="44">
        <f>Tabelle2[[#This Row],[Bewertung]]*SUM(Tabelle2[[#This Row],[boss]:[troll]])</f>
        <v>0</v>
      </c>
    </row>
    <row r="31" spans="1:20" s="6" customFormat="1" x14ac:dyDescent="0.2">
      <c r="A31"/>
      <c r="B31" t="s">
        <v>100</v>
      </c>
      <c r="C31" s="6" t="s">
        <v>66</v>
      </c>
      <c r="E31" s="29"/>
      <c r="G31">
        <v>5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f>SUM(Tabelle2[[#This Row],[boss]:[troll]])*Tabelle2[[#This Row],[gold/stück]]</f>
        <v>0</v>
      </c>
      <c r="P31" s="6">
        <v>0</v>
      </c>
      <c r="Q31" s="6">
        <f>Tabelle2[[#This Row],[wunsch]]*Tabelle2[[#This Row],[gold/stück]]</f>
        <v>0</v>
      </c>
      <c r="R31" s="30" t="s">
        <v>106</v>
      </c>
      <c r="S31" s="44">
        <v>6</v>
      </c>
      <c r="T31" s="44">
        <f>Tabelle2[[#This Row],[Bewertung]]*SUM(Tabelle2[[#This Row],[boss]:[troll]])</f>
        <v>0</v>
      </c>
    </row>
    <row r="32" spans="1:20" s="6" customFormat="1" x14ac:dyDescent="0.2">
      <c r="B32" t="s">
        <v>8</v>
      </c>
      <c r="C32" s="6" t="s">
        <v>66</v>
      </c>
      <c r="E32" s="29"/>
      <c r="F32" s="36" t="s">
        <v>121</v>
      </c>
      <c r="G32">
        <v>5</v>
      </c>
      <c r="H32" s="6">
        <v>1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f>SUM(Tabelle2[[#This Row],[boss]:[troll]])*Tabelle2[[#This Row],[gold/stück]]</f>
        <v>5</v>
      </c>
      <c r="P32" s="6">
        <v>0</v>
      </c>
      <c r="Q32" s="6">
        <f>Tabelle2[[#This Row],[wunsch]]*Tabelle2[[#This Row],[gold/stück]]</f>
        <v>0</v>
      </c>
      <c r="R32" s="30" t="s">
        <v>102</v>
      </c>
      <c r="S32" s="44">
        <v>7</v>
      </c>
      <c r="T32" s="44">
        <f>Tabelle2[[#This Row],[Bewertung]]*SUM(Tabelle2[[#This Row],[boss]:[troll]])</f>
        <v>7</v>
      </c>
    </row>
    <row r="33" spans="1:20" s="6" customFormat="1" x14ac:dyDescent="0.2">
      <c r="B33" t="s">
        <v>7</v>
      </c>
      <c r="C33" s="6" t="s">
        <v>66</v>
      </c>
      <c r="E33" s="29"/>
      <c r="G33">
        <v>10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f>SUM(Tabelle2[[#This Row],[boss]:[troll]])*Tabelle2[[#This Row],[gold/stück]]</f>
        <v>0</v>
      </c>
      <c r="P33" s="6">
        <v>0</v>
      </c>
      <c r="Q33" s="6">
        <f>Tabelle2[[#This Row],[wunsch]]*Tabelle2[[#This Row],[gold/stück]]</f>
        <v>0</v>
      </c>
      <c r="R33" s="30" t="s">
        <v>102</v>
      </c>
      <c r="S33" s="44">
        <v>7</v>
      </c>
      <c r="T33" s="44">
        <f>Tabelle2[[#This Row],[Bewertung]]*SUM(Tabelle2[[#This Row],[boss]:[troll]])</f>
        <v>0</v>
      </c>
    </row>
    <row r="34" spans="1:20" s="6" customFormat="1" x14ac:dyDescent="0.2">
      <c r="B34" t="s">
        <v>6</v>
      </c>
      <c r="C34" s="6" t="s">
        <v>66</v>
      </c>
      <c r="E34" s="29"/>
      <c r="F34" s="6" t="s">
        <v>122</v>
      </c>
      <c r="G34">
        <v>20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f>SUM(Tabelle2[[#This Row],[boss]:[troll]])*Tabelle2[[#This Row],[gold/stück]]</f>
        <v>0</v>
      </c>
      <c r="P34" s="6">
        <v>0</v>
      </c>
      <c r="Q34" s="6">
        <f>Tabelle2[[#This Row],[wunsch]]*Tabelle2[[#This Row],[gold/stück]]</f>
        <v>0</v>
      </c>
      <c r="R34" s="30" t="s">
        <v>102</v>
      </c>
      <c r="S34" s="44">
        <v>8</v>
      </c>
      <c r="T34" s="44">
        <f>Tabelle2[[#This Row],[Bewertung]]*SUM(Tabelle2[[#This Row],[boss]:[troll]])</f>
        <v>0</v>
      </c>
    </row>
    <row r="35" spans="1:20" s="6" customFormat="1" x14ac:dyDescent="0.2">
      <c r="B35" t="s">
        <v>101</v>
      </c>
      <c r="C35" s="6" t="s">
        <v>66</v>
      </c>
      <c r="D35" s="18"/>
      <c r="E35" s="29"/>
      <c r="F35" s="6" t="s">
        <v>125</v>
      </c>
      <c r="G35">
        <v>50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f>SUM(Tabelle2[[#This Row],[boss]:[troll]])*Tabelle2[[#This Row],[gold/stück]]</f>
        <v>0</v>
      </c>
      <c r="P35" s="6">
        <v>0</v>
      </c>
      <c r="Q35" s="6">
        <f>Tabelle2[[#This Row],[wunsch]]*Tabelle2[[#This Row],[gold/stück]]</f>
        <v>0</v>
      </c>
      <c r="R35" s="30" t="s">
        <v>106</v>
      </c>
      <c r="S35" s="44">
        <v>9</v>
      </c>
      <c r="T35" s="44">
        <f>Tabelle2[[#This Row],[Bewertung]]*SUM(Tabelle2[[#This Row],[boss]:[troll]])</f>
        <v>0</v>
      </c>
    </row>
    <row r="36" spans="1:20" s="6" customFormat="1" x14ac:dyDescent="0.2">
      <c r="B36" s="6" t="s">
        <v>105</v>
      </c>
      <c r="C36" s="6" t="s">
        <v>66</v>
      </c>
      <c r="E36" s="29"/>
      <c r="F36" s="6" t="s">
        <v>123</v>
      </c>
      <c r="G36" s="6">
        <v>10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f>SUM(Tabelle2[[#This Row],[boss]:[troll]])*Tabelle2[[#This Row],[gold/stück]]</f>
        <v>0</v>
      </c>
      <c r="P36" s="6">
        <v>0</v>
      </c>
      <c r="Q36" s="6">
        <f>Tabelle2[[#This Row],[wunsch]]*Tabelle2[[#This Row],[gold/stück]]</f>
        <v>0</v>
      </c>
      <c r="R36" s="30" t="s">
        <v>95</v>
      </c>
      <c r="S36" s="44">
        <v>9</v>
      </c>
      <c r="T36" s="44">
        <f>Tabelle2[[#This Row],[Bewertung]]*SUM(Tabelle2[[#This Row],[boss]:[troll]])</f>
        <v>0</v>
      </c>
    </row>
    <row r="37" spans="1:20" s="6" customFormat="1" ht="15.75" x14ac:dyDescent="0.25">
      <c r="A37"/>
      <c r="B37"/>
      <c r="G37"/>
      <c r="H37" s="3">
        <f>H23*$G23+H24*$G24+H25*$G25+H26*$G26+H27*$G27+H28*$G28+H29*$G29+H30*$G30+H31*$G31+H32*$G32+H33*$G33+H34*$G34+H35*$G35+H36*$G36</f>
        <v>10</v>
      </c>
      <c r="I37" s="3">
        <f t="shared" ref="I37:N37" si="1">I23*$G23+I24*$G24+I25*$G25+I26*$G26+I27*$G27+I28*$G28+I29*$G29+I30*$G30+I31*$G31+I32*$G32+I33*$G33+I34*$G34+I35*$G35+I36*$G36</f>
        <v>10</v>
      </c>
      <c r="J37" s="3">
        <f t="shared" si="1"/>
        <v>10</v>
      </c>
      <c r="K37" s="3">
        <f t="shared" si="1"/>
        <v>20</v>
      </c>
      <c r="L37" s="3">
        <f t="shared" si="1"/>
        <v>40</v>
      </c>
      <c r="M37" s="3">
        <f t="shared" si="1"/>
        <v>0</v>
      </c>
      <c r="N37" s="3">
        <f t="shared" si="1"/>
        <v>0</v>
      </c>
      <c r="O37" s="2">
        <f>SUM(O23:O36)</f>
        <v>90</v>
      </c>
      <c r="Q37" s="37">
        <f>SUM(Tabelle2[zusatzkosten])</f>
        <v>0</v>
      </c>
      <c r="S37" s="6" t="s">
        <v>133</v>
      </c>
      <c r="T37" s="6">
        <f>SUM(Tabelle2[Warband equip rating])</f>
        <v>67</v>
      </c>
    </row>
    <row r="38" spans="1:20" s="6" customFormat="1" x14ac:dyDescent="0.2">
      <c r="F38"/>
      <c r="S38" s="6" t="s">
        <v>131</v>
      </c>
      <c r="T38" s="6">
        <f>SUM(T23:T30)</f>
        <v>60</v>
      </c>
    </row>
    <row r="39" spans="1:20" s="6" customFormat="1" x14ac:dyDescent="0.2">
      <c r="S39" s="6" t="s">
        <v>132</v>
      </c>
      <c r="T39" s="6">
        <f>SUM(T31:T36)</f>
        <v>7</v>
      </c>
    </row>
    <row r="40" spans="1:20" s="6" customFormat="1" x14ac:dyDescent="0.2"/>
    <row r="41" spans="1:20" s="6" customFormat="1" x14ac:dyDescent="0.2"/>
    <row r="42" spans="1:20" s="6" customFormat="1" x14ac:dyDescent="0.2"/>
    <row r="43" spans="1:20" s="6" customFormat="1" x14ac:dyDescent="0.2"/>
    <row r="44" spans="1:20" s="6" customFormat="1" x14ac:dyDescent="0.2"/>
    <row r="45" spans="1:20" s="6" customFormat="1" x14ac:dyDescent="0.2"/>
    <row r="46" spans="1:20" s="6" customFormat="1" x14ac:dyDescent="0.2"/>
    <row r="47" spans="1:20" s="6" customFormat="1" x14ac:dyDescent="0.2"/>
    <row r="48" spans="1:20" s="6" customFormat="1" x14ac:dyDescent="0.2"/>
    <row r="49" spans="16:21" s="6" customFormat="1" x14ac:dyDescent="0.2">
      <c r="U49" s="1"/>
    </row>
    <row r="50" spans="16:21" s="6" customFormat="1" x14ac:dyDescent="0.2">
      <c r="U50" s="1"/>
    </row>
    <row r="51" spans="16:21" x14ac:dyDescent="0.2">
      <c r="P51" s="1"/>
      <c r="Q51" s="1"/>
      <c r="R51" s="1"/>
    </row>
    <row r="52" spans="16:21" s="6" customFormat="1" x14ac:dyDescent="0.2"/>
    <row r="53" spans="16:21" s="6" customFormat="1" x14ac:dyDescent="0.2"/>
    <row r="54" spans="16:21" s="6" customFormat="1" x14ac:dyDescent="0.2"/>
    <row r="55" spans="16:21" s="6" customFormat="1" x14ac:dyDescent="0.2"/>
    <row r="56" spans="16:21" s="6" customFormat="1" x14ac:dyDescent="0.2"/>
    <row r="57" spans="16:21" s="6" customFormat="1" x14ac:dyDescent="0.2"/>
    <row r="58" spans="16:21" s="6" customFormat="1" x14ac:dyDescent="0.2"/>
    <row r="59" spans="16:21" s="6" customFormat="1" x14ac:dyDescent="0.2"/>
    <row r="60" spans="16:21" s="6" customFormat="1" x14ac:dyDescent="0.2"/>
    <row r="61" spans="16:21" s="6" customFormat="1" x14ac:dyDescent="0.2"/>
    <row r="62" spans="16:21" s="6" customFormat="1" x14ac:dyDescent="0.2"/>
    <row r="63" spans="16:21" s="6" customFormat="1" x14ac:dyDescent="0.2"/>
    <row r="64" spans="16:21" s="6" customFormat="1" x14ac:dyDescent="0.2"/>
    <row r="65" s="6" customFormat="1" x14ac:dyDescent="0.2"/>
    <row r="66" s="6" customFormat="1" x14ac:dyDescent="0.2"/>
    <row r="67" s="6" customFormat="1" x14ac:dyDescent="0.2"/>
    <row r="68" s="6" customFormat="1" x14ac:dyDescent="0.2"/>
    <row r="69" s="6" customFormat="1" x14ac:dyDescent="0.2"/>
    <row r="70" s="6" customFormat="1" x14ac:dyDescent="0.2"/>
    <row r="71" s="6" customFormat="1" x14ac:dyDescent="0.2"/>
    <row r="72" s="6" customFormat="1" x14ac:dyDescent="0.2"/>
    <row r="73" s="6" customFormat="1" x14ac:dyDescent="0.2"/>
    <row r="74" s="6" customFormat="1" x14ac:dyDescent="0.2"/>
    <row r="75" s="6" customFormat="1" x14ac:dyDescent="0.2"/>
    <row r="76" s="6" customFormat="1" x14ac:dyDescent="0.2"/>
    <row r="77" s="6" customFormat="1" x14ac:dyDescent="0.2"/>
    <row r="78" s="6" customFormat="1" x14ac:dyDescent="0.2"/>
    <row r="79" s="6" customFormat="1" x14ac:dyDescent="0.2"/>
    <row r="80" s="6" customFormat="1" x14ac:dyDescent="0.2"/>
    <row r="81" s="6" customFormat="1" x14ac:dyDescent="0.2"/>
    <row r="82" s="6" customFormat="1" x14ac:dyDescent="0.2"/>
    <row r="83" s="6" customFormat="1" x14ac:dyDescent="0.2"/>
    <row r="84" s="6" customFormat="1" x14ac:dyDescent="0.2"/>
    <row r="85" s="6" customFormat="1" x14ac:dyDescent="0.2"/>
    <row r="86" s="6" customFormat="1" x14ac:dyDescent="0.2"/>
    <row r="87" s="6" customFormat="1" x14ac:dyDescent="0.2"/>
    <row r="88" s="6" customFormat="1" x14ac:dyDescent="0.2"/>
    <row r="89" s="6" customFormat="1" x14ac:dyDescent="0.2"/>
    <row r="90" s="6" customFormat="1" x14ac:dyDescent="0.2"/>
    <row r="91" s="6" customFormat="1" x14ac:dyDescent="0.2"/>
    <row r="92" s="6" customFormat="1" x14ac:dyDescent="0.2"/>
    <row r="93" s="6" customFormat="1" x14ac:dyDescent="0.2"/>
    <row r="94" s="6" customFormat="1" x14ac:dyDescent="0.2"/>
    <row r="95" s="6" customFormat="1" x14ac:dyDescent="0.2"/>
    <row r="96" s="6" customFormat="1" x14ac:dyDescent="0.2"/>
    <row r="97" s="6" customFormat="1" x14ac:dyDescent="0.2"/>
    <row r="107" s="6" customFormat="1" x14ac:dyDescent="0.2"/>
    <row r="108" s="6" customFormat="1" x14ac:dyDescent="0.2"/>
    <row r="109" s="6" customFormat="1" x14ac:dyDescent="0.2"/>
    <row r="110" s="6" customFormat="1" x14ac:dyDescent="0.2"/>
    <row r="111" s="6" customFormat="1" x14ac:dyDescent="0.2"/>
    <row r="112" s="6" customFormat="1" x14ac:dyDescent="0.2"/>
    <row r="113" s="6" customFormat="1" x14ac:dyDescent="0.2"/>
    <row r="114" ht="12" customHeight="1" x14ac:dyDescent="0.2"/>
  </sheetData>
  <mergeCells count="5">
    <mergeCell ref="A12:A14"/>
    <mergeCell ref="A15:A18"/>
    <mergeCell ref="K21:N21"/>
    <mergeCell ref="H21:J21"/>
    <mergeCell ref="H20:N20"/>
  </mergeCells>
  <conditionalFormatting sqref="B6">
    <cfRule type="cellIs" dxfId="20" priority="47" operator="greaterThan">
      <formula>$B$5</formula>
    </cfRule>
  </conditionalFormatting>
  <conditionalFormatting sqref="F12:F18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:C18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3:G31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3:O36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2:G36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2:O36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3:O36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2:D18">
    <cfRule type="cellIs" dxfId="19" priority="6" operator="greaterThan">
      <formula>0</formula>
    </cfRule>
  </conditionalFormatting>
  <conditionalFormatting sqref="H23:N36">
    <cfRule type="cellIs" dxfId="18" priority="2" operator="greaterThan">
      <formula>0</formula>
    </cfRule>
  </conditionalFormatting>
  <conditionalFormatting sqref="H23:N36">
    <cfRule type="cellIs" dxfId="17" priority="1" operator="greaterThan">
      <formula>0</formula>
    </cfRule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28"/>
  <sheetViews>
    <sheetView workbookViewId="0">
      <selection activeCell="L28" sqref="L28"/>
    </sheetView>
  </sheetViews>
  <sheetFormatPr baseColWidth="10" defaultColWidth="10.7109375" defaultRowHeight="12.75" x14ac:dyDescent="0.2"/>
  <cols>
    <col min="2" max="2" width="5.85546875" bestFit="1" customWidth="1"/>
    <col min="3" max="3" width="11.7109375" bestFit="1" customWidth="1"/>
    <col min="4" max="5" width="15" bestFit="1" customWidth="1"/>
    <col min="6" max="6" width="6.5703125" bestFit="1" customWidth="1"/>
    <col min="7" max="7" width="16.85546875" bestFit="1" customWidth="1"/>
    <col min="8" max="8" width="16.140625" bestFit="1" customWidth="1"/>
    <col min="9" max="9" width="9.42578125" bestFit="1" customWidth="1"/>
    <col min="10" max="10" width="6.5703125" bestFit="1" customWidth="1"/>
    <col min="11" max="11" width="7.140625" bestFit="1" customWidth="1"/>
    <col min="12" max="12" width="10.5703125" bestFit="1" customWidth="1"/>
  </cols>
  <sheetData>
    <row r="2" spans="2:12" ht="15.75" x14ac:dyDescent="0.25">
      <c r="B2" s="50" t="s">
        <v>46</v>
      </c>
      <c r="C2" s="50"/>
      <c r="D2" s="50"/>
    </row>
    <row r="3" spans="2:12" s="6" customFormat="1" ht="15.75" x14ac:dyDescent="0.25">
      <c r="B3" s="35"/>
      <c r="C3" s="35"/>
      <c r="D3" s="35"/>
    </row>
    <row r="4" spans="2:12" s="6" customFormat="1" ht="15.75" x14ac:dyDescent="0.25">
      <c r="B4" s="35"/>
      <c r="C4" s="35"/>
      <c r="D4" s="35"/>
    </row>
    <row r="5" spans="2:12" ht="15.75" x14ac:dyDescent="0.25">
      <c r="C5" s="49" t="s">
        <v>50</v>
      </c>
      <c r="D5" s="49"/>
      <c r="E5" s="49"/>
      <c r="F5" s="49"/>
      <c r="G5" s="49" t="s">
        <v>51</v>
      </c>
      <c r="H5" s="49"/>
      <c r="I5" s="49"/>
    </row>
    <row r="6" spans="2:12" x14ac:dyDescent="0.2">
      <c r="B6" s="13"/>
      <c r="C6" s="12" t="str">
        <f>Member!B12</f>
        <v>orc boss (1)</v>
      </c>
      <c r="D6" s="12" t="str">
        <f>Member!B13</f>
        <v>black orcs (0-2)</v>
      </c>
      <c r="E6" s="12" t="str">
        <f>Member!B14</f>
        <v>young'uns (0-2)</v>
      </c>
      <c r="F6" s="12" t="str">
        <f>Member!B15</f>
        <v>boyz</v>
      </c>
      <c r="G6" s="12" t="str">
        <f>Member!B16</f>
        <v>shootaz (&lt;=boyz)</v>
      </c>
      <c r="H6" s="12" t="str">
        <f>Member!B17</f>
        <v>savage orcs (0-4)</v>
      </c>
      <c r="I6" s="12" t="str">
        <f>Member!B18</f>
        <v>troll (0-1)</v>
      </c>
      <c r="K6" s="48" t="s">
        <v>47</v>
      </c>
      <c r="L6" s="48"/>
    </row>
    <row r="7" spans="2:12" x14ac:dyDescent="0.2">
      <c r="B7" s="14" t="s">
        <v>28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6</v>
      </c>
      <c r="K7" s="23" t="s">
        <v>50</v>
      </c>
      <c r="L7" s="24" t="s">
        <v>51</v>
      </c>
    </row>
    <row r="8" spans="2:12" x14ac:dyDescent="0.2">
      <c r="B8" s="14" t="s">
        <v>29</v>
      </c>
      <c r="C8">
        <v>4</v>
      </c>
      <c r="D8">
        <v>4</v>
      </c>
      <c r="E8">
        <v>2</v>
      </c>
      <c r="F8">
        <v>3</v>
      </c>
      <c r="G8">
        <v>3</v>
      </c>
      <c r="H8">
        <v>3</v>
      </c>
      <c r="I8">
        <v>3</v>
      </c>
      <c r="K8" s="6">
        <v>10</v>
      </c>
      <c r="L8" s="25">
        <f t="shared" ref="L8:L13" si="0">K8-3</f>
        <v>7</v>
      </c>
    </row>
    <row r="9" spans="2:12" x14ac:dyDescent="0.2">
      <c r="B9" s="14" t="s">
        <v>30</v>
      </c>
      <c r="C9">
        <v>4</v>
      </c>
      <c r="D9">
        <v>3</v>
      </c>
      <c r="E9">
        <v>2</v>
      </c>
      <c r="F9">
        <v>3</v>
      </c>
      <c r="G9">
        <v>3</v>
      </c>
      <c r="H9">
        <v>2</v>
      </c>
      <c r="I9">
        <v>1</v>
      </c>
      <c r="K9" s="6">
        <v>10</v>
      </c>
      <c r="L9" s="25">
        <f t="shared" si="0"/>
        <v>7</v>
      </c>
    </row>
    <row r="10" spans="2:12" x14ac:dyDescent="0.2">
      <c r="B10" s="14" t="s">
        <v>31</v>
      </c>
      <c r="C10">
        <v>4</v>
      </c>
      <c r="D10">
        <v>4</v>
      </c>
      <c r="E10">
        <v>3</v>
      </c>
      <c r="F10">
        <v>3</v>
      </c>
      <c r="G10">
        <v>3</v>
      </c>
      <c r="H10">
        <v>3</v>
      </c>
      <c r="I10">
        <v>5</v>
      </c>
      <c r="K10" s="6">
        <v>8</v>
      </c>
      <c r="L10" s="25">
        <f t="shared" si="0"/>
        <v>5</v>
      </c>
    </row>
    <row r="11" spans="2:12" x14ac:dyDescent="0.2">
      <c r="B11" s="14" t="s">
        <v>32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K11" s="6">
        <v>8</v>
      </c>
      <c r="L11" s="25">
        <f t="shared" si="0"/>
        <v>5</v>
      </c>
    </row>
    <row r="12" spans="2:12" x14ac:dyDescent="0.2">
      <c r="B12" s="14" t="s">
        <v>33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3</v>
      </c>
      <c r="K12" s="6">
        <v>3</v>
      </c>
      <c r="L12" s="25">
        <f t="shared" si="0"/>
        <v>0</v>
      </c>
    </row>
    <row r="13" spans="2:12" x14ac:dyDescent="0.2">
      <c r="B13" s="14" t="s">
        <v>34</v>
      </c>
      <c r="C13">
        <v>3</v>
      </c>
      <c r="D13">
        <v>3</v>
      </c>
      <c r="E13">
        <v>2</v>
      </c>
      <c r="F13">
        <v>2</v>
      </c>
      <c r="G13">
        <v>2</v>
      </c>
      <c r="H13">
        <v>2</v>
      </c>
      <c r="I13">
        <v>1</v>
      </c>
      <c r="K13" s="6">
        <v>4</v>
      </c>
      <c r="L13" s="25">
        <f t="shared" si="0"/>
        <v>1</v>
      </c>
    </row>
    <row r="14" spans="2:12" x14ac:dyDescent="0.2">
      <c r="B14" s="14" t="s">
        <v>35</v>
      </c>
      <c r="C14">
        <v>1</v>
      </c>
      <c r="D14">
        <v>1</v>
      </c>
      <c r="E14">
        <v>1</v>
      </c>
      <c r="F14">
        <v>1</v>
      </c>
      <c r="G14">
        <v>1</v>
      </c>
      <c r="H14">
        <v>2</v>
      </c>
      <c r="I14">
        <v>3</v>
      </c>
      <c r="K14" s="6">
        <v>1</v>
      </c>
      <c r="L14" s="25">
        <v>0.5</v>
      </c>
    </row>
    <row r="15" spans="2:12" x14ac:dyDescent="0.2">
      <c r="B15" s="14" t="s">
        <v>36</v>
      </c>
      <c r="C15">
        <v>8</v>
      </c>
      <c r="D15">
        <v>7</v>
      </c>
      <c r="E15">
        <v>7</v>
      </c>
      <c r="F15">
        <v>7</v>
      </c>
      <c r="G15">
        <v>7</v>
      </c>
      <c r="H15">
        <v>5</v>
      </c>
      <c r="I15">
        <v>4</v>
      </c>
      <c r="K15" s="6">
        <v>1</v>
      </c>
      <c r="L15" s="25">
        <v>0.5</v>
      </c>
    </row>
    <row r="16" spans="2:12" x14ac:dyDescent="0.2">
      <c r="B16" s="6"/>
      <c r="C16" s="6"/>
      <c r="D16" s="6"/>
      <c r="E16" s="6"/>
      <c r="F16" s="6"/>
      <c r="G16" s="6"/>
      <c r="H16" s="6"/>
      <c r="I16" s="6"/>
    </row>
    <row r="17" spans="2:10" x14ac:dyDescent="0.2">
      <c r="B17" s="15" t="s">
        <v>37</v>
      </c>
      <c r="C17" s="31">
        <f t="shared" ref="C17:E24" si="1">$K8*C8/C$26</f>
        <v>0.5</v>
      </c>
      <c r="D17" s="31">
        <f t="shared" si="1"/>
        <v>1</v>
      </c>
      <c r="E17" s="31">
        <f t="shared" si="1"/>
        <v>0.8</v>
      </c>
      <c r="F17" s="31">
        <f>$L8*F8/F$26</f>
        <v>0.84</v>
      </c>
      <c r="G17" s="31">
        <f>$L8*G8/G$26</f>
        <v>0.84</v>
      </c>
      <c r="H17" s="31">
        <f>$L8*H8/H$26</f>
        <v>0.52500000000000002</v>
      </c>
      <c r="I17" s="31">
        <f>$L8*I8/I$26</f>
        <v>0.105</v>
      </c>
    </row>
    <row r="18" spans="2:10" x14ac:dyDescent="0.2">
      <c r="B18" s="15" t="s">
        <v>38</v>
      </c>
      <c r="C18" s="31">
        <f t="shared" si="1"/>
        <v>0.5</v>
      </c>
      <c r="D18" s="31">
        <f t="shared" si="1"/>
        <v>0.75</v>
      </c>
      <c r="E18" s="31">
        <f t="shared" si="1"/>
        <v>0.8</v>
      </c>
      <c r="F18" s="31">
        <f t="shared" ref="F18:F24" si="2">$L9*F9/F$26</f>
        <v>0.84</v>
      </c>
      <c r="G18" s="31">
        <f t="shared" ref="G18:I24" si="3">$L9*G9/G$26</f>
        <v>0.84</v>
      </c>
      <c r="H18" s="31">
        <f t="shared" si="3"/>
        <v>0.35</v>
      </c>
      <c r="I18" s="31">
        <f t="shared" si="3"/>
        <v>3.5000000000000003E-2</v>
      </c>
    </row>
    <row r="19" spans="2:10" x14ac:dyDescent="0.2">
      <c r="B19" s="15" t="s">
        <v>39</v>
      </c>
      <c r="C19" s="31">
        <f t="shared" si="1"/>
        <v>0.4</v>
      </c>
      <c r="D19" s="31">
        <f t="shared" si="1"/>
        <v>0.8</v>
      </c>
      <c r="E19" s="31">
        <f t="shared" si="1"/>
        <v>0.96</v>
      </c>
      <c r="F19" s="31">
        <f t="shared" si="2"/>
        <v>0.6</v>
      </c>
      <c r="G19" s="31">
        <f t="shared" si="3"/>
        <v>0.6</v>
      </c>
      <c r="H19" s="31">
        <f t="shared" si="3"/>
        <v>0.375</v>
      </c>
      <c r="I19" s="31">
        <f t="shared" si="3"/>
        <v>0.125</v>
      </c>
    </row>
    <row r="20" spans="2:10" x14ac:dyDescent="0.2">
      <c r="B20" s="15" t="s">
        <v>40</v>
      </c>
      <c r="C20" s="31">
        <f t="shared" si="1"/>
        <v>0.4</v>
      </c>
      <c r="D20" s="31">
        <f t="shared" si="1"/>
        <v>0.8</v>
      </c>
      <c r="E20" s="31">
        <f t="shared" si="1"/>
        <v>1.28</v>
      </c>
      <c r="F20" s="31">
        <f t="shared" si="2"/>
        <v>0.8</v>
      </c>
      <c r="G20" s="31">
        <f t="shared" si="3"/>
        <v>0.8</v>
      </c>
      <c r="H20" s="31">
        <f t="shared" si="3"/>
        <v>0.5</v>
      </c>
      <c r="I20" s="31">
        <f t="shared" si="3"/>
        <v>0.1</v>
      </c>
    </row>
    <row r="21" spans="2:10" x14ac:dyDescent="0.2">
      <c r="B21" s="15" t="s">
        <v>41</v>
      </c>
      <c r="C21" s="31">
        <f t="shared" si="1"/>
        <v>3.7499999999999999E-2</v>
      </c>
      <c r="D21" s="31">
        <f t="shared" si="1"/>
        <v>7.4999999999999997E-2</v>
      </c>
      <c r="E21" s="31">
        <f t="shared" si="1"/>
        <v>0.12</v>
      </c>
      <c r="F21" s="31">
        <f t="shared" si="2"/>
        <v>0</v>
      </c>
      <c r="G21" s="31">
        <f t="shared" si="3"/>
        <v>0</v>
      </c>
      <c r="H21" s="31">
        <f t="shared" si="3"/>
        <v>0</v>
      </c>
      <c r="I21" s="31">
        <f t="shared" si="3"/>
        <v>0</v>
      </c>
    </row>
    <row r="22" spans="2:10" x14ac:dyDescent="0.2">
      <c r="B22" s="15" t="s">
        <v>42</v>
      </c>
      <c r="C22" s="31">
        <f t="shared" si="1"/>
        <v>0.15</v>
      </c>
      <c r="D22" s="31">
        <f t="shared" si="1"/>
        <v>0.3</v>
      </c>
      <c r="E22" s="31">
        <f t="shared" si="1"/>
        <v>0.32</v>
      </c>
      <c r="F22" s="31">
        <f t="shared" si="2"/>
        <v>0.08</v>
      </c>
      <c r="G22" s="31">
        <f t="shared" si="3"/>
        <v>0.08</v>
      </c>
      <c r="H22" s="31">
        <f t="shared" si="3"/>
        <v>0.05</v>
      </c>
      <c r="I22" s="31">
        <f t="shared" si="3"/>
        <v>5.0000000000000001E-3</v>
      </c>
    </row>
    <row r="23" spans="2:10" x14ac:dyDescent="0.2">
      <c r="B23" s="15" t="s">
        <v>43</v>
      </c>
      <c r="C23" s="31">
        <f t="shared" si="1"/>
        <v>1.2500000000000001E-2</v>
      </c>
      <c r="D23" s="31">
        <f t="shared" si="1"/>
        <v>2.5000000000000001E-2</v>
      </c>
      <c r="E23" s="31">
        <f t="shared" si="1"/>
        <v>0.04</v>
      </c>
      <c r="F23" s="31">
        <f t="shared" si="2"/>
        <v>0.02</v>
      </c>
      <c r="G23" s="31">
        <f t="shared" si="3"/>
        <v>0.02</v>
      </c>
      <c r="H23" s="31">
        <f t="shared" si="3"/>
        <v>2.5000000000000001E-2</v>
      </c>
      <c r="I23" s="31">
        <f t="shared" si="3"/>
        <v>7.4999999999999997E-3</v>
      </c>
    </row>
    <row r="24" spans="2:10" x14ac:dyDescent="0.2">
      <c r="B24" s="15" t="s">
        <v>44</v>
      </c>
      <c r="C24" s="31">
        <f t="shared" si="1"/>
        <v>0.1</v>
      </c>
      <c r="D24" s="31">
        <f t="shared" si="1"/>
        <v>0.17499999999999999</v>
      </c>
      <c r="E24" s="31">
        <f t="shared" si="1"/>
        <v>0.28000000000000003</v>
      </c>
      <c r="F24" s="31">
        <f t="shared" si="2"/>
        <v>0.14000000000000001</v>
      </c>
      <c r="G24" s="31">
        <f t="shared" si="3"/>
        <v>0.14000000000000001</v>
      </c>
      <c r="H24" s="31">
        <f t="shared" si="3"/>
        <v>6.25E-2</v>
      </c>
      <c r="I24" s="31">
        <f t="shared" si="3"/>
        <v>0.01</v>
      </c>
    </row>
    <row r="25" spans="2:10" x14ac:dyDescent="0.2">
      <c r="B25" s="6"/>
      <c r="C25" s="6"/>
      <c r="D25" s="6"/>
      <c r="E25" s="1"/>
      <c r="F25" s="6"/>
      <c r="G25" s="6"/>
      <c r="H25" s="6"/>
      <c r="I25" s="6"/>
      <c r="J25" s="6"/>
    </row>
    <row r="26" spans="2:10" x14ac:dyDescent="0.2">
      <c r="B26" s="16" t="s">
        <v>45</v>
      </c>
      <c r="C26" s="11">
        <f>Member!C12</f>
        <v>80</v>
      </c>
      <c r="D26" s="11">
        <f>Member!C13</f>
        <v>40</v>
      </c>
      <c r="E26" s="11">
        <f>Member!C14</f>
        <v>25</v>
      </c>
      <c r="F26" s="11">
        <f>Member!C15</f>
        <v>25</v>
      </c>
      <c r="G26" s="11">
        <f>Member!C16</f>
        <v>25</v>
      </c>
      <c r="H26" s="11">
        <f>Member!C17</f>
        <v>40</v>
      </c>
      <c r="I26" s="11">
        <f>Member!C18</f>
        <v>200</v>
      </c>
      <c r="J26" s="6"/>
    </row>
    <row r="28" spans="2:10" x14ac:dyDescent="0.2">
      <c r="C28" s="31">
        <f>SUM(C17:C24)*Member!$D12</f>
        <v>2.0999999999999996</v>
      </c>
      <c r="D28" s="31">
        <f>SUM(D17:D24)*Member!$D13</f>
        <v>7.8499999999999988</v>
      </c>
      <c r="E28" s="31">
        <f>SUM(E17:E24)*Member!$D14</f>
        <v>9.2000000000000011</v>
      </c>
      <c r="F28" s="31">
        <f>SUM(F17:F24)*Member!$D15</f>
        <v>13.280000000000001</v>
      </c>
      <c r="G28" s="31">
        <f>SUM(G17:G24)*Member!$D16</f>
        <v>13.280000000000001</v>
      </c>
      <c r="H28" s="31">
        <f>SUM(H17:H24)*Member!$D17</f>
        <v>0</v>
      </c>
      <c r="I28" s="31">
        <f>SUM(I17:I24)*Member!$D18</f>
        <v>0</v>
      </c>
      <c r="J28" s="46">
        <f>SUM(C28:I28)</f>
        <v>45.71</v>
      </c>
    </row>
  </sheetData>
  <mergeCells count="4">
    <mergeCell ref="K6:L6"/>
    <mergeCell ref="G5:I5"/>
    <mergeCell ref="C5:F5"/>
    <mergeCell ref="B2:D2"/>
  </mergeCells>
  <conditionalFormatting sqref="C7:I15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6:I26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7:I24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H18"/>
  <sheetViews>
    <sheetView workbookViewId="0">
      <selection activeCell="F17" sqref="F17"/>
    </sheetView>
  </sheetViews>
  <sheetFormatPr baseColWidth="10" defaultColWidth="11.5703125" defaultRowHeight="12.75" x14ac:dyDescent="0.2"/>
  <cols>
    <col min="2" max="2" width="34.28515625" bestFit="1" customWidth="1"/>
    <col min="3" max="3" width="12.42578125" customWidth="1"/>
    <col min="4" max="4" width="23.85546875" bestFit="1" customWidth="1"/>
    <col min="5" max="5" width="9.140625" customWidth="1"/>
    <col min="6" max="6" width="17.140625" customWidth="1"/>
    <col min="7" max="7" width="19.140625" customWidth="1"/>
    <col min="8" max="8" width="22.42578125" bestFit="1" customWidth="1"/>
  </cols>
  <sheetData>
    <row r="3" spans="2:8" x14ac:dyDescent="0.2">
      <c r="B3" s="1" t="s">
        <v>22</v>
      </c>
      <c r="C3" s="3" t="s">
        <v>61</v>
      </c>
      <c r="D3" s="1" t="s">
        <v>23</v>
      </c>
      <c r="E3" s="3" t="s">
        <v>49</v>
      </c>
      <c r="F3" s="3" t="s">
        <v>58</v>
      </c>
      <c r="G3" s="3" t="s">
        <v>88</v>
      </c>
      <c r="H3" s="3" t="s">
        <v>90</v>
      </c>
    </row>
    <row r="4" spans="2:8" x14ac:dyDescent="0.2">
      <c r="B4" s="7" t="s">
        <v>85</v>
      </c>
      <c r="C4" s="8">
        <v>6.3</v>
      </c>
      <c r="D4" s="6" t="s">
        <v>21</v>
      </c>
      <c r="E4" s="8">
        <f>C4/1</f>
        <v>6.3</v>
      </c>
      <c r="F4">
        <v>0</v>
      </c>
      <c r="G4" s="8">
        <f t="shared" ref="G4:G17" si="0">F4*E4</f>
        <v>0</v>
      </c>
      <c r="H4" s="33">
        <f>Tabelle4[[#This Row],[€ genutzt/Packung]]/Tabelle4[[#This Row],[€/Packung]]</f>
        <v>0</v>
      </c>
    </row>
    <row r="5" spans="2:8" x14ac:dyDescent="0.2">
      <c r="B5" s="7" t="s">
        <v>84</v>
      </c>
      <c r="C5" s="8">
        <v>10.71</v>
      </c>
      <c r="D5" s="6" t="s">
        <v>20</v>
      </c>
      <c r="E5" s="8">
        <f>C5/1</f>
        <v>10.71</v>
      </c>
      <c r="F5">
        <v>0</v>
      </c>
      <c r="G5" s="8">
        <f t="shared" si="0"/>
        <v>0</v>
      </c>
      <c r="H5" s="33">
        <f>Tabelle4[[#This Row],[€ genutzt/Packung]]/Tabelle4[[#This Row],[€/Packung]]</f>
        <v>0</v>
      </c>
    </row>
    <row r="6" spans="2:8" x14ac:dyDescent="0.2">
      <c r="B6" s="7" t="s">
        <v>83</v>
      </c>
      <c r="C6" s="8">
        <v>8.9499999999999993</v>
      </c>
      <c r="D6" s="6" t="s">
        <v>24</v>
      </c>
      <c r="E6" s="8">
        <f>C6/3</f>
        <v>2.9833333333333329</v>
      </c>
      <c r="F6">
        <v>0</v>
      </c>
      <c r="G6" s="8">
        <f t="shared" si="0"/>
        <v>0</v>
      </c>
      <c r="H6" s="33">
        <f>Tabelle4[[#This Row],[€ genutzt/Packung]]/Tabelle4[[#This Row],[€/Packung]]</f>
        <v>0</v>
      </c>
    </row>
    <row r="7" spans="2:8" x14ac:dyDescent="0.2">
      <c r="B7" s="7" t="s">
        <v>82</v>
      </c>
      <c r="C7" s="8">
        <v>9.4499999999999993</v>
      </c>
      <c r="D7" s="6" t="s">
        <v>25</v>
      </c>
      <c r="E7" s="8">
        <f>C7/3</f>
        <v>3.15</v>
      </c>
      <c r="F7">
        <v>0</v>
      </c>
      <c r="G7" s="8">
        <f t="shared" si="0"/>
        <v>0</v>
      </c>
      <c r="H7" s="33">
        <f>Tabelle4[[#This Row],[€ genutzt/Packung]]/Tabelle4[[#This Row],[€/Packung]]</f>
        <v>0</v>
      </c>
    </row>
    <row r="8" spans="2:8" x14ac:dyDescent="0.2">
      <c r="B8" s="7" t="s">
        <v>81</v>
      </c>
      <c r="C8" s="8">
        <v>11.99</v>
      </c>
      <c r="D8" s="6" t="s">
        <v>19</v>
      </c>
      <c r="E8" s="8">
        <f>C8/1</f>
        <v>11.99</v>
      </c>
      <c r="F8">
        <v>0</v>
      </c>
      <c r="G8" s="8">
        <f t="shared" si="0"/>
        <v>0</v>
      </c>
      <c r="H8" s="33">
        <f>Tabelle4[[#This Row],[€ genutzt/Packung]]/Tabelle4[[#This Row],[€/Packung]]</f>
        <v>0</v>
      </c>
    </row>
    <row r="9" spans="2:8" x14ac:dyDescent="0.2">
      <c r="B9" s="7" t="s">
        <v>80</v>
      </c>
      <c r="C9" s="8">
        <v>10.36</v>
      </c>
      <c r="D9" t="s">
        <v>52</v>
      </c>
      <c r="E9" s="8">
        <f>C9/1</f>
        <v>10.36</v>
      </c>
      <c r="F9">
        <v>0</v>
      </c>
      <c r="G9" s="8">
        <f t="shared" si="0"/>
        <v>0</v>
      </c>
      <c r="H9" s="33">
        <f>Tabelle4[[#This Row],[€ genutzt/Packung]]/Tabelle4[[#This Row],[€/Packung]]</f>
        <v>0</v>
      </c>
    </row>
    <row r="10" spans="2:8" x14ac:dyDescent="0.2">
      <c r="B10" s="7" t="s">
        <v>79</v>
      </c>
      <c r="C10" s="8">
        <v>35.200000000000003</v>
      </c>
      <c r="D10" t="s">
        <v>54</v>
      </c>
      <c r="E10" s="8">
        <f>C10/20</f>
        <v>1.7600000000000002</v>
      </c>
      <c r="F10">
        <v>0</v>
      </c>
      <c r="G10" s="8">
        <f t="shared" si="0"/>
        <v>0</v>
      </c>
      <c r="H10" s="33">
        <f>Tabelle4[[#This Row],[€ genutzt/Packung]]/Tabelle4[[#This Row],[€/Packung]]</f>
        <v>0</v>
      </c>
    </row>
    <row r="11" spans="2:8" x14ac:dyDescent="0.2">
      <c r="B11" s="7" t="s">
        <v>78</v>
      </c>
      <c r="C11" s="8">
        <v>21.49</v>
      </c>
      <c r="D11" t="s">
        <v>53</v>
      </c>
      <c r="E11" s="8">
        <f>C11/10</f>
        <v>2.149</v>
      </c>
      <c r="F11">
        <v>0</v>
      </c>
      <c r="G11" s="8">
        <f t="shared" si="0"/>
        <v>0</v>
      </c>
      <c r="H11" s="33">
        <f>Tabelle4[[#This Row],[€ genutzt/Packung]]/Tabelle4[[#This Row],[€/Packung]]</f>
        <v>0</v>
      </c>
    </row>
    <row r="12" spans="2:8" x14ac:dyDescent="0.2">
      <c r="B12" s="7" t="s">
        <v>77</v>
      </c>
      <c r="C12" s="8">
        <v>19.989999999999998</v>
      </c>
      <c r="D12" s="6" t="s">
        <v>55</v>
      </c>
      <c r="E12" s="8">
        <f>C12/10</f>
        <v>1.9989999999999999</v>
      </c>
      <c r="F12" s="6">
        <v>0</v>
      </c>
      <c r="G12" s="8">
        <f t="shared" si="0"/>
        <v>0</v>
      </c>
      <c r="H12" s="33">
        <f>Tabelle4[[#This Row],[€ genutzt/Packung]]/Tabelle4[[#This Row],[€/Packung]]</f>
        <v>0</v>
      </c>
    </row>
    <row r="13" spans="2:8" x14ac:dyDescent="0.2">
      <c r="B13" s="7" t="s">
        <v>76</v>
      </c>
      <c r="C13" s="8">
        <v>7.99</v>
      </c>
      <c r="D13" s="6" t="s">
        <v>56</v>
      </c>
      <c r="E13" s="8">
        <f>C13/1</f>
        <v>7.99</v>
      </c>
      <c r="F13" s="6">
        <v>0</v>
      </c>
      <c r="G13" s="8">
        <f t="shared" si="0"/>
        <v>0</v>
      </c>
      <c r="H13" s="33">
        <f>Tabelle4[[#This Row],[€ genutzt/Packung]]/Tabelle4[[#This Row],[€/Packung]]</f>
        <v>0</v>
      </c>
    </row>
    <row r="14" spans="2:8" x14ac:dyDescent="0.2">
      <c r="B14" s="7" t="s">
        <v>75</v>
      </c>
      <c r="C14" s="8">
        <v>19.989999999999998</v>
      </c>
      <c r="D14" s="6" t="s">
        <v>59</v>
      </c>
      <c r="E14" s="8">
        <f>C14/3</f>
        <v>6.6633333333333331</v>
      </c>
      <c r="F14" s="6">
        <v>0</v>
      </c>
      <c r="G14" s="8">
        <f t="shared" si="0"/>
        <v>0</v>
      </c>
      <c r="H14" s="33">
        <f>Tabelle4[[#This Row],[€ genutzt/Packung]]/Tabelle4[[#This Row],[€/Packung]]</f>
        <v>0</v>
      </c>
    </row>
    <row r="15" spans="2:8" x14ac:dyDescent="0.2">
      <c r="B15" s="7" t="s">
        <v>74</v>
      </c>
      <c r="C15" s="8">
        <v>11.99</v>
      </c>
      <c r="D15" s="6" t="s">
        <v>60</v>
      </c>
      <c r="E15" s="8">
        <f>C15/2</f>
        <v>5.9950000000000001</v>
      </c>
      <c r="F15" s="6">
        <v>0</v>
      </c>
      <c r="G15" s="8">
        <f t="shared" si="0"/>
        <v>0</v>
      </c>
      <c r="H15" s="33">
        <f>Tabelle4[[#This Row],[€ genutzt/Packung]]/Tabelle4[[#This Row],[€/Packung]]</f>
        <v>0</v>
      </c>
    </row>
    <row r="16" spans="2:8" x14ac:dyDescent="0.2">
      <c r="B16" s="7" t="s">
        <v>63</v>
      </c>
      <c r="C16" s="8">
        <v>19.989999999999998</v>
      </c>
      <c r="D16" s="6" t="s">
        <v>62</v>
      </c>
      <c r="E16" s="8">
        <f>C16/20</f>
        <v>0.99949999999999994</v>
      </c>
      <c r="F16" s="6">
        <v>0</v>
      </c>
      <c r="G16" s="8">
        <f t="shared" si="0"/>
        <v>0</v>
      </c>
      <c r="H16" s="33">
        <f>Tabelle4[[#This Row],[€ genutzt/Packung]]/Tabelle4[[#This Row],[€/Packung]]</f>
        <v>0</v>
      </c>
    </row>
    <row r="17" spans="2:8" s="6" customFormat="1" x14ac:dyDescent="0.2">
      <c r="B17" s="7" t="s">
        <v>86</v>
      </c>
      <c r="C17" s="8">
        <v>22.75</v>
      </c>
      <c r="D17" s="6" t="s">
        <v>87</v>
      </c>
      <c r="E17" s="8">
        <f>C17/10</f>
        <v>2.2749999999999999</v>
      </c>
      <c r="F17" s="6">
        <v>8</v>
      </c>
      <c r="G17" s="8">
        <f t="shared" si="0"/>
        <v>18.2</v>
      </c>
      <c r="H17" s="33">
        <f>Tabelle4[[#This Row],[€ genutzt/Packung]]/Tabelle4[[#This Row],[€/Packung]]</f>
        <v>0.79999999999999993</v>
      </c>
    </row>
    <row r="18" spans="2:8" x14ac:dyDescent="0.2">
      <c r="B18" s="1" t="s">
        <v>48</v>
      </c>
      <c r="C18" s="9">
        <f>SUM(C4:C17)</f>
        <v>217.15000000000003</v>
      </c>
      <c r="F18" s="1" t="s">
        <v>57</v>
      </c>
      <c r="G18" s="9">
        <f>SUM(G4:G17)</f>
        <v>18.2</v>
      </c>
    </row>
  </sheetData>
  <conditionalFormatting sqref="C4:C1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E1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:E1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:H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Member</vt:lpstr>
      <vt:lpstr>Characteristik analyse</vt:lpstr>
      <vt:lpstr>Boxen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Lauterbach Kai (BEG/ESB2)</dc:creator>
  <cp:lastModifiedBy>klaute</cp:lastModifiedBy>
  <dcterms:created xsi:type="dcterms:W3CDTF">2018-08-20T13:02:44Z</dcterms:created>
  <dcterms:modified xsi:type="dcterms:W3CDTF">2018-08-31T12:47:33Z</dcterms:modified>
</cp:coreProperties>
</file>