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te\Dropbox\Privat\Mordheim\Players\Kai\nonplayed\forest goblins\"/>
    </mc:Choice>
  </mc:AlternateContent>
  <xr:revisionPtr revIDLastSave="0" documentId="13_ncr:1_{6B26CD0F-D936-4530-BC60-56E3DC034FEE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cost calculation" sheetId="1" r:id="rId1"/>
    <sheet name="Underdog Bonus" sheetId="2" r:id="rId2"/>
    <sheet name="Hired swords" sheetId="3" r:id="rId3"/>
    <sheet name="Characteristic analysis" sheetId="4" r:id="rId4"/>
  </sheets>
  <definedNames>
    <definedName name="_xlnm._FilterDatabase" localSheetId="0">'Hired swords'!$B$2:$L$19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8" i="1" l="1"/>
  <c r="I35" i="1"/>
  <c r="I34" i="1"/>
  <c r="J30" i="1"/>
  <c r="L23" i="1"/>
  <c r="I29" i="4" l="1"/>
  <c r="H29" i="4"/>
  <c r="G29" i="4"/>
  <c r="F29" i="4"/>
  <c r="E29" i="4"/>
  <c r="D29" i="4"/>
  <c r="C29" i="4"/>
  <c r="J29" i="4" s="1"/>
  <c r="I25" i="4"/>
  <c r="I17" i="4" s="1"/>
  <c r="H25" i="4"/>
  <c r="G25" i="4"/>
  <c r="G23" i="4" s="1"/>
  <c r="F25" i="4"/>
  <c r="F22" i="4" s="1"/>
  <c r="E25" i="4"/>
  <c r="E21" i="4" s="1"/>
  <c r="D25" i="4"/>
  <c r="D20" i="4" s="1"/>
  <c r="C25" i="4"/>
  <c r="C19" i="4" s="1"/>
  <c r="H23" i="4"/>
  <c r="F23" i="4"/>
  <c r="I22" i="4"/>
  <c r="H22" i="4"/>
  <c r="G22" i="4"/>
  <c r="E22" i="4"/>
  <c r="I21" i="4"/>
  <c r="H21" i="4"/>
  <c r="F21" i="4"/>
  <c r="H20" i="4"/>
  <c r="G20" i="4"/>
  <c r="F20" i="4"/>
  <c r="E20" i="4"/>
  <c r="H19" i="4"/>
  <c r="G19" i="4"/>
  <c r="F19" i="4"/>
  <c r="E19" i="4"/>
  <c r="D19" i="4"/>
  <c r="H18" i="4"/>
  <c r="F18" i="4"/>
  <c r="E18" i="4"/>
  <c r="H17" i="4"/>
  <c r="F17" i="4"/>
  <c r="E17" i="4"/>
  <c r="D17" i="4"/>
  <c r="I16" i="4"/>
  <c r="H16" i="4"/>
  <c r="G16" i="4"/>
  <c r="F16" i="4"/>
  <c r="E16" i="4"/>
  <c r="D16" i="4"/>
  <c r="C16" i="4"/>
  <c r="H15" i="4"/>
  <c r="H27" i="4" s="1"/>
  <c r="H28" i="4" s="1"/>
  <c r="F15" i="4"/>
  <c r="F27" i="4" s="1"/>
  <c r="F28" i="4" s="1"/>
  <c r="E15" i="4"/>
  <c r="I4" i="4"/>
  <c r="H4" i="4"/>
  <c r="G4" i="4"/>
  <c r="F4" i="4"/>
  <c r="E4" i="4"/>
  <c r="D4" i="4"/>
  <c r="C4" i="4"/>
  <c r="B19" i="3"/>
  <c r="J3" i="1" s="1"/>
  <c r="O18" i="3"/>
  <c r="K18" i="3"/>
  <c r="J18" i="3"/>
  <c r="I18" i="3"/>
  <c r="I19" i="3" s="1"/>
  <c r="J6" i="1" s="1"/>
  <c r="H18" i="3"/>
  <c r="G18" i="3"/>
  <c r="O17" i="3"/>
  <c r="K17" i="3"/>
  <c r="J17" i="3"/>
  <c r="I17" i="3"/>
  <c r="H17" i="3"/>
  <c r="G17" i="3"/>
  <c r="O16" i="3"/>
  <c r="K16" i="3"/>
  <c r="J16" i="3"/>
  <c r="I16" i="3"/>
  <c r="H16" i="3"/>
  <c r="G16" i="3"/>
  <c r="O15" i="3"/>
  <c r="K15" i="3"/>
  <c r="J15" i="3"/>
  <c r="I15" i="3"/>
  <c r="H15" i="3"/>
  <c r="G15" i="3"/>
  <c r="O14" i="3"/>
  <c r="K14" i="3"/>
  <c r="J14" i="3"/>
  <c r="I14" i="3"/>
  <c r="H14" i="3"/>
  <c r="G14" i="3"/>
  <c r="O13" i="3"/>
  <c r="K13" i="3"/>
  <c r="J13" i="3"/>
  <c r="I13" i="3"/>
  <c r="H13" i="3"/>
  <c r="G13" i="3"/>
  <c r="O12" i="3"/>
  <c r="K12" i="3"/>
  <c r="J12" i="3"/>
  <c r="I12" i="3"/>
  <c r="H12" i="3"/>
  <c r="G12" i="3"/>
  <c r="O11" i="3"/>
  <c r="K11" i="3"/>
  <c r="J11" i="3"/>
  <c r="I11" i="3"/>
  <c r="H11" i="3"/>
  <c r="G11" i="3"/>
  <c r="O10" i="3"/>
  <c r="K10" i="3"/>
  <c r="J10" i="3"/>
  <c r="I10" i="3"/>
  <c r="H10" i="3"/>
  <c r="G10" i="3"/>
  <c r="O9" i="3"/>
  <c r="K9" i="3"/>
  <c r="J9" i="3"/>
  <c r="I9" i="3"/>
  <c r="H9" i="3"/>
  <c r="G9" i="3"/>
  <c r="O8" i="3"/>
  <c r="K8" i="3"/>
  <c r="J8" i="3"/>
  <c r="I8" i="3"/>
  <c r="H8" i="3"/>
  <c r="G8" i="3"/>
  <c r="O7" i="3"/>
  <c r="K7" i="3"/>
  <c r="J7" i="3"/>
  <c r="I7" i="3"/>
  <c r="H7" i="3"/>
  <c r="G7" i="3"/>
  <c r="O6" i="3"/>
  <c r="K6" i="3"/>
  <c r="J6" i="3"/>
  <c r="I6" i="3"/>
  <c r="H6" i="3"/>
  <c r="G6" i="3"/>
  <c r="O5" i="3"/>
  <c r="K5" i="3"/>
  <c r="J5" i="3"/>
  <c r="I5" i="3"/>
  <c r="H5" i="3"/>
  <c r="G5" i="3"/>
  <c r="O4" i="3"/>
  <c r="K4" i="3"/>
  <c r="J4" i="3"/>
  <c r="I4" i="3"/>
  <c r="H4" i="3"/>
  <c r="G4" i="3"/>
  <c r="O3" i="3"/>
  <c r="K3" i="3"/>
  <c r="J3" i="3"/>
  <c r="I3" i="3"/>
  <c r="H3" i="3"/>
  <c r="G3" i="3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Q40" i="1"/>
  <c r="N40" i="1"/>
  <c r="L40" i="1"/>
  <c r="Q39" i="1"/>
  <c r="J39" i="1"/>
  <c r="N39" i="1" s="1"/>
  <c r="J38" i="1"/>
  <c r="J42" i="1" s="1"/>
  <c r="Q37" i="1"/>
  <c r="N37" i="1"/>
  <c r="Q36" i="1"/>
  <c r="N36" i="1"/>
  <c r="Q35" i="1"/>
  <c r="N35" i="1"/>
  <c r="Q34" i="1"/>
  <c r="N34" i="1"/>
  <c r="Q33" i="1"/>
  <c r="N33" i="1"/>
  <c r="Q32" i="1"/>
  <c r="N32" i="1"/>
  <c r="M31" i="1"/>
  <c r="Q31" i="1" s="1"/>
  <c r="Q30" i="1"/>
  <c r="N30" i="1"/>
  <c r="Q29" i="1"/>
  <c r="N29" i="1"/>
  <c r="M28" i="1"/>
  <c r="Q28" i="1" s="1"/>
  <c r="Q27" i="1"/>
  <c r="N27" i="1"/>
  <c r="Q26" i="1"/>
  <c r="N26" i="1"/>
  <c r="Q25" i="1"/>
  <c r="N25" i="1"/>
  <c r="Q24" i="1"/>
  <c r="N24" i="1"/>
  <c r="L42" i="1"/>
  <c r="M22" i="1"/>
  <c r="M42" i="1" s="1"/>
  <c r="L22" i="1"/>
  <c r="K22" i="1"/>
  <c r="J22" i="1"/>
  <c r="I22" i="1"/>
  <c r="Q22" i="1" s="1"/>
  <c r="H22" i="1"/>
  <c r="N22" i="1" s="1"/>
  <c r="M21" i="1"/>
  <c r="L21" i="1"/>
  <c r="K21" i="1"/>
  <c r="J21" i="1"/>
  <c r="I21" i="1"/>
  <c r="H21" i="1"/>
  <c r="E18" i="1"/>
  <c r="G17" i="1"/>
  <c r="G16" i="1"/>
  <c r="G18" i="1" s="1"/>
  <c r="G15" i="1"/>
  <c r="G14" i="1"/>
  <c r="G13" i="1"/>
  <c r="G12" i="1"/>
  <c r="G11" i="1"/>
  <c r="J5" i="1"/>
  <c r="O19" i="3" l="1"/>
  <c r="G19" i="3"/>
  <c r="J7" i="1"/>
  <c r="J2" i="1"/>
  <c r="H19" i="3"/>
  <c r="C8" i="1" s="1"/>
  <c r="J4" i="1"/>
  <c r="I13" i="1"/>
  <c r="I17" i="1"/>
  <c r="B5" i="2"/>
  <c r="I16" i="1"/>
  <c r="I14" i="1"/>
  <c r="I15" i="1"/>
  <c r="C18" i="4"/>
  <c r="I15" i="4"/>
  <c r="C17" i="4"/>
  <c r="D18" i="4"/>
  <c r="G21" i="4"/>
  <c r="I23" i="4"/>
  <c r="N28" i="1"/>
  <c r="N31" i="1"/>
  <c r="N38" i="1"/>
  <c r="H42" i="1"/>
  <c r="D15" i="4"/>
  <c r="G18" i="4"/>
  <c r="I20" i="4"/>
  <c r="C22" i="4"/>
  <c r="D23" i="4"/>
  <c r="C15" i="4"/>
  <c r="C23" i="4"/>
  <c r="Q38" i="1"/>
  <c r="Q44" i="1" s="1"/>
  <c r="I42" i="1"/>
  <c r="G17" i="4"/>
  <c r="I19" i="4"/>
  <c r="C21" i="4"/>
  <c r="D22" i="4"/>
  <c r="E23" i="4"/>
  <c r="E27" i="4" s="1"/>
  <c r="E28" i="4" s="1"/>
  <c r="I18" i="4"/>
  <c r="C20" i="4"/>
  <c r="D21" i="4"/>
  <c r="K23" i="1"/>
  <c r="G15" i="4"/>
  <c r="D27" i="4" l="1"/>
  <c r="D28" i="4" s="1"/>
  <c r="L8" i="1"/>
  <c r="C27" i="4"/>
  <c r="C28" i="4" s="1"/>
  <c r="N23" i="1"/>
  <c r="N42" i="1" s="1"/>
  <c r="C6" i="1" s="1"/>
  <c r="C7" i="1" s="1"/>
  <c r="Q23" i="1"/>
  <c r="Q42" i="1" s="1"/>
  <c r="J8" i="1" s="1"/>
  <c r="J9" i="1" s="1"/>
  <c r="B9" i="2"/>
  <c r="B7" i="2"/>
  <c r="B10" i="2"/>
  <c r="C4" i="2" s="1"/>
  <c r="C11" i="2" s="1"/>
  <c r="B8" i="2"/>
  <c r="B6" i="2"/>
  <c r="I27" i="4"/>
  <c r="I28" i="4" s="1"/>
  <c r="K42" i="1"/>
  <c r="G27" i="4"/>
  <c r="G28" i="4" s="1"/>
  <c r="Q43" i="1" l="1"/>
  <c r="K8" i="1" s="1"/>
  <c r="C5" i="2"/>
  <c r="J28" i="4"/>
  <c r="C9" i="2" l="1"/>
  <c r="C7" i="2"/>
  <c r="C10" i="2"/>
  <c r="C8" i="2"/>
  <c r="C6" i="2"/>
  <c r="D4" i="2" l="1"/>
  <c r="D11" i="2" s="1"/>
  <c r="D5" i="2" l="1"/>
  <c r="D9" i="2" s="1"/>
  <c r="D8" i="2" l="1"/>
  <c r="D6" i="2"/>
  <c r="D10" i="2"/>
  <c r="D7" i="2"/>
  <c r="E4" i="2"/>
  <c r="E11" i="2" l="1"/>
  <c r="E5" i="2"/>
  <c r="E9" i="2" l="1"/>
  <c r="E7" i="2"/>
  <c r="E6" i="2"/>
  <c r="E10" i="2"/>
  <c r="E8" i="2"/>
  <c r="F4" i="2" l="1"/>
  <c r="F11" i="2" s="1"/>
  <c r="F5" i="2" l="1"/>
  <c r="F8" i="2" s="1"/>
  <c r="F10" i="2" l="1"/>
  <c r="F7" i="2"/>
  <c r="F9" i="2"/>
  <c r="F6" i="2"/>
  <c r="G4" i="2" l="1"/>
  <c r="G11" i="2" s="1"/>
  <c r="G5" i="2" l="1"/>
  <c r="G10" i="2" l="1"/>
  <c r="H4" i="2" s="1"/>
  <c r="H11" i="2" s="1"/>
  <c r="G8" i="2"/>
  <c r="G6" i="2"/>
  <c r="G9" i="2"/>
  <c r="G7" i="2"/>
  <c r="H5" i="2" l="1"/>
  <c r="H8" i="2" l="1"/>
  <c r="H10" i="2"/>
  <c r="H6" i="2"/>
  <c r="H7" i="2"/>
  <c r="H9" i="2"/>
  <c r="I4" i="2" l="1"/>
  <c r="I11" i="2" l="1"/>
  <c r="I5" i="2"/>
  <c r="I10" i="2" l="1"/>
  <c r="I8" i="2"/>
  <c r="I6" i="2"/>
  <c r="I9" i="2"/>
  <c r="I7" i="2"/>
  <c r="J4" i="2" l="1"/>
  <c r="J11" i="2" l="1"/>
  <c r="J5" i="2"/>
  <c r="J6" i="2" l="1"/>
  <c r="J9" i="2"/>
  <c r="J7" i="2"/>
  <c r="J10" i="2"/>
  <c r="J8" i="2"/>
  <c r="K4" i="2" l="1"/>
  <c r="K11" i="2" s="1"/>
  <c r="K5" i="2" l="1"/>
  <c r="K9" i="2" l="1"/>
  <c r="K7" i="2"/>
  <c r="K10" i="2"/>
  <c r="K8" i="2"/>
  <c r="K6" i="2"/>
  <c r="L4" i="2" l="1"/>
  <c r="L11" i="2" l="1"/>
  <c r="L5" i="2"/>
  <c r="L9" i="2" l="1"/>
  <c r="L8" i="2"/>
  <c r="L10" i="2"/>
  <c r="L6" i="2"/>
  <c r="L7" i="2"/>
  <c r="M4" i="2" l="1"/>
  <c r="M5" i="2" l="1"/>
  <c r="M11" i="2"/>
  <c r="M10" i="2" l="1"/>
  <c r="N4" i="2" s="1"/>
  <c r="N11" i="2" s="1"/>
  <c r="M8" i="2"/>
  <c r="M9" i="2"/>
  <c r="M7" i="2"/>
  <c r="M6" i="2"/>
  <c r="N5" i="2" l="1"/>
  <c r="N10" i="2" l="1"/>
  <c r="N9" i="2"/>
  <c r="N7" i="2"/>
  <c r="N6" i="2"/>
  <c r="N8" i="2"/>
  <c r="O4" i="2" l="1"/>
  <c r="O11" i="2" l="1"/>
  <c r="O5" i="2"/>
  <c r="O10" i="2" l="1"/>
  <c r="P4" i="2" s="1"/>
  <c r="O8" i="2"/>
  <c r="O7" i="2"/>
  <c r="O9" i="2"/>
  <c r="O6" i="2"/>
  <c r="P11" i="2" l="1"/>
  <c r="P5" i="2"/>
  <c r="P8" i="2" l="1"/>
  <c r="P9" i="2"/>
  <c r="P10" i="2"/>
  <c r="P6" i="2"/>
  <c r="P7" i="2"/>
  <c r="Q4" i="2" l="1"/>
  <c r="Q5" i="2" l="1"/>
  <c r="Q11" i="2"/>
  <c r="Q10" i="2" l="1"/>
  <c r="Q6" i="2"/>
  <c r="Q8" i="2"/>
  <c r="Q9" i="2"/>
  <c r="Q7" i="2"/>
  <c r="R4" i="2" l="1"/>
  <c r="R11" i="2" l="1"/>
  <c r="R5" i="2"/>
  <c r="R9" i="2" l="1"/>
  <c r="R8" i="2"/>
  <c r="R7" i="2"/>
  <c r="R10" i="2"/>
  <c r="S4" i="2" s="1"/>
  <c r="R6" i="2"/>
  <c r="S11" i="2" l="1"/>
  <c r="S5" i="2"/>
  <c r="S6" i="2" l="1"/>
  <c r="S7" i="2"/>
  <c r="S10" i="2"/>
  <c r="S8" i="2"/>
  <c r="S9" i="2"/>
  <c r="T4" i="2" l="1"/>
  <c r="T11" i="2" l="1"/>
  <c r="T5" i="2"/>
  <c r="T9" i="2" l="1"/>
  <c r="T8" i="2"/>
  <c r="T7" i="2"/>
  <c r="T10" i="2"/>
  <c r="U4" i="2" s="1"/>
  <c r="U11" i="2" s="1"/>
  <c r="T6" i="2"/>
  <c r="U5" i="2" l="1"/>
  <c r="U9" i="2" l="1"/>
  <c r="U6" i="2"/>
  <c r="U8" i="2"/>
  <c r="U10" i="2"/>
  <c r="U7" i="2"/>
</calcChain>
</file>

<file path=xl/sharedStrings.xml><?xml version="1.0" encoding="utf-8"?>
<sst xmlns="http://schemas.openxmlformats.org/spreadsheetml/2006/main" count="236" uniqueCount="189">
  <si>
    <t>Kai</t>
  </si>
  <si>
    <t>Forest goblins</t>
  </si>
  <si>
    <t>Units to sell shards</t>
  </si>
  <si>
    <t>V2.1</t>
  </si>
  <si>
    <t>Units (rout test)</t>
  </si>
  <si>
    <t>Char rating</t>
  </si>
  <si>
    <t>gold crown</t>
  </si>
  <si>
    <t>Magic rating</t>
  </si>
  <si>
    <t>used</t>
  </si>
  <si>
    <t>Warband Rating</t>
  </si>
  <si>
    <t>not used</t>
  </si>
  <si>
    <t>rout test</t>
  </si>
  <si>
    <t>UpKeep</t>
  </si>
  <si>
    <t>Equip rating</t>
  </si>
  <si>
    <t>Warband</t>
  </si>
  <si>
    <t>gold/einheit</t>
  </si>
  <si>
    <t>anzahl</t>
  </si>
  <si>
    <t>Exp</t>
  </si>
  <si>
    <t>summe</t>
  </si>
  <si>
    <t>heros</t>
  </si>
  <si>
    <t>Chief</t>
  </si>
  <si>
    <t>Braves (¾)</t>
  </si>
  <si>
    <t>Underdog bonus</t>
  </si>
  <si>
    <t>min foe wbr</t>
  </si>
  <si>
    <t>L</t>
  </si>
  <si>
    <t>Leader (Chieftain)</t>
  </si>
  <si>
    <t>Shaman</t>
  </si>
  <si>
    <t>+1</t>
  </si>
  <si>
    <t>B</t>
  </si>
  <si>
    <t>Braves</t>
  </si>
  <si>
    <t>henchmen</t>
  </si>
  <si>
    <t>forest goblins</t>
  </si>
  <si>
    <t>+2</t>
  </si>
  <si>
    <t>S</t>
  </si>
  <si>
    <t>Shootaz (5)</t>
  </si>
  <si>
    <t>+3</t>
  </si>
  <si>
    <t>H</t>
  </si>
  <si>
    <t>Henchmen</t>
  </si>
  <si>
    <t>red toof goblinz (5)</t>
  </si>
  <si>
    <t>+4</t>
  </si>
  <si>
    <t>giantic spider</t>
  </si>
  <si>
    <t>+5</t>
  </si>
  <si>
    <t>Gesamt</t>
  </si>
  <si>
    <t>Anzahl</t>
  </si>
  <si>
    <t>heroes</t>
  </si>
  <si>
    <t>name</t>
  </si>
  <si>
    <t>type</t>
  </si>
  <si>
    <t>range</t>
  </si>
  <si>
    <t>strength</t>
  </si>
  <si>
    <t>rule</t>
  </si>
  <si>
    <t>gc/unit</t>
  </si>
  <si>
    <t>cost</t>
  </si>
  <si>
    <t>group</t>
  </si>
  <si>
    <t>rating</t>
  </si>
  <si>
    <t>Warband Equip Rating</t>
  </si>
  <si>
    <t>free dagger</t>
  </si>
  <si>
    <t>hth</t>
  </si>
  <si>
    <t>user</t>
  </si>
  <si>
    <t>foe +1as +1 offhand to hit</t>
  </si>
  <si>
    <t>L,B,S,H</t>
  </si>
  <si>
    <t>dagger</t>
  </si>
  <si>
    <t>club</t>
  </si>
  <si>
    <t>Stunned 2-4</t>
  </si>
  <si>
    <t>axe</t>
  </si>
  <si>
    <t>-1AS</t>
  </si>
  <si>
    <t>L,B,S</t>
  </si>
  <si>
    <t>spear</t>
  </si>
  <si>
    <t>strike first, mounted charge +1S</t>
  </si>
  <si>
    <t>sword</t>
  </si>
  <si>
    <t>parry</t>
  </si>
  <si>
    <t>halberd</t>
  </si>
  <si>
    <t>user+1S</t>
  </si>
  <si>
    <t>Two-handed</t>
  </si>
  <si>
    <t>Double-handed weapon</t>
  </si>
  <si>
    <t>user+2S</t>
  </si>
  <si>
    <t>Two-handed, strike last</t>
  </si>
  <si>
    <t>boss pole</t>
  </si>
  <si>
    <t>strike first, mounted charge +1S, animosty</t>
  </si>
  <si>
    <t>hand weapon</t>
  </si>
  <si>
    <t>short bow</t>
  </si>
  <si>
    <t>cc</t>
  </si>
  <si>
    <t>S3</t>
  </si>
  <si>
    <t>blowpipe</t>
  </si>
  <si>
    <t>ToHit=6 = wound +1foe AS</t>
  </si>
  <si>
    <t>shield</t>
  </si>
  <si>
    <t>a</t>
  </si>
  <si>
    <t>+1AS</t>
  </si>
  <si>
    <t>light armor</t>
  </si>
  <si>
    <t>5+AS</t>
  </si>
  <si>
    <t>spider poison</t>
  </si>
  <si>
    <t>p</t>
  </si>
  <si>
    <t>+1 to injury roll</t>
  </si>
  <si>
    <t>red toof tribal jewelary</t>
  </si>
  <si>
    <t>t</t>
  </si>
  <si>
    <t>+1A</t>
  </si>
  <si>
    <t>giant spider mount</t>
  </si>
  <si>
    <t>m</t>
  </si>
  <si>
    <t>S4</t>
  </si>
  <si>
    <t>+1A +1AS M7 climb without test, ...</t>
  </si>
  <si>
    <t>magic gugginz</t>
  </si>
  <si>
    <t>reroll magic diff test on D6=4+</t>
  </si>
  <si>
    <t>throwing weapon</t>
  </si>
  <si>
    <t>no distance penality, 8"</t>
  </si>
  <si>
    <t>er ges</t>
  </si>
  <si>
    <t>er off</t>
  </si>
  <si>
    <t>er deff</t>
  </si>
  <si>
    <t>1. Spiel</t>
  </si>
  <si>
    <t>2. Spiel</t>
  </si>
  <si>
    <t>3. Spiel</t>
  </si>
  <si>
    <t>4. Spiel</t>
  </si>
  <si>
    <t>5. Spiel</t>
  </si>
  <si>
    <t>6. Spiel</t>
  </si>
  <si>
    <t>7. Spiel</t>
  </si>
  <si>
    <t>8. Spiel</t>
  </si>
  <si>
    <t>9. Spiel</t>
  </si>
  <si>
    <t>10. Spiel</t>
  </si>
  <si>
    <t>11. Spiel</t>
  </si>
  <si>
    <t>12. Spiel</t>
  </si>
  <si>
    <t>13. Spiel</t>
  </si>
  <si>
    <t>14. Spiel</t>
  </si>
  <si>
    <t>15. Spiel</t>
  </si>
  <si>
    <t>16. Spiel</t>
  </si>
  <si>
    <t>17. Spiel</t>
  </si>
  <si>
    <t>18. Spiel</t>
  </si>
  <si>
    <t>19. Spiel</t>
  </si>
  <si>
    <t>amount</t>
  </si>
  <si>
    <t>upkeep</t>
  </si>
  <si>
    <t>wbr add</t>
  </si>
  <si>
    <t>Used cost</t>
  </si>
  <si>
    <t>Used UpKeep</t>
  </si>
  <si>
    <t>Used wbr add</t>
  </si>
  <si>
    <t>wbr/cost</t>
  </si>
  <si>
    <t>wbr/upkeep</t>
  </si>
  <si>
    <t>Comment</t>
  </si>
  <si>
    <t>Spalte1</t>
  </si>
  <si>
    <t>Personal rating</t>
  </si>
  <si>
    <t>Spalte2</t>
  </si>
  <si>
    <t>Clan Eshin Assassin</t>
  </si>
  <si>
    <t>M6 S4 T4 -1 foe AS add</t>
  </si>
  <si>
    <t>Pit fighter</t>
  </si>
  <si>
    <t>3xS4 T4 charge=2S5 1S4, reoll parry</t>
  </si>
  <si>
    <t>Bounty hunter</t>
  </si>
  <si>
    <t>super Ausrüstung, bring GC ein bei mark ooA</t>
  </si>
  <si>
    <t>Duellist</t>
  </si>
  <si>
    <t>special parry</t>
  </si>
  <si>
    <t>Ogre Slave Master</t>
  </si>
  <si>
    <t>A3 S4 W3 T4 M6 AS5, capture (mark kosten/2 sind sicher)</t>
  </si>
  <si>
    <t>Warlock</t>
  </si>
  <si>
    <t>Zauberer</t>
  </si>
  <si>
    <t>Clan moulder packmaster</t>
  </si>
  <si>
    <t>4 units S3 T3 M5 3xM6</t>
  </si>
  <si>
    <t>Black ork</t>
  </si>
  <si>
    <t>anti animosity, heavy armor, Ld weitergabe, S4 T4, AS3, M4</t>
  </si>
  <si>
    <t>Dark Elf assassin</t>
  </si>
  <si>
    <t>M5 S4 T3 -1 foe AS add, super Ausrüstung</t>
  </si>
  <si>
    <t>Clan skyre sniper</t>
  </si>
  <si>
    <t>S5 shooting 36“ -2AS D3 wounds</t>
  </si>
  <si>
    <t>Dark Elf sorceress</t>
  </si>
  <si>
    <t>Zauberin</t>
  </si>
  <si>
    <t>Witch</t>
  </si>
  <si>
    <t>Potions, academic skills, support spells</t>
  </si>
  <si>
    <t>Ogre Bodyguard</t>
  </si>
  <si>
    <t>A3 S4 W3 T4 M6 AS5</t>
  </si>
  <si>
    <t>Barbarian</t>
  </si>
  <si>
    <t>Fighter</t>
  </si>
  <si>
    <t>Chaos warrior</t>
  </si>
  <si>
    <t>mark of the dark gods S4/6 T4 A2</t>
  </si>
  <si>
    <t>Goblin herder</t>
  </si>
  <si>
    <t>Beast handler/animal handler (giant spider)</t>
  </si>
  <si>
    <t>Characteristik Analyse</t>
  </si>
  <si>
    <t>gewichtung</t>
  </si>
  <si>
    <t>M</t>
  </si>
  <si>
    <t>WS</t>
  </si>
  <si>
    <t>BS</t>
  </si>
  <si>
    <t>T</t>
  </si>
  <si>
    <t>W</t>
  </si>
  <si>
    <t>I</t>
  </si>
  <si>
    <t>A</t>
  </si>
  <si>
    <t>Ld</t>
  </si>
  <si>
    <t>M/g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</si>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</sst>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sz val="10"/>
      <name val="Arial"/>
      <family val="2"/>
      <charset val="1"/>
    </font>
    <font>
      <i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1" fillId="0" borderId="0" xfId="0" applyFont="1"/>
    <xf numFmtId="14" fontId="0" fillId="0" borderId="0" xfId="0" applyNumberFormat="1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4" fillId="0" borderId="0" xfId="0" applyFont="1"/>
    <xf numFmtId="2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ont="1" applyBorder="1"/>
    <xf numFmtId="0" fontId="2" fillId="0" borderId="0" xfId="0" applyFont="1" applyBorder="1"/>
    <xf numFmtId="0" fontId="0" fillId="0" borderId="0" xfId="0" applyBorder="1"/>
    <xf numFmtId="0" fontId="8" fillId="0" borderId="2" xfId="0" applyFont="1" applyBorder="1"/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/>
    <xf numFmtId="0" fontId="9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0" fontId="0" fillId="0" borderId="0" xfId="0" applyFont="1" applyBorder="1" applyAlignment="1">
      <alignment horizontal="left" vertical="center" wrapText="1"/>
    </xf>
    <xf numFmtId="0" fontId="0" fillId="0" borderId="4" xfId="0" applyBorder="1"/>
    <xf numFmtId="0" fontId="2" fillId="0" borderId="2" xfId="0" applyFont="1" applyBorder="1"/>
    <xf numFmtId="0" fontId="2" fillId="0" borderId="5" xfId="0" applyFont="1" applyBorder="1"/>
    <xf numFmtId="0" fontId="2" fillId="0" borderId="3" xfId="0" applyFont="1" applyBorder="1"/>
    <xf numFmtId="0" fontId="0" fillId="0" borderId="6" xfId="0" applyBorder="1"/>
    <xf numFmtId="164" fontId="0" fillId="0" borderId="0" xfId="0" applyNumberFormat="1"/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21:Q39" totalsRowShown="0">
  <autoFilter ref="B21:Q39" xr:uid="{00000000-0009-0000-0100-000001000000}"/>
  <tableColumns count="16">
    <tableColumn id="1" xr3:uid="{00000000-0010-0000-0000-000001000000}" name="name"/>
    <tableColumn id="2" xr3:uid="{00000000-0010-0000-0000-000002000000}" name="type"/>
    <tableColumn id="3" xr3:uid="{00000000-0010-0000-0000-000003000000}" name="range"/>
    <tableColumn id="4" xr3:uid="{00000000-0010-0000-0000-000004000000}" name="strength"/>
    <tableColumn id="5" xr3:uid="{00000000-0010-0000-0000-000005000000}" name="rule"/>
    <tableColumn id="6" xr3:uid="{00000000-0010-0000-0000-000006000000}" name="gc/unit"/>
    <tableColumn id="7" xr3:uid="{00000000-0010-0000-0000-000007000000}" name="Chief"/>
    <tableColumn id="8" xr3:uid="{00000000-0010-0000-0000-000008000000}" name="Braves (¾)"/>
    <tableColumn id="9" xr3:uid="{00000000-0010-0000-0000-000009000000}" name="Shaman"/>
    <tableColumn id="10" xr3:uid="{00000000-0010-0000-0000-00000A000000}" name="forest goblins"/>
    <tableColumn id="11" xr3:uid="{00000000-0010-0000-0000-00000B000000}" name="Shootaz (5)"/>
    <tableColumn id="12" xr3:uid="{00000000-0010-0000-0000-00000C000000}" name="red toof goblinz (5)"/>
    <tableColumn id="13" xr3:uid="{00000000-0010-0000-0000-00000D000000}" name="cost"/>
    <tableColumn id="14" xr3:uid="{00000000-0010-0000-0000-00000E000000}" name="group"/>
    <tableColumn id="15" xr3:uid="{00000000-0010-0000-0000-00000F000000}" name="rating"/>
    <tableColumn id="16" xr3:uid="{00000000-0010-0000-0000-000010000000}" name="Warband Equip Rating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" displayName="Tabelle3" ref="B2:O18" totalsRowShown="0">
  <autoFilter ref="B2:O18" xr:uid="{00000000-0009-0000-0100-000002000000}"/>
  <tableColumns count="14">
    <tableColumn id="1" xr3:uid="{00000000-0010-0000-0100-000001000000}" name="amount"/>
    <tableColumn id="2" xr3:uid="{00000000-0010-0000-0100-000002000000}" name="name"/>
    <tableColumn id="3" xr3:uid="{00000000-0010-0000-0100-000003000000}" name="cost"/>
    <tableColumn id="4" xr3:uid="{00000000-0010-0000-0100-000004000000}" name="upkeep"/>
    <tableColumn id="5" xr3:uid="{00000000-0010-0000-0100-000005000000}" name="wbr add"/>
    <tableColumn id="6" xr3:uid="{00000000-0010-0000-0100-000006000000}" name="Used cost"/>
    <tableColumn id="7" xr3:uid="{00000000-0010-0000-0100-000007000000}" name="Used UpKeep"/>
    <tableColumn id="8" xr3:uid="{00000000-0010-0000-0100-000008000000}" name="Used wbr add"/>
    <tableColumn id="9" xr3:uid="{00000000-0010-0000-0100-000009000000}" name="wbr/cost"/>
    <tableColumn id="10" xr3:uid="{00000000-0010-0000-0100-00000A000000}" name="wbr/upkeep"/>
    <tableColumn id="11" xr3:uid="{00000000-0010-0000-0100-00000B000000}" name="Comment"/>
    <tableColumn id="12" xr3:uid="{00000000-0010-0000-0100-00000C000000}" name="Spalte1"/>
    <tableColumn id="13" xr3:uid="{00000000-0010-0000-0100-00000D000000}" name="Personal rating"/>
    <tableColumn id="14" xr3:uid="{00000000-0010-0000-0100-00000E000000}" name="Spalte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4"/>
  <sheetViews>
    <sheetView tabSelected="1" zoomScale="80" zoomScaleNormal="80" workbookViewId="0">
      <selection activeCell="F40" sqref="F40"/>
    </sheetView>
  </sheetViews>
  <sheetFormatPr baseColWidth="10" defaultColWidth="9.140625" defaultRowHeight="12.75" x14ac:dyDescent="0.2"/>
  <cols>
    <col min="1" max="1" width="11.5703125"/>
    <col min="2" max="2" width="21.140625" customWidth="1"/>
    <col min="3" max="3" width="18.140625" customWidth="1"/>
    <col min="4" max="4" width="12.42578125" customWidth="1"/>
    <col min="5" max="5" width="11.28515625" customWidth="1"/>
    <col min="6" max="6" width="37.85546875" customWidth="1"/>
    <col min="7" max="7" width="10.7109375" customWidth="1"/>
    <col min="8" max="8" width="9" customWidth="1"/>
    <col min="9" max="9" width="18" customWidth="1"/>
    <col min="10" max="10" width="11.85546875" customWidth="1"/>
    <col min="11" max="11" width="17" customWidth="1"/>
    <col min="12" max="12" width="14.5703125" customWidth="1"/>
    <col min="13" max="13" width="21.5703125" customWidth="1"/>
    <col min="14" max="14" width="8.140625" customWidth="1"/>
    <col min="15" max="15" width="16.5703125" customWidth="1"/>
    <col min="16" max="16" width="9.5703125" customWidth="1"/>
    <col min="17" max="17" width="24.85546875" customWidth="1"/>
    <col min="18" max="1025" width="11.5703125"/>
  </cols>
  <sheetData>
    <row r="2" spans="2:15" ht="18" x14ac:dyDescent="0.25">
      <c r="B2" s="1" t="s">
        <v>0</v>
      </c>
      <c r="C2" s="2" t="s">
        <v>1</v>
      </c>
      <c r="D2" s="2"/>
      <c r="E2" s="2"/>
      <c r="F2" s="3">
        <v>43640</v>
      </c>
      <c r="I2" t="s">
        <v>2</v>
      </c>
      <c r="J2" s="4">
        <f>J3+(3*'Hired swords'!B5)+H38+I38+J38</f>
        <v>5</v>
      </c>
    </row>
    <row r="3" spans="2:15" ht="18" x14ac:dyDescent="0.25">
      <c r="B3" s="1" t="s">
        <v>3</v>
      </c>
      <c r="E3" s="5"/>
      <c r="F3" s="6"/>
      <c r="I3" t="s">
        <v>4</v>
      </c>
      <c r="J3" s="7">
        <f>E18+'Hired swords'!B19</f>
        <v>3</v>
      </c>
    </row>
    <row r="4" spans="2:15" x14ac:dyDescent="0.2">
      <c r="I4" t="s">
        <v>5</v>
      </c>
      <c r="J4" s="8">
        <f>'Characteristic analysis'!J29+'Hired swords'!O19</f>
        <v>238</v>
      </c>
    </row>
    <row r="5" spans="2:15" ht="15" x14ac:dyDescent="0.2">
      <c r="B5" s="9" t="s">
        <v>6</v>
      </c>
      <c r="C5" s="10">
        <v>500</v>
      </c>
      <c r="I5" t="s">
        <v>7</v>
      </c>
      <c r="J5" s="4">
        <f>E13*10</f>
        <v>10</v>
      </c>
    </row>
    <row r="6" spans="2:15" ht="15" x14ac:dyDescent="0.2">
      <c r="B6" s="9" t="s">
        <v>8</v>
      </c>
      <c r="C6" s="9">
        <f>G18+N42+'Hired swords'!G19</f>
        <v>297</v>
      </c>
      <c r="I6" s="1" t="s">
        <v>9</v>
      </c>
      <c r="J6" s="9">
        <f>5*(E18-E17)+E11*F11+E12*F12+E13*F13+E14*F14+E15*F15+E16*F16+E17*20+SUM(H38:J38)*10+'Hired swords'!I19</f>
        <v>58</v>
      </c>
    </row>
    <row r="7" spans="2:15" ht="15" x14ac:dyDescent="0.2">
      <c r="B7" s="9" t="s">
        <v>10</v>
      </c>
      <c r="C7" s="11">
        <f>C5-C6</f>
        <v>203</v>
      </c>
      <c r="I7" t="s">
        <v>11</v>
      </c>
      <c r="J7" s="9">
        <f>ROUNDUP(J3/4,0)</f>
        <v>1</v>
      </c>
    </row>
    <row r="8" spans="2:15" x14ac:dyDescent="0.2">
      <c r="B8" s="4" t="s">
        <v>12</v>
      </c>
      <c r="C8">
        <f>'Hired swords'!H19</f>
        <v>0</v>
      </c>
      <c r="I8" s="12" t="s">
        <v>13</v>
      </c>
      <c r="J8" s="13">
        <f>Q42</f>
        <v>28</v>
      </c>
      <c r="K8">
        <f>Q43</f>
        <v>26</v>
      </c>
      <c r="L8">
        <f>Q44</f>
        <v>5</v>
      </c>
    </row>
    <row r="9" spans="2:15" ht="15.75" x14ac:dyDescent="0.25">
      <c r="J9" s="7">
        <f>(J4+J5+J6+J8)*J7</f>
        <v>334</v>
      </c>
    </row>
    <row r="10" spans="2:15" x14ac:dyDescent="0.2">
      <c r="C10" s="14" t="s">
        <v>14</v>
      </c>
      <c r="D10" s="14" t="s">
        <v>15</v>
      </c>
      <c r="E10" s="14" t="s">
        <v>16</v>
      </c>
      <c r="F10" s="14" t="s">
        <v>17</v>
      </c>
      <c r="G10" s="14" t="s">
        <v>18</v>
      </c>
    </row>
    <row r="11" spans="2:15" x14ac:dyDescent="0.2">
      <c r="B11" s="36" t="s">
        <v>19</v>
      </c>
      <c r="C11" t="s">
        <v>20</v>
      </c>
      <c r="D11">
        <v>50</v>
      </c>
      <c r="E11" s="15">
        <v>1</v>
      </c>
      <c r="F11" s="15">
        <v>17</v>
      </c>
      <c r="G11">
        <f t="shared" ref="G11:G17" si="0">E11*D11</f>
        <v>50</v>
      </c>
    </row>
    <row r="12" spans="2:15" x14ac:dyDescent="0.2">
      <c r="B12" s="36"/>
      <c r="C12" s="1" t="s">
        <v>21</v>
      </c>
      <c r="D12">
        <v>20</v>
      </c>
      <c r="E12" s="15">
        <v>0</v>
      </c>
      <c r="F12" s="15">
        <v>6</v>
      </c>
      <c r="G12">
        <f t="shared" si="0"/>
        <v>0</v>
      </c>
      <c r="I12" s="37" t="s">
        <v>22</v>
      </c>
      <c r="J12" s="37"/>
      <c r="K12" s="4" t="s">
        <v>23</v>
      </c>
      <c r="N12" t="s">
        <v>24</v>
      </c>
      <c r="O12" t="s">
        <v>25</v>
      </c>
    </row>
    <row r="13" spans="2:15" x14ac:dyDescent="0.2">
      <c r="B13" s="36"/>
      <c r="C13" t="s">
        <v>26</v>
      </c>
      <c r="D13">
        <v>20</v>
      </c>
      <c r="E13" s="15">
        <v>1</v>
      </c>
      <c r="F13" s="15">
        <v>6</v>
      </c>
      <c r="G13">
        <f t="shared" si="0"/>
        <v>20</v>
      </c>
      <c r="I13">
        <f>J6+J6*50%</f>
        <v>87</v>
      </c>
      <c r="J13" s="1" t="s">
        <v>27</v>
      </c>
      <c r="K13">
        <v>193</v>
      </c>
      <c r="N13" t="s">
        <v>28</v>
      </c>
      <c r="O13" t="s">
        <v>29</v>
      </c>
    </row>
    <row r="14" spans="2:15" x14ac:dyDescent="0.2">
      <c r="B14" s="36" t="s">
        <v>30</v>
      </c>
      <c r="C14" t="s">
        <v>31</v>
      </c>
      <c r="D14">
        <v>15</v>
      </c>
      <c r="E14" s="15">
        <v>0</v>
      </c>
      <c r="F14" s="15">
        <v>0</v>
      </c>
      <c r="G14">
        <f t="shared" si="0"/>
        <v>0</v>
      </c>
      <c r="I14" s="1">
        <f>J6+J6*75%</f>
        <v>101.5</v>
      </c>
      <c r="J14" s="1" t="s">
        <v>32</v>
      </c>
      <c r="N14" t="s">
        <v>33</v>
      </c>
      <c r="O14" t="s">
        <v>26</v>
      </c>
    </row>
    <row r="15" spans="2:15" x14ac:dyDescent="0.2">
      <c r="B15" s="36"/>
      <c r="C15" t="s">
        <v>34</v>
      </c>
      <c r="D15">
        <v>20</v>
      </c>
      <c r="E15" s="15">
        <v>1</v>
      </c>
      <c r="F15" s="15">
        <v>0</v>
      </c>
      <c r="G15">
        <f t="shared" si="0"/>
        <v>20</v>
      </c>
      <c r="I15" s="1">
        <f>J6+J6*100%</f>
        <v>116</v>
      </c>
      <c r="J15" s="1" t="s">
        <v>35</v>
      </c>
      <c r="N15" t="s">
        <v>36</v>
      </c>
      <c r="O15" t="s">
        <v>37</v>
      </c>
    </row>
    <row r="16" spans="2:15" x14ac:dyDescent="0.2">
      <c r="B16" s="36"/>
      <c r="C16" t="s">
        <v>38</v>
      </c>
      <c r="D16">
        <v>25</v>
      </c>
      <c r="E16" s="15">
        <v>0</v>
      </c>
      <c r="F16" s="15">
        <v>0</v>
      </c>
      <c r="G16">
        <f t="shared" si="0"/>
        <v>0</v>
      </c>
      <c r="I16" s="1">
        <f>J6+J6*150%</f>
        <v>145</v>
      </c>
      <c r="J16" s="1" t="s">
        <v>39</v>
      </c>
    </row>
    <row r="17" spans="2:17" x14ac:dyDescent="0.2">
      <c r="B17" s="36"/>
      <c r="C17" s="12" t="s">
        <v>40</v>
      </c>
      <c r="D17" s="16">
        <v>200</v>
      </c>
      <c r="E17" s="17">
        <v>0</v>
      </c>
      <c r="F17" s="17">
        <v>0</v>
      </c>
      <c r="G17" s="16">
        <f t="shared" si="0"/>
        <v>0</v>
      </c>
      <c r="I17">
        <f>J6+J6*300%</f>
        <v>232</v>
      </c>
      <c r="J17" s="18" t="s">
        <v>41</v>
      </c>
    </row>
    <row r="18" spans="2:17" ht="15.75" x14ac:dyDescent="0.25">
      <c r="C18" s="19" t="s">
        <v>42</v>
      </c>
      <c r="E18" s="7">
        <f>SUM(E11:E17)+C44</f>
        <v>3</v>
      </c>
      <c r="G18" s="7">
        <f>SUM(G11:G17)</f>
        <v>90</v>
      </c>
    </row>
    <row r="19" spans="2:17" x14ac:dyDescent="0.2">
      <c r="B19" s="20"/>
      <c r="F19" s="4"/>
      <c r="I19" s="38" t="s">
        <v>43</v>
      </c>
      <c r="J19" s="38"/>
      <c r="K19" s="38"/>
      <c r="L19" s="38"/>
      <c r="M19" s="38"/>
      <c r="N19" s="38"/>
    </row>
    <row r="20" spans="2:17" ht="15.75" x14ac:dyDescent="0.25">
      <c r="B20" s="7"/>
      <c r="C20" s="7"/>
      <c r="I20" s="38" t="s">
        <v>44</v>
      </c>
      <c r="J20" s="38"/>
      <c r="K20" s="38"/>
      <c r="L20" s="38" t="s">
        <v>30</v>
      </c>
      <c r="M20" s="38"/>
      <c r="N20" s="38"/>
    </row>
    <row r="21" spans="2:17" x14ac:dyDescent="0.2">
      <c r="B21" s="14" t="s">
        <v>45</v>
      </c>
      <c r="C21" s="21" t="s">
        <v>46</v>
      </c>
      <c r="D21" s="21" t="s">
        <v>47</v>
      </c>
      <c r="E21" s="21" t="s">
        <v>48</v>
      </c>
      <c r="F21" s="21" t="s">
        <v>49</v>
      </c>
      <c r="G21" s="14" t="s">
        <v>50</v>
      </c>
      <c r="H21" s="14" t="str">
        <f>C11</f>
        <v>Chief</v>
      </c>
      <c r="I21" s="14" t="str">
        <f>C12</f>
        <v>Braves (¾)</v>
      </c>
      <c r="J21" s="14" t="str">
        <f>C13</f>
        <v>Shaman</v>
      </c>
      <c r="K21" s="14" t="str">
        <f>C14</f>
        <v>forest goblins</v>
      </c>
      <c r="L21" s="14" t="str">
        <f>C15</f>
        <v>Shootaz (5)</v>
      </c>
      <c r="M21" s="14" t="str">
        <f>C16</f>
        <v>red toof goblinz (5)</v>
      </c>
      <c r="N21" s="14" t="s">
        <v>51</v>
      </c>
      <c r="O21" s="14" t="s">
        <v>52</v>
      </c>
      <c r="P21" s="14" t="s">
        <v>53</v>
      </c>
      <c r="Q21" s="14" t="s">
        <v>54</v>
      </c>
    </row>
    <row r="22" spans="2:17" x14ac:dyDescent="0.2">
      <c r="B22" t="s">
        <v>55</v>
      </c>
      <c r="C22" t="s">
        <v>56</v>
      </c>
      <c r="E22" s="22" t="s">
        <v>57</v>
      </c>
      <c r="F22" s="1" t="s">
        <v>58</v>
      </c>
      <c r="G22">
        <v>0</v>
      </c>
      <c r="H22">
        <f>E11</f>
        <v>1</v>
      </c>
      <c r="I22">
        <f>E12</f>
        <v>0</v>
      </c>
      <c r="J22">
        <f>E13</f>
        <v>1</v>
      </c>
      <c r="K22">
        <f>E14</f>
        <v>0</v>
      </c>
      <c r="L22">
        <f>E15</f>
        <v>1</v>
      </c>
      <c r="M22">
        <f>E16</f>
        <v>0</v>
      </c>
      <c r="N22">
        <f t="shared" ref="N22:N40" si="1">SUM(H22:M22)*G22</f>
        <v>0</v>
      </c>
      <c r="O22" s="1" t="s">
        <v>59</v>
      </c>
      <c r="P22">
        <v>1</v>
      </c>
      <c r="Q22" s="1">
        <f t="shared" ref="Q22:Q40" si="2">P22*SUM(H22:M22)</f>
        <v>3</v>
      </c>
    </row>
    <row r="23" spans="2:17" x14ac:dyDescent="0.2">
      <c r="B23" t="s">
        <v>60</v>
      </c>
      <c r="C23" t="s">
        <v>56</v>
      </c>
      <c r="E23" s="22" t="s">
        <v>57</v>
      </c>
      <c r="F23" s="1" t="s">
        <v>58</v>
      </c>
      <c r="G23">
        <v>2</v>
      </c>
      <c r="H23">
        <v>0</v>
      </c>
      <c r="I23">
        <v>0</v>
      </c>
      <c r="J23">
        <v>0</v>
      </c>
      <c r="K23">
        <f>K22</f>
        <v>0</v>
      </c>
      <c r="L23">
        <f>E15</f>
        <v>1</v>
      </c>
      <c r="M23">
        <v>0</v>
      </c>
      <c r="N23">
        <f t="shared" si="1"/>
        <v>2</v>
      </c>
      <c r="O23" s="1" t="s">
        <v>59</v>
      </c>
      <c r="P23">
        <v>1</v>
      </c>
      <c r="Q23" s="1">
        <f t="shared" si="2"/>
        <v>1</v>
      </c>
    </row>
    <row r="24" spans="2:17" x14ac:dyDescent="0.2">
      <c r="B24" t="s">
        <v>61</v>
      </c>
      <c r="C24" t="s">
        <v>56</v>
      </c>
      <c r="E24" s="22" t="s">
        <v>57</v>
      </c>
      <c r="F24" s="1" t="s">
        <v>62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1"/>
        <v>0</v>
      </c>
      <c r="O24" s="1" t="s">
        <v>59</v>
      </c>
      <c r="P24">
        <v>3</v>
      </c>
      <c r="Q24" s="1">
        <f t="shared" si="2"/>
        <v>0</v>
      </c>
    </row>
    <row r="25" spans="2:17" x14ac:dyDescent="0.2">
      <c r="B25" t="s">
        <v>63</v>
      </c>
      <c r="C25" s="1" t="s">
        <v>56</v>
      </c>
      <c r="E25" s="22" t="s">
        <v>57</v>
      </c>
      <c r="F25" s="1" t="s">
        <v>64</v>
      </c>
      <c r="G25">
        <v>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1"/>
        <v>0</v>
      </c>
      <c r="O25" s="1" t="s">
        <v>65</v>
      </c>
      <c r="P25">
        <v>4</v>
      </c>
      <c r="Q25" s="1">
        <f t="shared" si="2"/>
        <v>0</v>
      </c>
    </row>
    <row r="26" spans="2:17" x14ac:dyDescent="0.2">
      <c r="B26" t="s">
        <v>66</v>
      </c>
      <c r="C26" s="1" t="s">
        <v>56</v>
      </c>
      <c r="E26" s="22" t="s">
        <v>57</v>
      </c>
      <c r="F26" s="1" t="s">
        <v>67</v>
      </c>
      <c r="G26">
        <v>5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1"/>
        <v>5</v>
      </c>
      <c r="O26" s="1" t="s">
        <v>59</v>
      </c>
      <c r="P26">
        <v>4</v>
      </c>
      <c r="Q26" s="1">
        <f t="shared" si="2"/>
        <v>4</v>
      </c>
    </row>
    <row r="27" spans="2:17" x14ac:dyDescent="0.2">
      <c r="B27" t="s">
        <v>68</v>
      </c>
      <c r="C27" s="1" t="s">
        <v>56</v>
      </c>
      <c r="E27" s="22" t="s">
        <v>57</v>
      </c>
      <c r="F27" s="1" t="s">
        <v>69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1"/>
        <v>0</v>
      </c>
      <c r="O27" s="1" t="s">
        <v>59</v>
      </c>
      <c r="P27">
        <v>4</v>
      </c>
      <c r="Q27" s="1">
        <f t="shared" si="2"/>
        <v>0</v>
      </c>
    </row>
    <row r="28" spans="2:17" x14ac:dyDescent="0.2">
      <c r="B28" t="s">
        <v>70</v>
      </c>
      <c r="C28" s="1" t="s">
        <v>56</v>
      </c>
      <c r="E28" s="22" t="s">
        <v>71</v>
      </c>
      <c r="F28" s="1" t="s">
        <v>72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>
        <f>0</f>
        <v>0</v>
      </c>
      <c r="N28">
        <f t="shared" si="1"/>
        <v>0</v>
      </c>
      <c r="O28" s="1" t="s">
        <v>65</v>
      </c>
      <c r="P28">
        <v>4</v>
      </c>
      <c r="Q28" s="1">
        <f t="shared" si="2"/>
        <v>0</v>
      </c>
    </row>
    <row r="29" spans="2:17" x14ac:dyDescent="0.2">
      <c r="B29" t="s">
        <v>73</v>
      </c>
      <c r="C29" s="1" t="s">
        <v>56</v>
      </c>
      <c r="E29" s="22" t="s">
        <v>74</v>
      </c>
      <c r="F29" s="1" t="s">
        <v>75</v>
      </c>
      <c r="G29">
        <v>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1"/>
        <v>0</v>
      </c>
      <c r="O29" s="1" t="s">
        <v>65</v>
      </c>
      <c r="P29">
        <v>4</v>
      </c>
      <c r="Q29" s="1">
        <f t="shared" si="2"/>
        <v>0</v>
      </c>
    </row>
    <row r="30" spans="2:17" x14ac:dyDescent="0.2">
      <c r="B30" t="s">
        <v>76</v>
      </c>
      <c r="C30" s="1" t="s">
        <v>56</v>
      </c>
      <c r="E30" s="22"/>
      <c r="F30" s="1" t="s">
        <v>77</v>
      </c>
      <c r="G30">
        <v>20</v>
      </c>
      <c r="H30">
        <v>0</v>
      </c>
      <c r="I30">
        <v>0</v>
      </c>
      <c r="J30">
        <f>E13</f>
        <v>1</v>
      </c>
      <c r="K30">
        <v>0</v>
      </c>
      <c r="L30">
        <v>0</v>
      </c>
      <c r="M30">
        <v>0</v>
      </c>
      <c r="N30">
        <f t="shared" si="1"/>
        <v>20</v>
      </c>
      <c r="O30" s="1" t="s">
        <v>65</v>
      </c>
      <c r="P30">
        <v>5</v>
      </c>
      <c r="Q30" s="1">
        <f t="shared" si="2"/>
        <v>5</v>
      </c>
    </row>
    <row r="31" spans="2:17" x14ac:dyDescent="0.2">
      <c r="B31" t="s">
        <v>78</v>
      </c>
      <c r="C31" s="1" t="s">
        <v>56</v>
      </c>
      <c r="E31" s="22" t="s">
        <v>57</v>
      </c>
      <c r="F31" s="1"/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f>M22</f>
        <v>0</v>
      </c>
      <c r="N31">
        <f t="shared" si="1"/>
        <v>0</v>
      </c>
      <c r="O31" s="1" t="s">
        <v>65</v>
      </c>
      <c r="P31">
        <v>2</v>
      </c>
      <c r="Q31" s="1">
        <f t="shared" si="2"/>
        <v>0</v>
      </c>
    </row>
    <row r="32" spans="2:17" x14ac:dyDescent="0.2">
      <c r="B32" t="s">
        <v>79</v>
      </c>
      <c r="C32" t="s">
        <v>80</v>
      </c>
      <c r="D32">
        <v>16</v>
      </c>
      <c r="E32" s="22" t="s">
        <v>81</v>
      </c>
      <c r="F32" s="1"/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1"/>
        <v>0</v>
      </c>
      <c r="O32" s="1" t="s">
        <v>59</v>
      </c>
      <c r="P32">
        <v>3</v>
      </c>
      <c r="Q32" s="1">
        <f t="shared" si="2"/>
        <v>0</v>
      </c>
    </row>
    <row r="33" spans="2:17" x14ac:dyDescent="0.2">
      <c r="B33" t="s">
        <v>82</v>
      </c>
      <c r="C33" t="s">
        <v>80</v>
      </c>
      <c r="E33" s="22"/>
      <c r="F33" s="1" t="s">
        <v>83</v>
      </c>
      <c r="G33">
        <v>25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1"/>
        <v>0</v>
      </c>
      <c r="O33" s="1" t="s">
        <v>65</v>
      </c>
      <c r="P33">
        <v>3</v>
      </c>
      <c r="Q33" s="1">
        <f t="shared" si="2"/>
        <v>0</v>
      </c>
    </row>
    <row r="34" spans="2:17" x14ac:dyDescent="0.2">
      <c r="B34" t="s">
        <v>84</v>
      </c>
      <c r="C34" t="s">
        <v>85</v>
      </c>
      <c r="E34" s="22"/>
      <c r="F34" s="1" t="s">
        <v>86</v>
      </c>
      <c r="G34">
        <v>5</v>
      </c>
      <c r="H34">
        <v>1</v>
      </c>
      <c r="I34">
        <f>'Hired swords'!B18</f>
        <v>0</v>
      </c>
      <c r="J34">
        <v>0</v>
      </c>
      <c r="K34">
        <v>0</v>
      </c>
      <c r="L34">
        <v>0</v>
      </c>
      <c r="M34">
        <v>0</v>
      </c>
      <c r="N34">
        <f t="shared" si="1"/>
        <v>5</v>
      </c>
      <c r="O34" s="1" t="s">
        <v>59</v>
      </c>
      <c r="P34">
        <v>1</v>
      </c>
      <c r="Q34" s="1">
        <f t="shared" si="2"/>
        <v>1</v>
      </c>
    </row>
    <row r="35" spans="2:17" x14ac:dyDescent="0.2">
      <c r="B35" t="s">
        <v>87</v>
      </c>
      <c r="C35" t="s">
        <v>85</v>
      </c>
      <c r="E35" s="22"/>
      <c r="F35" s="1" t="s">
        <v>88</v>
      </c>
      <c r="G35">
        <v>20</v>
      </c>
      <c r="H35">
        <v>1</v>
      </c>
      <c r="I35">
        <f>'Hired swords'!B18</f>
        <v>0</v>
      </c>
      <c r="J35">
        <v>0</v>
      </c>
      <c r="K35">
        <v>0</v>
      </c>
      <c r="L35">
        <v>0</v>
      </c>
      <c r="M35">
        <v>0</v>
      </c>
      <c r="N35">
        <f t="shared" si="1"/>
        <v>20</v>
      </c>
      <c r="O35" s="1" t="s">
        <v>65</v>
      </c>
      <c r="P35">
        <v>2</v>
      </c>
      <c r="Q35" s="1">
        <f t="shared" si="2"/>
        <v>2</v>
      </c>
    </row>
    <row r="36" spans="2:17" x14ac:dyDescent="0.2">
      <c r="B36" s="18" t="s">
        <v>89</v>
      </c>
      <c r="C36" s="18" t="s">
        <v>90</v>
      </c>
      <c r="D36" s="18"/>
      <c r="E36" s="23"/>
      <c r="F36" s="18" t="s">
        <v>91</v>
      </c>
      <c r="G36">
        <v>25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1"/>
        <v>0</v>
      </c>
      <c r="O36" s="1" t="s">
        <v>59</v>
      </c>
      <c r="P36">
        <v>3</v>
      </c>
      <c r="Q36" s="1">
        <f t="shared" si="2"/>
        <v>0</v>
      </c>
    </row>
    <row r="37" spans="2:17" x14ac:dyDescent="0.2">
      <c r="B37" t="s">
        <v>92</v>
      </c>
      <c r="C37" t="s">
        <v>93</v>
      </c>
      <c r="F37" s="22" t="s">
        <v>94</v>
      </c>
      <c r="G37">
        <v>40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1"/>
        <v>0</v>
      </c>
      <c r="O37" s="1" t="s">
        <v>65</v>
      </c>
      <c r="P37">
        <v>2</v>
      </c>
      <c r="Q37" s="1">
        <f t="shared" si="2"/>
        <v>0</v>
      </c>
    </row>
    <row r="38" spans="2:17" x14ac:dyDescent="0.2">
      <c r="B38" t="s">
        <v>95</v>
      </c>
      <c r="C38" s="18" t="s">
        <v>96</v>
      </c>
      <c r="D38" s="18"/>
      <c r="E38" s="23" t="s">
        <v>97</v>
      </c>
      <c r="F38" s="18" t="s">
        <v>98</v>
      </c>
      <c r="G38">
        <v>45</v>
      </c>
      <c r="H38">
        <v>1</v>
      </c>
      <c r="I38">
        <f>'Hired swords'!B18</f>
        <v>0</v>
      </c>
      <c r="J38">
        <f>E13</f>
        <v>1</v>
      </c>
      <c r="K38">
        <v>0</v>
      </c>
      <c r="L38">
        <v>0</v>
      </c>
      <c r="M38">
        <v>0</v>
      </c>
      <c r="N38">
        <f t="shared" si="1"/>
        <v>90</v>
      </c>
      <c r="O38" s="1" t="s">
        <v>65</v>
      </c>
      <c r="P38">
        <v>5</v>
      </c>
      <c r="Q38" s="1">
        <f t="shared" si="2"/>
        <v>10</v>
      </c>
    </row>
    <row r="39" spans="2:17" x14ac:dyDescent="0.2">
      <c r="B39" s="18" t="s">
        <v>99</v>
      </c>
      <c r="C39" s="18" t="s">
        <v>93</v>
      </c>
      <c r="D39" s="18"/>
      <c r="E39" s="23"/>
      <c r="F39" s="18" t="s">
        <v>100</v>
      </c>
      <c r="G39">
        <v>50</v>
      </c>
      <c r="H39">
        <v>0</v>
      </c>
      <c r="I39">
        <v>0</v>
      </c>
      <c r="J39">
        <f>E13</f>
        <v>1</v>
      </c>
      <c r="K39">
        <v>0</v>
      </c>
      <c r="L39">
        <v>0</v>
      </c>
      <c r="M39">
        <v>0</v>
      </c>
      <c r="N39">
        <f t="shared" si="1"/>
        <v>50</v>
      </c>
      <c r="O39" s="1" t="s">
        <v>33</v>
      </c>
      <c r="P39">
        <v>2</v>
      </c>
      <c r="Q39" s="1">
        <f t="shared" si="2"/>
        <v>2</v>
      </c>
    </row>
    <row r="40" spans="2:17" x14ac:dyDescent="0.2">
      <c r="B40" s="18" t="s">
        <v>101</v>
      </c>
      <c r="C40" s="18" t="s">
        <v>80</v>
      </c>
      <c r="D40" s="18">
        <v>8</v>
      </c>
      <c r="E40" s="22" t="s">
        <v>57</v>
      </c>
      <c r="F40" s="18" t="s">
        <v>102</v>
      </c>
      <c r="G40">
        <v>15</v>
      </c>
      <c r="H40">
        <v>0</v>
      </c>
      <c r="I40">
        <v>0</v>
      </c>
      <c r="J40">
        <v>0</v>
      </c>
      <c r="K40">
        <v>0</v>
      </c>
      <c r="L40">
        <f>E15</f>
        <v>1</v>
      </c>
      <c r="M40">
        <v>0</v>
      </c>
      <c r="N40">
        <f t="shared" si="1"/>
        <v>15</v>
      </c>
      <c r="O40" s="1" t="s">
        <v>36</v>
      </c>
      <c r="P40">
        <v>3</v>
      </c>
      <c r="Q40" s="1">
        <f t="shared" si="2"/>
        <v>3</v>
      </c>
    </row>
    <row r="41" spans="2:17" x14ac:dyDescent="0.2">
      <c r="E41" s="22"/>
    </row>
    <row r="42" spans="2:17" ht="15.75" x14ac:dyDescent="0.25">
      <c r="E42" s="22"/>
      <c r="H42" s="24">
        <f>H22*$G22+H23*$G23+H24*$G24+H25*$G25+H26*$G26+H27*$G27+H28*$G28+H29*$G29+H30*$G30+H31*$G31+H32*$G32+H33*$G33+H34*$G34+H35*$G35+H36*$G36+H37*$G37+H38*$G38+H39*$G39+G40*H40</f>
        <v>75</v>
      </c>
      <c r="I42" s="24">
        <f>I22*$G22+I23*$G23+I24*$G24+I25*$G25+I26*$G26+I27*$G27+I28*$G28+I29*$G29+I30*$G30+I31*$G31+I32*$G32+I33*$G33+I34*$G34+I35*$G35+I36*$G36+I37*$G37+I38*$G38+I39*$G39+G40*I40</f>
        <v>0</v>
      </c>
      <c r="J42" s="24">
        <f>J22*$G22+J23*$G23+J24*$G24+J25*$G25+J26*$G26+J27*$G27+J28*$G28+J29*$G29+J30*$G30+J31*$G31+J32*$G32+J33*$G33+J34*$G34+J35*$G35+J36*$G36+J37*$G37+J38*$G38+J39*$G39+G40*J40</f>
        <v>115</v>
      </c>
      <c r="K42" s="24">
        <f>K22*$G22+K23*$G23+K24*$G24+K25*$G25+K26*$G26+K27*$G27+K28*$G28+K29*$G29+K30*$G30+K31*$G31+K32*$G32+K33*$G33+K34*$G34+K35*$G35+K36*$G36+K37*$G37+K38*$G38+K39*$G39+G40*K40</f>
        <v>0</v>
      </c>
      <c r="L42" s="24">
        <f>L22*$G22+L23*$G23+L24*$G24+L25*$G25+L26*$G26+L27*$G27+L28*$G28+L29*$G29+L30*$G30+L31*$G31+L32*$G32+L33*$G33+L34*$G34+L35*$G35+L36*$G36+L37*$G37+L38*$G38+L39*$G39+G40*L40</f>
        <v>17</v>
      </c>
      <c r="M42" s="24">
        <f>M22*$G22+M23*$G23+M24*$G24+M25*$G25+M26*$G26+M27*$G27+M28*$G28+M29*$G29+M30*$G30+M31*$G31+M32*$G32+M33*$G33+M34*$G34+M35*$G35+M36*$G36+M37*$G37+M38*$G38+M39*$G39+G40*M40</f>
        <v>0</v>
      </c>
      <c r="N42" s="7">
        <f>SUM(N22:N40)</f>
        <v>207</v>
      </c>
      <c r="O42" s="20"/>
      <c r="P42" t="s">
        <v>103</v>
      </c>
      <c r="Q42" s="7">
        <f>SUM(Tabelle2[Warband Equip Rating])</f>
        <v>28</v>
      </c>
    </row>
    <row r="43" spans="2:17" x14ac:dyDescent="0.2">
      <c r="B43" s="18"/>
      <c r="C43" s="18"/>
      <c r="D43" s="18"/>
      <c r="E43" s="23"/>
      <c r="F43" s="18"/>
      <c r="G43" s="20"/>
      <c r="O43" s="1"/>
      <c r="P43" t="s">
        <v>104</v>
      </c>
      <c r="Q43">
        <f>SUM(Q22:Q40)-Q44</f>
        <v>26</v>
      </c>
    </row>
    <row r="44" spans="2:17" x14ac:dyDescent="0.2">
      <c r="O44" s="1"/>
      <c r="P44" t="s">
        <v>105</v>
      </c>
      <c r="Q44">
        <f>SUM(Q34:Q35)+Q38/P38+Q27</f>
        <v>5</v>
      </c>
    </row>
  </sheetData>
  <mergeCells count="6">
    <mergeCell ref="B11:B13"/>
    <mergeCell ref="I12:J12"/>
    <mergeCell ref="B14:B17"/>
    <mergeCell ref="I19:N19"/>
    <mergeCell ref="I20:K20"/>
    <mergeCell ref="L20:N20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11"/>
  <sheetViews>
    <sheetView zoomScaleNormal="100" workbookViewId="0">
      <selection activeCell="Q15" sqref="Q15"/>
    </sheetView>
  </sheetViews>
  <sheetFormatPr baseColWidth="10" defaultColWidth="9.140625" defaultRowHeight="12.75" x14ac:dyDescent="0.2"/>
  <cols>
    <col min="1" max="1" width="2.5703125" customWidth="1"/>
    <col min="2" max="2" width="6" customWidth="1"/>
    <col min="3" max="11" width="8.140625" customWidth="1"/>
    <col min="12" max="21" width="9" customWidth="1"/>
    <col min="22" max="1025" width="11.5703125"/>
  </cols>
  <sheetData>
    <row r="2" spans="1:21" x14ac:dyDescent="0.2">
      <c r="C2" s="4" t="s">
        <v>106</v>
      </c>
      <c r="D2" s="4" t="s">
        <v>107</v>
      </c>
      <c r="E2" s="4" t="s">
        <v>108</v>
      </c>
      <c r="F2" s="4" t="s">
        <v>109</v>
      </c>
      <c r="G2" s="4" t="s">
        <v>110</v>
      </c>
      <c r="H2" s="4" t="s">
        <v>111</v>
      </c>
      <c r="I2" s="4" t="s">
        <v>112</v>
      </c>
      <c r="J2" s="4" t="s">
        <v>113</v>
      </c>
      <c r="K2" s="4" t="s">
        <v>114</v>
      </c>
      <c r="L2" s="4" t="s">
        <v>115</v>
      </c>
      <c r="M2" s="4" t="s">
        <v>116</v>
      </c>
      <c r="N2" s="4" t="s">
        <v>117</v>
      </c>
      <c r="O2" s="4" t="s">
        <v>118</v>
      </c>
      <c r="P2" s="4" t="s">
        <v>119</v>
      </c>
      <c r="Q2" s="4" t="s">
        <v>120</v>
      </c>
      <c r="R2" s="4" t="s">
        <v>121</v>
      </c>
      <c r="S2" s="4" t="s">
        <v>122</v>
      </c>
      <c r="T2" s="4" t="s">
        <v>123</v>
      </c>
      <c r="U2" s="4" t="s">
        <v>124</v>
      </c>
    </row>
    <row r="3" spans="1:21" x14ac:dyDescent="0.2">
      <c r="C3">
        <f>'cost calculation'!K13</f>
        <v>193</v>
      </c>
      <c r="D3">
        <f t="shared" ref="D3:U3" si="0">C3+15</f>
        <v>208</v>
      </c>
      <c r="E3">
        <f t="shared" si="0"/>
        <v>223</v>
      </c>
      <c r="F3">
        <f t="shared" si="0"/>
        <v>238</v>
      </c>
      <c r="G3">
        <f t="shared" si="0"/>
        <v>253</v>
      </c>
      <c r="H3">
        <f t="shared" si="0"/>
        <v>268</v>
      </c>
      <c r="I3">
        <f t="shared" si="0"/>
        <v>283</v>
      </c>
      <c r="J3">
        <f t="shared" si="0"/>
        <v>298</v>
      </c>
      <c r="K3">
        <f t="shared" si="0"/>
        <v>313</v>
      </c>
      <c r="L3">
        <f t="shared" si="0"/>
        <v>328</v>
      </c>
      <c r="M3">
        <f t="shared" si="0"/>
        <v>343</v>
      </c>
      <c r="N3">
        <f t="shared" si="0"/>
        <v>358</v>
      </c>
      <c r="O3">
        <f t="shared" si="0"/>
        <v>373</v>
      </c>
      <c r="P3">
        <f t="shared" si="0"/>
        <v>388</v>
      </c>
      <c r="Q3">
        <f t="shared" si="0"/>
        <v>403</v>
      </c>
      <c r="R3">
        <f t="shared" si="0"/>
        <v>418</v>
      </c>
      <c r="S3">
        <f t="shared" si="0"/>
        <v>433</v>
      </c>
      <c r="T3">
        <f t="shared" si="0"/>
        <v>448</v>
      </c>
      <c r="U3">
        <f t="shared" si="0"/>
        <v>463</v>
      </c>
    </row>
    <row r="4" spans="1:21" ht="15" x14ac:dyDescent="0.2">
      <c r="C4" s="25">
        <f t="shared" ref="C4:U4" si="1">IF(B10&lt;C3,$A10,IF(B9&lt;C3,$A9,IF(B8&lt;C3,$A8,IF(B7&lt;C3,$A7,IF(B6&lt;C3,$A6,1)))))</f>
        <v>5</v>
      </c>
      <c r="D4" s="25">
        <f t="shared" si="1"/>
        <v>5</v>
      </c>
      <c r="E4" s="25">
        <f t="shared" si="1"/>
        <v>5</v>
      </c>
      <c r="F4" s="25">
        <f t="shared" si="1"/>
        <v>4</v>
      </c>
      <c r="G4" s="25">
        <f t="shared" si="1"/>
        <v>4</v>
      </c>
      <c r="H4" s="25">
        <f t="shared" si="1"/>
        <v>4</v>
      </c>
      <c r="I4" s="25">
        <f t="shared" si="1"/>
        <v>4</v>
      </c>
      <c r="J4" s="25">
        <f t="shared" si="1"/>
        <v>3</v>
      </c>
      <c r="K4" s="25">
        <f t="shared" si="1"/>
        <v>3</v>
      </c>
      <c r="L4" s="25">
        <f t="shared" si="1"/>
        <v>3</v>
      </c>
      <c r="M4" s="25">
        <f t="shared" si="1"/>
        <v>3</v>
      </c>
      <c r="N4" s="25">
        <f t="shared" si="1"/>
        <v>3</v>
      </c>
      <c r="O4" s="25">
        <f t="shared" si="1"/>
        <v>3</v>
      </c>
      <c r="P4" s="25">
        <f t="shared" si="1"/>
        <v>3</v>
      </c>
      <c r="Q4" s="25">
        <f t="shared" si="1"/>
        <v>3</v>
      </c>
      <c r="R4" s="25">
        <f t="shared" si="1"/>
        <v>3</v>
      </c>
      <c r="S4" s="25">
        <f t="shared" si="1"/>
        <v>3</v>
      </c>
      <c r="T4" s="25">
        <f t="shared" si="1"/>
        <v>3</v>
      </c>
      <c r="U4" s="25">
        <f t="shared" si="1"/>
        <v>3</v>
      </c>
    </row>
    <row r="5" spans="1:21" x14ac:dyDescent="0.2">
      <c r="B5">
        <f>'cost calculation'!J6</f>
        <v>58</v>
      </c>
      <c r="C5">
        <f t="shared" ref="C5:U5" si="2">B5+3*C4</f>
        <v>73</v>
      </c>
      <c r="D5">
        <f t="shared" si="2"/>
        <v>88</v>
      </c>
      <c r="E5">
        <f t="shared" si="2"/>
        <v>103</v>
      </c>
      <c r="F5">
        <f t="shared" si="2"/>
        <v>115</v>
      </c>
      <c r="G5">
        <f t="shared" si="2"/>
        <v>127</v>
      </c>
      <c r="H5">
        <f t="shared" si="2"/>
        <v>139</v>
      </c>
      <c r="I5">
        <f t="shared" si="2"/>
        <v>151</v>
      </c>
      <c r="J5">
        <f t="shared" si="2"/>
        <v>160</v>
      </c>
      <c r="K5">
        <f t="shared" si="2"/>
        <v>169</v>
      </c>
      <c r="L5">
        <f t="shared" si="2"/>
        <v>178</v>
      </c>
      <c r="M5">
        <f t="shared" si="2"/>
        <v>187</v>
      </c>
      <c r="N5">
        <f t="shared" si="2"/>
        <v>196</v>
      </c>
      <c r="O5">
        <f t="shared" si="2"/>
        <v>205</v>
      </c>
      <c r="P5">
        <f t="shared" si="2"/>
        <v>214</v>
      </c>
      <c r="Q5">
        <f t="shared" si="2"/>
        <v>223</v>
      </c>
      <c r="R5">
        <f t="shared" si="2"/>
        <v>232</v>
      </c>
      <c r="S5">
        <f t="shared" si="2"/>
        <v>241</v>
      </c>
      <c r="T5">
        <f t="shared" si="2"/>
        <v>250</v>
      </c>
      <c r="U5">
        <f t="shared" si="2"/>
        <v>259</v>
      </c>
    </row>
    <row r="6" spans="1:21" x14ac:dyDescent="0.2">
      <c r="A6">
        <v>2</v>
      </c>
      <c r="B6">
        <f t="shared" ref="B6:U6" si="3">B$5+B$5*50%</f>
        <v>87</v>
      </c>
      <c r="C6">
        <f t="shared" si="3"/>
        <v>109.5</v>
      </c>
      <c r="D6">
        <f t="shared" si="3"/>
        <v>132</v>
      </c>
      <c r="E6">
        <f t="shared" si="3"/>
        <v>154.5</v>
      </c>
      <c r="F6">
        <f t="shared" si="3"/>
        <v>172.5</v>
      </c>
      <c r="G6">
        <f t="shared" si="3"/>
        <v>190.5</v>
      </c>
      <c r="H6">
        <f t="shared" si="3"/>
        <v>208.5</v>
      </c>
      <c r="I6">
        <f t="shared" si="3"/>
        <v>226.5</v>
      </c>
      <c r="J6">
        <f t="shared" si="3"/>
        <v>240</v>
      </c>
      <c r="K6">
        <f t="shared" si="3"/>
        <v>253.5</v>
      </c>
      <c r="L6">
        <f t="shared" si="3"/>
        <v>267</v>
      </c>
      <c r="M6">
        <f t="shared" si="3"/>
        <v>280.5</v>
      </c>
      <c r="N6">
        <f t="shared" si="3"/>
        <v>294</v>
      </c>
      <c r="O6">
        <f t="shared" si="3"/>
        <v>307.5</v>
      </c>
      <c r="P6">
        <f t="shared" si="3"/>
        <v>321</v>
      </c>
      <c r="Q6">
        <f t="shared" si="3"/>
        <v>334.5</v>
      </c>
      <c r="R6">
        <f t="shared" si="3"/>
        <v>348</v>
      </c>
      <c r="S6">
        <f t="shared" si="3"/>
        <v>361.5</v>
      </c>
      <c r="T6">
        <f t="shared" si="3"/>
        <v>375</v>
      </c>
      <c r="U6">
        <f t="shared" si="3"/>
        <v>388.5</v>
      </c>
    </row>
    <row r="7" spans="1:21" x14ac:dyDescent="0.2">
      <c r="A7">
        <v>3</v>
      </c>
      <c r="B7">
        <f t="shared" ref="B7:U7" si="4">B$5+B$5*75%</f>
        <v>101.5</v>
      </c>
      <c r="C7">
        <f t="shared" si="4"/>
        <v>127.75</v>
      </c>
      <c r="D7">
        <f t="shared" si="4"/>
        <v>154</v>
      </c>
      <c r="E7">
        <f t="shared" si="4"/>
        <v>180.25</v>
      </c>
      <c r="F7">
        <f t="shared" si="4"/>
        <v>201.25</v>
      </c>
      <c r="G7">
        <f t="shared" si="4"/>
        <v>222.25</v>
      </c>
      <c r="H7">
        <f t="shared" si="4"/>
        <v>243.25</v>
      </c>
      <c r="I7">
        <f t="shared" si="4"/>
        <v>264.25</v>
      </c>
      <c r="J7">
        <f t="shared" si="4"/>
        <v>280</v>
      </c>
      <c r="K7">
        <f t="shared" si="4"/>
        <v>295.75</v>
      </c>
      <c r="L7">
        <f t="shared" si="4"/>
        <v>311.5</v>
      </c>
      <c r="M7">
        <f t="shared" si="4"/>
        <v>327.25</v>
      </c>
      <c r="N7">
        <f t="shared" si="4"/>
        <v>343</v>
      </c>
      <c r="O7">
        <f t="shared" si="4"/>
        <v>358.75</v>
      </c>
      <c r="P7">
        <f t="shared" si="4"/>
        <v>374.5</v>
      </c>
      <c r="Q7">
        <f t="shared" si="4"/>
        <v>390.25</v>
      </c>
      <c r="R7">
        <f t="shared" si="4"/>
        <v>406</v>
      </c>
      <c r="S7">
        <f t="shared" si="4"/>
        <v>421.75</v>
      </c>
      <c r="T7">
        <f t="shared" si="4"/>
        <v>437.5</v>
      </c>
      <c r="U7">
        <f t="shared" si="4"/>
        <v>453.25</v>
      </c>
    </row>
    <row r="8" spans="1:21" x14ac:dyDescent="0.2">
      <c r="A8">
        <v>4</v>
      </c>
      <c r="B8">
        <f t="shared" ref="B8:U8" si="5">B$5+B$5*100%</f>
        <v>116</v>
      </c>
      <c r="C8">
        <f t="shared" si="5"/>
        <v>146</v>
      </c>
      <c r="D8">
        <f t="shared" si="5"/>
        <v>176</v>
      </c>
      <c r="E8">
        <f t="shared" si="5"/>
        <v>206</v>
      </c>
      <c r="F8">
        <f t="shared" si="5"/>
        <v>230</v>
      </c>
      <c r="G8">
        <f t="shared" si="5"/>
        <v>254</v>
      </c>
      <c r="H8">
        <f t="shared" si="5"/>
        <v>278</v>
      </c>
      <c r="I8">
        <f t="shared" si="5"/>
        <v>302</v>
      </c>
      <c r="J8">
        <f t="shared" si="5"/>
        <v>320</v>
      </c>
      <c r="K8">
        <f t="shared" si="5"/>
        <v>338</v>
      </c>
      <c r="L8">
        <f t="shared" si="5"/>
        <v>356</v>
      </c>
      <c r="M8">
        <f t="shared" si="5"/>
        <v>374</v>
      </c>
      <c r="N8">
        <f t="shared" si="5"/>
        <v>392</v>
      </c>
      <c r="O8">
        <f t="shared" si="5"/>
        <v>410</v>
      </c>
      <c r="P8">
        <f t="shared" si="5"/>
        <v>428</v>
      </c>
      <c r="Q8">
        <f t="shared" si="5"/>
        <v>446</v>
      </c>
      <c r="R8">
        <f t="shared" si="5"/>
        <v>464</v>
      </c>
      <c r="S8">
        <f t="shared" si="5"/>
        <v>482</v>
      </c>
      <c r="T8">
        <f t="shared" si="5"/>
        <v>500</v>
      </c>
      <c r="U8">
        <f t="shared" si="5"/>
        <v>518</v>
      </c>
    </row>
    <row r="9" spans="1:21" x14ac:dyDescent="0.2">
      <c r="A9">
        <v>5</v>
      </c>
      <c r="B9">
        <f t="shared" ref="B9:U9" si="6">B$5+B$5*150%</f>
        <v>145</v>
      </c>
      <c r="C9">
        <f t="shared" si="6"/>
        <v>182.5</v>
      </c>
      <c r="D9">
        <f t="shared" si="6"/>
        <v>220</v>
      </c>
      <c r="E9">
        <f t="shared" si="6"/>
        <v>257.5</v>
      </c>
      <c r="F9">
        <f t="shared" si="6"/>
        <v>287.5</v>
      </c>
      <c r="G9">
        <f t="shared" si="6"/>
        <v>317.5</v>
      </c>
      <c r="H9">
        <f t="shared" si="6"/>
        <v>347.5</v>
      </c>
      <c r="I9">
        <f t="shared" si="6"/>
        <v>377.5</v>
      </c>
      <c r="J9">
        <f t="shared" si="6"/>
        <v>400</v>
      </c>
      <c r="K9">
        <f t="shared" si="6"/>
        <v>422.5</v>
      </c>
      <c r="L9">
        <f t="shared" si="6"/>
        <v>445</v>
      </c>
      <c r="M9">
        <f t="shared" si="6"/>
        <v>467.5</v>
      </c>
      <c r="N9">
        <f t="shared" si="6"/>
        <v>490</v>
      </c>
      <c r="O9">
        <f t="shared" si="6"/>
        <v>512.5</v>
      </c>
      <c r="P9">
        <f t="shared" si="6"/>
        <v>535</v>
      </c>
      <c r="Q9">
        <f t="shared" si="6"/>
        <v>557.5</v>
      </c>
      <c r="R9">
        <f t="shared" si="6"/>
        <v>580</v>
      </c>
      <c r="S9">
        <f t="shared" si="6"/>
        <v>602.5</v>
      </c>
      <c r="T9">
        <f t="shared" si="6"/>
        <v>625</v>
      </c>
      <c r="U9">
        <f t="shared" si="6"/>
        <v>647.5</v>
      </c>
    </row>
    <row r="10" spans="1:21" x14ac:dyDescent="0.2">
      <c r="A10">
        <v>6</v>
      </c>
      <c r="B10">
        <f t="shared" ref="B10:U10" si="7">B$5+B$5*300%</f>
        <v>232</v>
      </c>
      <c r="C10">
        <f t="shared" si="7"/>
        <v>292</v>
      </c>
      <c r="D10">
        <f t="shared" si="7"/>
        <v>352</v>
      </c>
      <c r="E10">
        <f t="shared" si="7"/>
        <v>412</v>
      </c>
      <c r="F10">
        <f t="shared" si="7"/>
        <v>460</v>
      </c>
      <c r="G10">
        <f t="shared" si="7"/>
        <v>508</v>
      </c>
      <c r="H10">
        <f t="shared" si="7"/>
        <v>556</v>
      </c>
      <c r="I10">
        <f t="shared" si="7"/>
        <v>604</v>
      </c>
      <c r="J10">
        <f t="shared" si="7"/>
        <v>640</v>
      </c>
      <c r="K10">
        <f t="shared" si="7"/>
        <v>676</v>
      </c>
      <c r="L10">
        <f t="shared" si="7"/>
        <v>712</v>
      </c>
      <c r="M10">
        <f t="shared" si="7"/>
        <v>748</v>
      </c>
      <c r="N10">
        <f t="shared" si="7"/>
        <v>784</v>
      </c>
      <c r="O10">
        <f t="shared" si="7"/>
        <v>820</v>
      </c>
      <c r="P10">
        <f t="shared" si="7"/>
        <v>856</v>
      </c>
      <c r="Q10">
        <f t="shared" si="7"/>
        <v>892</v>
      </c>
      <c r="R10">
        <f t="shared" si="7"/>
        <v>928</v>
      </c>
      <c r="S10">
        <f t="shared" si="7"/>
        <v>964</v>
      </c>
      <c r="T10">
        <f t="shared" si="7"/>
        <v>1000</v>
      </c>
      <c r="U10">
        <f t="shared" si="7"/>
        <v>1036</v>
      </c>
    </row>
    <row r="11" spans="1:21" ht="15" x14ac:dyDescent="0.2">
      <c r="C11" s="25">
        <f>C4*'cost calculation'!$E18</f>
        <v>15</v>
      </c>
      <c r="D11" s="25">
        <f>D4*'cost calculation'!$E18</f>
        <v>15</v>
      </c>
      <c r="E11" s="25">
        <f>E4*'cost calculation'!$E18</f>
        <v>15</v>
      </c>
      <c r="F11" s="25">
        <f>F4*'cost calculation'!$E18</f>
        <v>12</v>
      </c>
      <c r="G11" s="25">
        <f>G4*'cost calculation'!$E18</f>
        <v>12</v>
      </c>
      <c r="H11" s="25">
        <f>H4*'cost calculation'!$E18</f>
        <v>12</v>
      </c>
      <c r="I11" s="25">
        <f>I4*'cost calculation'!$E18</f>
        <v>12</v>
      </c>
      <c r="J11" s="25">
        <f>J4*'cost calculation'!$E18</f>
        <v>9</v>
      </c>
      <c r="K11" s="25">
        <f>K4*'cost calculation'!$E18</f>
        <v>9</v>
      </c>
      <c r="L11" s="25">
        <f>L4*'cost calculation'!$E18</f>
        <v>9</v>
      </c>
      <c r="M11" s="25">
        <f>M4*'cost calculation'!$E18</f>
        <v>9</v>
      </c>
      <c r="N11" s="25">
        <f>N4*'cost calculation'!$E18</f>
        <v>9</v>
      </c>
      <c r="O11" s="25">
        <f>O4*'cost calculation'!$E18</f>
        <v>9</v>
      </c>
      <c r="P11" s="25">
        <f>P4*'cost calculation'!$E18</f>
        <v>9</v>
      </c>
      <c r="Q11" s="25">
        <f>Q4*'cost calculation'!$E18</f>
        <v>9</v>
      </c>
      <c r="R11" s="25">
        <f>R4*'cost calculation'!$E18</f>
        <v>9</v>
      </c>
      <c r="S11" s="25">
        <f>S4*'cost calculation'!$E18</f>
        <v>9</v>
      </c>
      <c r="T11" s="25">
        <f>T4*'cost calculation'!$E18</f>
        <v>9</v>
      </c>
      <c r="U11" s="25">
        <f>U4*'cost calculation'!$E18</f>
        <v>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19"/>
  <sheetViews>
    <sheetView zoomScale="70" zoomScaleNormal="70" workbookViewId="0">
      <selection activeCell="B19" sqref="B19"/>
    </sheetView>
  </sheetViews>
  <sheetFormatPr baseColWidth="10" defaultColWidth="9.140625" defaultRowHeight="12.75" x14ac:dyDescent="0.2"/>
  <cols>
    <col min="1" max="1" width="10.7109375" customWidth="1"/>
    <col min="2" max="2" width="10.42578125" customWidth="1"/>
    <col min="3" max="3" width="24.140625" customWidth="1"/>
    <col min="4" max="4" width="7.5703125" customWidth="1"/>
    <col min="5" max="5" width="10.28515625" customWidth="1"/>
    <col min="6" max="6" width="11" customWidth="1"/>
    <col min="7" max="7" width="12.7109375" customWidth="1"/>
    <col min="8" max="8" width="15.7109375" customWidth="1"/>
    <col min="9" max="9" width="16" customWidth="1"/>
    <col min="10" max="10" width="11.5703125"/>
    <col min="11" max="11" width="14.28515625" customWidth="1"/>
    <col min="12" max="12" width="41.28515625" customWidth="1"/>
    <col min="13" max="13" width="10.42578125" customWidth="1"/>
    <col min="14" max="14" width="17.42578125" customWidth="1"/>
    <col min="15" max="15" width="10.42578125" customWidth="1"/>
    <col min="16" max="1025" width="10.7109375" customWidth="1"/>
  </cols>
  <sheetData>
    <row r="2" spans="2:15" x14ac:dyDescent="0.2">
      <c r="B2" s="4" t="s">
        <v>125</v>
      </c>
      <c r="C2" s="4" t="s">
        <v>45</v>
      </c>
      <c r="D2" s="4" t="s">
        <v>51</v>
      </c>
      <c r="E2" s="4" t="s">
        <v>126</v>
      </c>
      <c r="F2" s="4" t="s">
        <v>127</v>
      </c>
      <c r="G2" s="4" t="s">
        <v>128</v>
      </c>
      <c r="H2" s="4" t="s">
        <v>129</v>
      </c>
      <c r="I2" s="4" t="s">
        <v>130</v>
      </c>
      <c r="J2" s="4" t="s">
        <v>131</v>
      </c>
      <c r="K2" s="4" t="s">
        <v>132</v>
      </c>
      <c r="L2" s="26" t="s">
        <v>133</v>
      </c>
      <c r="M2" s="26" t="s">
        <v>134</v>
      </c>
      <c r="N2" s="27" t="s">
        <v>135</v>
      </c>
      <c r="O2" s="1" t="s">
        <v>136</v>
      </c>
    </row>
    <row r="3" spans="2:15" x14ac:dyDescent="0.2">
      <c r="B3">
        <v>0</v>
      </c>
      <c r="C3" t="s">
        <v>137</v>
      </c>
      <c r="D3">
        <v>30</v>
      </c>
      <c r="E3">
        <v>15</v>
      </c>
      <c r="F3">
        <v>25</v>
      </c>
      <c r="G3">
        <f t="shared" ref="G3:G18" si="0">D3*B3</f>
        <v>0</v>
      </c>
      <c r="H3">
        <f t="shared" ref="H3:H18" si="1">E3*B3</f>
        <v>0</v>
      </c>
      <c r="I3">
        <f t="shared" ref="I3:I18" si="2">F3*B3</f>
        <v>0</v>
      </c>
      <c r="J3" s="28">
        <f t="shared" ref="J3:J18" si="3">F3/D3</f>
        <v>0.83333333333333337</v>
      </c>
      <c r="K3" s="28">
        <f t="shared" ref="K3:K18" si="4">F3/E3</f>
        <v>1.6666666666666667</v>
      </c>
      <c r="L3" s="29" t="s">
        <v>138</v>
      </c>
      <c r="M3" s="29"/>
      <c r="N3">
        <v>3</v>
      </c>
      <c r="O3">
        <f t="shared" ref="O3:O18" si="5">N3*F3*B3</f>
        <v>0</v>
      </c>
    </row>
    <row r="4" spans="2:15" x14ac:dyDescent="0.2">
      <c r="B4">
        <v>0</v>
      </c>
      <c r="C4" t="s">
        <v>139</v>
      </c>
      <c r="D4">
        <v>30</v>
      </c>
      <c r="E4">
        <v>15</v>
      </c>
      <c r="F4">
        <v>22</v>
      </c>
      <c r="G4">
        <f t="shared" si="0"/>
        <v>0</v>
      </c>
      <c r="H4">
        <f t="shared" si="1"/>
        <v>0</v>
      </c>
      <c r="I4">
        <f t="shared" si="2"/>
        <v>0</v>
      </c>
      <c r="J4" s="28">
        <f t="shared" si="3"/>
        <v>0.73333333333333328</v>
      </c>
      <c r="K4" s="28">
        <f t="shared" si="4"/>
        <v>1.4666666666666666</v>
      </c>
      <c r="L4" s="29" t="s">
        <v>140</v>
      </c>
      <c r="M4" s="29"/>
      <c r="N4">
        <v>3</v>
      </c>
      <c r="O4">
        <f t="shared" si="5"/>
        <v>0</v>
      </c>
    </row>
    <row r="5" spans="2:15" x14ac:dyDescent="0.2">
      <c r="B5">
        <v>0</v>
      </c>
      <c r="C5" t="s">
        <v>141</v>
      </c>
      <c r="D5">
        <v>40</v>
      </c>
      <c r="E5">
        <v>15</v>
      </c>
      <c r="F5">
        <v>20</v>
      </c>
      <c r="G5">
        <f t="shared" si="0"/>
        <v>0</v>
      </c>
      <c r="H5">
        <f t="shared" si="1"/>
        <v>0</v>
      </c>
      <c r="I5">
        <f t="shared" si="2"/>
        <v>0</v>
      </c>
      <c r="J5" s="28">
        <f t="shared" si="3"/>
        <v>0.5</v>
      </c>
      <c r="K5" s="28">
        <f t="shared" si="4"/>
        <v>1.3333333333333333</v>
      </c>
      <c r="L5" s="29" t="s">
        <v>142</v>
      </c>
      <c r="M5" s="29"/>
      <c r="N5">
        <v>3</v>
      </c>
      <c r="O5">
        <f t="shared" si="5"/>
        <v>0</v>
      </c>
    </row>
    <row r="6" spans="2:15" x14ac:dyDescent="0.2">
      <c r="B6">
        <v>0</v>
      </c>
      <c r="C6" t="s">
        <v>143</v>
      </c>
      <c r="D6">
        <v>35</v>
      </c>
      <c r="E6">
        <v>15</v>
      </c>
      <c r="F6">
        <v>18</v>
      </c>
      <c r="G6">
        <f t="shared" si="0"/>
        <v>0</v>
      </c>
      <c r="H6">
        <f t="shared" si="1"/>
        <v>0</v>
      </c>
      <c r="I6">
        <f t="shared" si="2"/>
        <v>0</v>
      </c>
      <c r="J6" s="28">
        <f t="shared" si="3"/>
        <v>0.51428571428571423</v>
      </c>
      <c r="K6" s="28">
        <f t="shared" si="4"/>
        <v>1.2</v>
      </c>
      <c r="L6" s="29" t="s">
        <v>144</v>
      </c>
      <c r="M6" s="29"/>
      <c r="N6">
        <v>3</v>
      </c>
      <c r="O6">
        <f t="shared" si="5"/>
        <v>0</v>
      </c>
    </row>
    <row r="7" spans="2:15" ht="25.5" x14ac:dyDescent="0.2">
      <c r="B7">
        <v>0</v>
      </c>
      <c r="C7" t="s">
        <v>145</v>
      </c>
      <c r="D7">
        <v>90</v>
      </c>
      <c r="E7">
        <v>35</v>
      </c>
      <c r="F7">
        <v>40</v>
      </c>
      <c r="G7">
        <f t="shared" si="0"/>
        <v>0</v>
      </c>
      <c r="H7">
        <f t="shared" si="1"/>
        <v>0</v>
      </c>
      <c r="I7">
        <f t="shared" si="2"/>
        <v>0</v>
      </c>
      <c r="J7" s="28">
        <f t="shared" si="3"/>
        <v>0.44444444444444442</v>
      </c>
      <c r="K7" s="28">
        <f t="shared" si="4"/>
        <v>1.1428571428571428</v>
      </c>
      <c r="L7" s="29" t="s">
        <v>146</v>
      </c>
      <c r="M7" s="29"/>
      <c r="N7">
        <v>5</v>
      </c>
      <c r="O7">
        <f t="shared" si="5"/>
        <v>0</v>
      </c>
    </row>
    <row r="8" spans="2:15" x14ac:dyDescent="0.2">
      <c r="B8">
        <v>0</v>
      </c>
      <c r="C8" t="s">
        <v>147</v>
      </c>
      <c r="D8">
        <v>30</v>
      </c>
      <c r="E8">
        <v>15</v>
      </c>
      <c r="F8">
        <v>16</v>
      </c>
      <c r="G8">
        <f t="shared" si="0"/>
        <v>0</v>
      </c>
      <c r="H8">
        <f t="shared" si="1"/>
        <v>0</v>
      </c>
      <c r="I8">
        <f t="shared" si="2"/>
        <v>0</v>
      </c>
      <c r="J8" s="28">
        <f t="shared" si="3"/>
        <v>0.53333333333333333</v>
      </c>
      <c r="K8" s="28">
        <f t="shared" si="4"/>
        <v>1.0666666666666667</v>
      </c>
      <c r="L8" s="29" t="s">
        <v>148</v>
      </c>
      <c r="M8" s="29"/>
      <c r="N8">
        <v>2</v>
      </c>
      <c r="O8">
        <f t="shared" si="5"/>
        <v>0</v>
      </c>
    </row>
    <row r="9" spans="2:15" x14ac:dyDescent="0.2">
      <c r="B9">
        <v>0</v>
      </c>
      <c r="C9" t="s">
        <v>149</v>
      </c>
      <c r="D9">
        <v>40</v>
      </c>
      <c r="E9">
        <v>25</v>
      </c>
      <c r="F9">
        <v>25</v>
      </c>
      <c r="G9">
        <f t="shared" si="0"/>
        <v>0</v>
      </c>
      <c r="H9">
        <f t="shared" si="1"/>
        <v>0</v>
      </c>
      <c r="I9">
        <f t="shared" si="2"/>
        <v>0</v>
      </c>
      <c r="J9" s="28">
        <f t="shared" si="3"/>
        <v>0.625</v>
      </c>
      <c r="K9" s="28">
        <f t="shared" si="4"/>
        <v>1</v>
      </c>
      <c r="L9" s="29" t="s">
        <v>150</v>
      </c>
      <c r="M9" s="29"/>
      <c r="N9">
        <v>4</v>
      </c>
      <c r="O9">
        <f t="shared" si="5"/>
        <v>0</v>
      </c>
    </row>
    <row r="10" spans="2:15" ht="25.5" x14ac:dyDescent="0.2">
      <c r="B10">
        <v>0</v>
      </c>
      <c r="C10" t="s">
        <v>151</v>
      </c>
      <c r="D10">
        <v>60</v>
      </c>
      <c r="E10">
        <v>25</v>
      </c>
      <c r="F10">
        <v>25</v>
      </c>
      <c r="G10">
        <f t="shared" si="0"/>
        <v>0</v>
      </c>
      <c r="H10">
        <f t="shared" si="1"/>
        <v>0</v>
      </c>
      <c r="I10">
        <f t="shared" si="2"/>
        <v>0</v>
      </c>
      <c r="J10" s="28">
        <f t="shared" si="3"/>
        <v>0.41666666666666669</v>
      </c>
      <c r="K10" s="28">
        <f t="shared" si="4"/>
        <v>1</v>
      </c>
      <c r="L10" s="29" t="s">
        <v>152</v>
      </c>
      <c r="M10" s="29"/>
      <c r="N10">
        <v>3</v>
      </c>
      <c r="O10">
        <f t="shared" si="5"/>
        <v>0</v>
      </c>
    </row>
    <row r="11" spans="2:15" x14ac:dyDescent="0.2">
      <c r="B11">
        <v>0</v>
      </c>
      <c r="C11" t="s">
        <v>153</v>
      </c>
      <c r="D11">
        <v>70</v>
      </c>
      <c r="E11">
        <v>25</v>
      </c>
      <c r="F11">
        <v>25</v>
      </c>
      <c r="G11">
        <f t="shared" si="0"/>
        <v>0</v>
      </c>
      <c r="H11">
        <f t="shared" si="1"/>
        <v>0</v>
      </c>
      <c r="I11">
        <f t="shared" si="2"/>
        <v>0</v>
      </c>
      <c r="J11" s="28">
        <f t="shared" si="3"/>
        <v>0.35714285714285715</v>
      </c>
      <c r="K11" s="28">
        <f t="shared" si="4"/>
        <v>1</v>
      </c>
      <c r="L11" s="29" t="s">
        <v>154</v>
      </c>
      <c r="M11" s="29"/>
      <c r="N11">
        <v>3</v>
      </c>
      <c r="O11">
        <f t="shared" si="5"/>
        <v>0</v>
      </c>
    </row>
    <row r="12" spans="2:15" x14ac:dyDescent="0.2">
      <c r="B12">
        <v>0</v>
      </c>
      <c r="C12" t="s">
        <v>155</v>
      </c>
      <c r="D12">
        <v>40</v>
      </c>
      <c r="E12">
        <v>20</v>
      </c>
      <c r="F12">
        <v>20</v>
      </c>
      <c r="G12">
        <f t="shared" si="0"/>
        <v>0</v>
      </c>
      <c r="H12">
        <f t="shared" si="1"/>
        <v>0</v>
      </c>
      <c r="I12">
        <f t="shared" si="2"/>
        <v>0</v>
      </c>
      <c r="J12" s="28">
        <f t="shared" si="3"/>
        <v>0.5</v>
      </c>
      <c r="K12" s="28">
        <f t="shared" si="4"/>
        <v>1</v>
      </c>
      <c r="L12" s="29" t="s">
        <v>156</v>
      </c>
      <c r="M12" s="29"/>
      <c r="N12">
        <v>3</v>
      </c>
      <c r="O12">
        <f t="shared" si="5"/>
        <v>0</v>
      </c>
    </row>
    <row r="13" spans="2:15" x14ac:dyDescent="0.2">
      <c r="B13">
        <v>0</v>
      </c>
      <c r="C13" t="s">
        <v>157</v>
      </c>
      <c r="D13">
        <v>65</v>
      </c>
      <c r="E13">
        <v>15</v>
      </c>
      <c r="F13">
        <v>15</v>
      </c>
      <c r="G13">
        <f t="shared" si="0"/>
        <v>0</v>
      </c>
      <c r="H13">
        <f t="shared" si="1"/>
        <v>0</v>
      </c>
      <c r="I13">
        <f t="shared" si="2"/>
        <v>0</v>
      </c>
      <c r="J13" s="28">
        <f t="shared" si="3"/>
        <v>0.23076923076923078</v>
      </c>
      <c r="K13" s="28">
        <f t="shared" si="4"/>
        <v>1</v>
      </c>
      <c r="L13" s="29" t="s">
        <v>158</v>
      </c>
      <c r="M13" s="29"/>
      <c r="N13">
        <v>2</v>
      </c>
      <c r="O13">
        <f t="shared" si="5"/>
        <v>0</v>
      </c>
    </row>
    <row r="14" spans="2:15" x14ac:dyDescent="0.2">
      <c r="B14">
        <v>0</v>
      </c>
      <c r="C14" t="s">
        <v>159</v>
      </c>
      <c r="D14">
        <v>30</v>
      </c>
      <c r="E14">
        <v>15</v>
      </c>
      <c r="F14">
        <v>14</v>
      </c>
      <c r="G14">
        <f t="shared" si="0"/>
        <v>0</v>
      </c>
      <c r="H14">
        <f t="shared" si="1"/>
        <v>0</v>
      </c>
      <c r="I14">
        <f t="shared" si="2"/>
        <v>0</v>
      </c>
      <c r="J14" s="28">
        <f t="shared" si="3"/>
        <v>0.46666666666666667</v>
      </c>
      <c r="K14" s="28">
        <f t="shared" si="4"/>
        <v>0.93333333333333335</v>
      </c>
      <c r="L14" s="29" t="s">
        <v>160</v>
      </c>
      <c r="M14" s="29"/>
      <c r="N14">
        <v>2</v>
      </c>
      <c r="O14">
        <f t="shared" si="5"/>
        <v>0</v>
      </c>
    </row>
    <row r="15" spans="2:15" x14ac:dyDescent="0.2">
      <c r="B15">
        <v>0</v>
      </c>
      <c r="C15" t="s">
        <v>161</v>
      </c>
      <c r="D15">
        <v>80</v>
      </c>
      <c r="E15">
        <v>30</v>
      </c>
      <c r="F15">
        <v>25</v>
      </c>
      <c r="G15">
        <f t="shared" si="0"/>
        <v>0</v>
      </c>
      <c r="H15">
        <f t="shared" si="1"/>
        <v>0</v>
      </c>
      <c r="I15">
        <f t="shared" si="2"/>
        <v>0</v>
      </c>
      <c r="J15" s="28">
        <f t="shared" si="3"/>
        <v>0.3125</v>
      </c>
      <c r="K15" s="28">
        <f t="shared" si="4"/>
        <v>0.83333333333333337</v>
      </c>
      <c r="L15" s="29" t="s">
        <v>162</v>
      </c>
      <c r="M15" s="29"/>
      <c r="N15">
        <v>0</v>
      </c>
      <c r="O15">
        <f t="shared" si="5"/>
        <v>0</v>
      </c>
    </row>
    <row r="16" spans="2:15" x14ac:dyDescent="0.2">
      <c r="B16">
        <v>0</v>
      </c>
      <c r="C16" t="s">
        <v>163</v>
      </c>
      <c r="D16">
        <v>50</v>
      </c>
      <c r="E16">
        <v>20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 s="28">
        <f t="shared" si="3"/>
        <v>0.3</v>
      </c>
      <c r="K16" s="28">
        <f t="shared" si="4"/>
        <v>0.75</v>
      </c>
      <c r="L16" s="29" t="s">
        <v>164</v>
      </c>
      <c r="M16" s="29"/>
      <c r="N16">
        <v>3</v>
      </c>
      <c r="O16">
        <f t="shared" si="5"/>
        <v>0</v>
      </c>
    </row>
    <row r="17" spans="2:15" x14ac:dyDescent="0.2">
      <c r="B17">
        <v>0</v>
      </c>
      <c r="C17" t="s">
        <v>165</v>
      </c>
      <c r="D17">
        <v>70</v>
      </c>
      <c r="E17">
        <v>35</v>
      </c>
      <c r="F17">
        <v>25</v>
      </c>
      <c r="G17">
        <f t="shared" si="0"/>
        <v>0</v>
      </c>
      <c r="H17">
        <f t="shared" si="1"/>
        <v>0</v>
      </c>
      <c r="I17">
        <f t="shared" si="2"/>
        <v>0</v>
      </c>
      <c r="J17" s="28">
        <f t="shared" si="3"/>
        <v>0.35714285714285715</v>
      </c>
      <c r="K17" s="28">
        <f t="shared" si="4"/>
        <v>0.7142857142857143</v>
      </c>
      <c r="L17" s="29" t="s">
        <v>166</v>
      </c>
      <c r="M17" s="29"/>
      <c r="N17">
        <v>4</v>
      </c>
      <c r="O17">
        <f t="shared" si="5"/>
        <v>0</v>
      </c>
    </row>
    <row r="18" spans="2:15" x14ac:dyDescent="0.2">
      <c r="B18">
        <v>0</v>
      </c>
      <c r="C18" t="s">
        <v>167</v>
      </c>
      <c r="D18">
        <v>20</v>
      </c>
      <c r="E18">
        <v>15</v>
      </c>
      <c r="F18">
        <v>10</v>
      </c>
      <c r="G18">
        <f t="shared" si="0"/>
        <v>0</v>
      </c>
      <c r="H18">
        <f t="shared" si="1"/>
        <v>0</v>
      </c>
      <c r="I18">
        <f t="shared" si="2"/>
        <v>0</v>
      </c>
      <c r="J18" s="28">
        <f t="shared" si="3"/>
        <v>0.5</v>
      </c>
      <c r="K18" s="28">
        <f t="shared" si="4"/>
        <v>0.66666666666666663</v>
      </c>
      <c r="L18" s="29" t="s">
        <v>168</v>
      </c>
      <c r="M18" s="29"/>
      <c r="N18">
        <v>2</v>
      </c>
      <c r="O18">
        <f t="shared" si="5"/>
        <v>0</v>
      </c>
    </row>
    <row r="19" spans="2:15" x14ac:dyDescent="0.2">
      <c r="B19" s="4">
        <f>SUM(B3:B18)</f>
        <v>0</v>
      </c>
      <c r="G19" s="4">
        <f>SUM(G3:G18)</f>
        <v>0</v>
      </c>
      <c r="H19" s="4">
        <f>SUM(H3:H18)</f>
        <v>0</v>
      </c>
      <c r="I19" s="4">
        <f>SUM(I3:I18)</f>
        <v>0</v>
      </c>
      <c r="O19" s="4">
        <f>SUM(O3:O18)</f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9"/>
  <sheetViews>
    <sheetView zoomScaleNormal="100" workbookViewId="0">
      <selection activeCell="F11" sqref="F11"/>
    </sheetView>
  </sheetViews>
  <sheetFormatPr baseColWidth="10" defaultColWidth="9.140625" defaultRowHeight="12.75" x14ac:dyDescent="0.2"/>
  <cols>
    <col min="1" max="1" width="9.140625" customWidth="1"/>
    <col min="2" max="2" width="26.7109375" customWidth="1"/>
    <col min="3" max="3" width="6.28515625" customWidth="1"/>
    <col min="4" max="4" width="10.85546875" customWidth="1"/>
    <col min="5" max="5" width="8.7109375" customWidth="1"/>
    <col min="6" max="6" width="13.7109375" customWidth="1"/>
    <col min="7" max="7" width="9.140625" customWidth="1"/>
    <col min="8" max="8" width="18.28515625" customWidth="1"/>
    <col min="9" max="9" width="13.42578125" customWidth="1"/>
    <col min="10" max="10" width="7" customWidth="1"/>
    <col min="11" max="11" width="7.5703125" customWidth="1"/>
    <col min="12" max="12" width="10.85546875" customWidth="1"/>
    <col min="13" max="1025" width="9.140625" customWidth="1"/>
  </cols>
  <sheetData>
    <row r="2" spans="2:12" ht="15.75" x14ac:dyDescent="0.25">
      <c r="B2" s="7" t="s">
        <v>169</v>
      </c>
    </row>
    <row r="3" spans="2:12" ht="15.75" x14ac:dyDescent="0.25">
      <c r="C3" s="39" t="s">
        <v>44</v>
      </c>
      <c r="D3" s="39"/>
      <c r="E3" s="39"/>
      <c r="F3" s="39"/>
      <c r="G3" s="39" t="s">
        <v>30</v>
      </c>
      <c r="H3" s="39"/>
      <c r="I3" s="39"/>
      <c r="K3" s="38" t="s">
        <v>170</v>
      </c>
      <c r="L3" s="38"/>
    </row>
    <row r="4" spans="2:12" x14ac:dyDescent="0.2">
      <c r="B4" s="30"/>
      <c r="C4" s="14" t="str">
        <f>'cost calculation'!C11</f>
        <v>Chief</v>
      </c>
      <c r="D4" s="14" t="str">
        <f>'cost calculation'!C12</f>
        <v>Braves (¾)</v>
      </c>
      <c r="E4" s="14" t="str">
        <f>'cost calculation'!C13</f>
        <v>Shaman</v>
      </c>
      <c r="F4" s="14" t="str">
        <f>'cost calculation'!C14</f>
        <v>forest goblins</v>
      </c>
      <c r="G4" s="14" t="str">
        <f>'cost calculation'!C15</f>
        <v>Shootaz (5)</v>
      </c>
      <c r="H4" s="14" t="str">
        <f>'cost calculation'!C16</f>
        <v>red toof goblinz (5)</v>
      </c>
      <c r="I4" s="14" t="str">
        <f>'cost calculation'!C17</f>
        <v>giantic spider</v>
      </c>
      <c r="K4" s="31" t="s">
        <v>44</v>
      </c>
      <c r="L4" s="32" t="s">
        <v>30</v>
      </c>
    </row>
    <row r="5" spans="2:12" x14ac:dyDescent="0.2">
      <c r="B5" s="33" t="s">
        <v>171</v>
      </c>
      <c r="C5">
        <v>4</v>
      </c>
      <c r="D5">
        <v>4</v>
      </c>
      <c r="E5">
        <v>4</v>
      </c>
      <c r="F5">
        <v>4</v>
      </c>
      <c r="G5" s="20">
        <v>4</v>
      </c>
      <c r="H5">
        <v>4</v>
      </c>
      <c r="I5">
        <v>6</v>
      </c>
      <c r="K5" s="1">
        <v>4</v>
      </c>
      <c r="L5" s="1">
        <v>3</v>
      </c>
    </row>
    <row r="6" spans="2:12" x14ac:dyDescent="0.2">
      <c r="B6" s="33" t="s">
        <v>172</v>
      </c>
      <c r="C6">
        <v>3</v>
      </c>
      <c r="D6">
        <v>2</v>
      </c>
      <c r="E6">
        <v>2</v>
      </c>
      <c r="F6">
        <v>2</v>
      </c>
      <c r="G6">
        <v>2</v>
      </c>
      <c r="H6">
        <v>2</v>
      </c>
      <c r="I6">
        <v>3</v>
      </c>
      <c r="K6" s="1">
        <v>2</v>
      </c>
      <c r="L6" s="34">
        <v>1</v>
      </c>
    </row>
    <row r="7" spans="2:12" x14ac:dyDescent="0.2">
      <c r="B7" s="33" t="s">
        <v>173</v>
      </c>
      <c r="C7">
        <v>4</v>
      </c>
      <c r="D7">
        <v>3</v>
      </c>
      <c r="E7">
        <v>3</v>
      </c>
      <c r="F7">
        <v>3</v>
      </c>
      <c r="G7">
        <v>3</v>
      </c>
      <c r="H7">
        <v>3</v>
      </c>
      <c r="I7">
        <v>0</v>
      </c>
      <c r="K7">
        <v>2</v>
      </c>
      <c r="L7" s="34">
        <v>1</v>
      </c>
    </row>
    <row r="8" spans="2:12" x14ac:dyDescent="0.2">
      <c r="B8" s="33" t="s">
        <v>33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5</v>
      </c>
      <c r="K8">
        <v>6</v>
      </c>
      <c r="L8" s="34">
        <v>6</v>
      </c>
    </row>
    <row r="9" spans="2:12" x14ac:dyDescent="0.2">
      <c r="B9" s="33" t="s">
        <v>174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5</v>
      </c>
      <c r="K9" s="1">
        <v>4</v>
      </c>
      <c r="L9" s="34">
        <v>2</v>
      </c>
    </row>
    <row r="10" spans="2:12" x14ac:dyDescent="0.2">
      <c r="B10" s="33" t="s">
        <v>175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1">
        <v>6</v>
      </c>
      <c r="L10" s="34">
        <v>6</v>
      </c>
    </row>
    <row r="11" spans="2:12" x14ac:dyDescent="0.2">
      <c r="B11" s="33" t="s">
        <v>176</v>
      </c>
      <c r="C11">
        <v>4</v>
      </c>
      <c r="D11">
        <v>3</v>
      </c>
      <c r="E11">
        <v>4</v>
      </c>
      <c r="F11">
        <v>3</v>
      </c>
      <c r="G11">
        <v>3</v>
      </c>
      <c r="H11">
        <v>3</v>
      </c>
      <c r="I11">
        <v>4</v>
      </c>
      <c r="K11">
        <v>2</v>
      </c>
      <c r="L11" s="34">
        <v>2</v>
      </c>
    </row>
    <row r="12" spans="2:12" x14ac:dyDescent="0.2">
      <c r="B12" s="33" t="s">
        <v>177</v>
      </c>
      <c r="C12">
        <v>1</v>
      </c>
      <c r="D12">
        <v>1</v>
      </c>
      <c r="E12">
        <v>1</v>
      </c>
      <c r="F12">
        <v>1</v>
      </c>
      <c r="G12">
        <v>3</v>
      </c>
      <c r="H12">
        <v>2</v>
      </c>
      <c r="I12">
        <v>2</v>
      </c>
      <c r="K12">
        <v>6</v>
      </c>
      <c r="L12" s="34">
        <v>6</v>
      </c>
    </row>
    <row r="13" spans="2:12" x14ac:dyDescent="0.2">
      <c r="B13" s="33" t="s">
        <v>178</v>
      </c>
      <c r="C13">
        <v>7</v>
      </c>
      <c r="D13">
        <v>6</v>
      </c>
      <c r="E13">
        <v>6</v>
      </c>
      <c r="F13">
        <v>6</v>
      </c>
      <c r="G13">
        <v>6</v>
      </c>
      <c r="H13">
        <v>6</v>
      </c>
      <c r="I13">
        <v>4</v>
      </c>
      <c r="K13">
        <v>2</v>
      </c>
      <c r="L13" s="34">
        <v>1</v>
      </c>
    </row>
    <row r="14" spans="2:12" x14ac:dyDescent="0.2">
      <c r="B14" s="33"/>
      <c r="L14" s="34"/>
    </row>
    <row r="15" spans="2:12" x14ac:dyDescent="0.2">
      <c r="B15" t="s">
        <v>179</v>
      </c>
      <c r="C15" s="35">
        <f t="shared" ref="C15:E23" si="0">$K5*C5/C$25</f>
        <v>0.32</v>
      </c>
      <c r="D15" s="35">
        <f t="shared" si="0"/>
        <v>0.8</v>
      </c>
      <c r="E15" s="35">
        <f t="shared" si="0"/>
        <v>0.8</v>
      </c>
      <c r="F15" s="35">
        <f t="shared" ref="F15:I23" si="1">$L5*F5/F$25</f>
        <v>0.8</v>
      </c>
      <c r="G15" s="35">
        <f t="shared" si="1"/>
        <v>0.6</v>
      </c>
      <c r="H15" s="35">
        <f t="shared" si="1"/>
        <v>0.48</v>
      </c>
      <c r="I15" s="35">
        <f t="shared" si="1"/>
        <v>0.09</v>
      </c>
    </row>
    <row r="16" spans="2:12" x14ac:dyDescent="0.2">
      <c r="B16" s="33" t="s">
        <v>180</v>
      </c>
      <c r="C16" s="35">
        <f t="shared" si="0"/>
        <v>0.12</v>
      </c>
      <c r="D16" s="35">
        <f t="shared" si="0"/>
        <v>0.2</v>
      </c>
      <c r="E16" s="35">
        <f t="shared" si="0"/>
        <v>0.2</v>
      </c>
      <c r="F16" s="35">
        <f t="shared" si="1"/>
        <v>0.13333333333333333</v>
      </c>
      <c r="G16" s="35">
        <f t="shared" si="1"/>
        <v>0.1</v>
      </c>
      <c r="H16" s="35">
        <f t="shared" si="1"/>
        <v>0.08</v>
      </c>
      <c r="I16" s="35">
        <f t="shared" si="1"/>
        <v>1.4999999999999999E-2</v>
      </c>
    </row>
    <row r="17" spans="2:10" x14ac:dyDescent="0.2">
      <c r="B17" s="33" t="s">
        <v>181</v>
      </c>
      <c r="C17" s="35">
        <f t="shared" si="0"/>
        <v>0.16</v>
      </c>
      <c r="D17" s="35">
        <f t="shared" si="0"/>
        <v>0.3</v>
      </c>
      <c r="E17" s="35">
        <f t="shared" si="0"/>
        <v>0.3</v>
      </c>
      <c r="F17" s="35">
        <f t="shared" si="1"/>
        <v>0.2</v>
      </c>
      <c r="G17" s="35">
        <f t="shared" si="1"/>
        <v>0.15</v>
      </c>
      <c r="H17" s="35">
        <f t="shared" si="1"/>
        <v>0.12</v>
      </c>
      <c r="I17" s="35">
        <f t="shared" si="1"/>
        <v>0</v>
      </c>
    </row>
    <row r="18" spans="2:10" x14ac:dyDescent="0.2">
      <c r="B18" s="33" t="s">
        <v>182</v>
      </c>
      <c r="C18" s="35">
        <f t="shared" si="0"/>
        <v>0.36</v>
      </c>
      <c r="D18" s="35">
        <f t="shared" si="0"/>
        <v>0.9</v>
      </c>
      <c r="E18" s="35">
        <f t="shared" si="0"/>
        <v>0.9</v>
      </c>
      <c r="F18" s="35">
        <f t="shared" si="1"/>
        <v>1.2</v>
      </c>
      <c r="G18" s="35">
        <f t="shared" si="1"/>
        <v>0.9</v>
      </c>
      <c r="H18" s="35">
        <f t="shared" si="1"/>
        <v>0.72</v>
      </c>
      <c r="I18" s="35">
        <f t="shared" si="1"/>
        <v>0.15</v>
      </c>
    </row>
    <row r="19" spans="2:10" x14ac:dyDescent="0.2">
      <c r="B19" s="33" t="s">
        <v>183</v>
      </c>
      <c r="C19" s="35">
        <f t="shared" si="0"/>
        <v>0.24</v>
      </c>
      <c r="D19" s="35">
        <f t="shared" si="0"/>
        <v>0.6</v>
      </c>
      <c r="E19" s="35">
        <f t="shared" si="0"/>
        <v>0.6</v>
      </c>
      <c r="F19" s="35">
        <f t="shared" si="1"/>
        <v>0.4</v>
      </c>
      <c r="G19" s="35">
        <f t="shared" si="1"/>
        <v>0.3</v>
      </c>
      <c r="H19" s="35">
        <f t="shared" si="1"/>
        <v>0.24</v>
      </c>
      <c r="I19" s="35">
        <f t="shared" si="1"/>
        <v>0.05</v>
      </c>
    </row>
    <row r="20" spans="2:10" x14ac:dyDescent="0.2">
      <c r="B20" s="33" t="s">
        <v>184</v>
      </c>
      <c r="C20" s="35">
        <f t="shared" si="0"/>
        <v>0.12</v>
      </c>
      <c r="D20" s="35">
        <f t="shared" si="0"/>
        <v>0.3</v>
      </c>
      <c r="E20" s="35">
        <f t="shared" si="0"/>
        <v>0.3</v>
      </c>
      <c r="F20" s="35">
        <f t="shared" si="1"/>
        <v>0.4</v>
      </c>
      <c r="G20" s="35">
        <f t="shared" si="1"/>
        <v>0.3</v>
      </c>
      <c r="H20" s="35">
        <f t="shared" si="1"/>
        <v>0.24</v>
      </c>
      <c r="I20" s="35">
        <f t="shared" si="1"/>
        <v>0.09</v>
      </c>
    </row>
    <row r="21" spans="2:10" x14ac:dyDescent="0.2">
      <c r="B21" s="33" t="s">
        <v>185</v>
      </c>
      <c r="C21" s="35">
        <f t="shared" si="0"/>
        <v>0.16</v>
      </c>
      <c r="D21" s="35">
        <f t="shared" si="0"/>
        <v>0.3</v>
      </c>
      <c r="E21" s="35">
        <f t="shared" si="0"/>
        <v>0.4</v>
      </c>
      <c r="F21" s="35">
        <f t="shared" si="1"/>
        <v>0.4</v>
      </c>
      <c r="G21" s="35">
        <f t="shared" si="1"/>
        <v>0.3</v>
      </c>
      <c r="H21" s="35">
        <f t="shared" si="1"/>
        <v>0.24</v>
      </c>
      <c r="I21" s="35">
        <f t="shared" si="1"/>
        <v>0.04</v>
      </c>
    </row>
    <row r="22" spans="2:10" x14ac:dyDescent="0.2">
      <c r="B22" s="33" t="s">
        <v>186</v>
      </c>
      <c r="C22" s="35">
        <f t="shared" si="0"/>
        <v>0.12</v>
      </c>
      <c r="D22" s="35">
        <f t="shared" si="0"/>
        <v>0.3</v>
      </c>
      <c r="E22" s="35">
        <f t="shared" si="0"/>
        <v>0.3</v>
      </c>
      <c r="F22" s="35">
        <f t="shared" si="1"/>
        <v>0.4</v>
      </c>
      <c r="G22" s="35">
        <f t="shared" si="1"/>
        <v>0.9</v>
      </c>
      <c r="H22" s="35">
        <f t="shared" si="1"/>
        <v>0.48</v>
      </c>
      <c r="I22" s="35">
        <f t="shared" si="1"/>
        <v>0.06</v>
      </c>
    </row>
    <row r="23" spans="2:10" x14ac:dyDescent="0.2">
      <c r="B23" s="33" t="s">
        <v>187</v>
      </c>
      <c r="C23" s="35">
        <f t="shared" si="0"/>
        <v>0.28000000000000003</v>
      </c>
      <c r="D23" s="35">
        <f t="shared" si="0"/>
        <v>0.6</v>
      </c>
      <c r="E23" s="35">
        <f t="shared" si="0"/>
        <v>0.6</v>
      </c>
      <c r="F23" s="35">
        <f t="shared" si="1"/>
        <v>0.4</v>
      </c>
      <c r="G23" s="35">
        <f t="shared" si="1"/>
        <v>0.3</v>
      </c>
      <c r="H23" s="35">
        <f t="shared" si="1"/>
        <v>0.24</v>
      </c>
      <c r="I23" s="35">
        <f t="shared" si="1"/>
        <v>0.02</v>
      </c>
    </row>
    <row r="24" spans="2:10" x14ac:dyDescent="0.2">
      <c r="E24" s="4"/>
    </row>
    <row r="25" spans="2:10" x14ac:dyDescent="0.2">
      <c r="B25" s="19" t="s">
        <v>188</v>
      </c>
      <c r="C25" s="1">
        <f>'cost calculation'!D11</f>
        <v>50</v>
      </c>
      <c r="D25" s="1">
        <f>'cost calculation'!D12</f>
        <v>20</v>
      </c>
      <c r="E25" s="1">
        <f>'cost calculation'!D13</f>
        <v>20</v>
      </c>
      <c r="F25" s="1">
        <f>'cost calculation'!D14</f>
        <v>15</v>
      </c>
      <c r="G25" s="1">
        <f>'cost calculation'!D15</f>
        <v>20</v>
      </c>
      <c r="H25" s="1">
        <f>'cost calculation'!D16</f>
        <v>25</v>
      </c>
      <c r="I25" s="1">
        <f>'cost calculation'!D17</f>
        <v>200</v>
      </c>
    </row>
    <row r="27" spans="2:10" x14ac:dyDescent="0.2">
      <c r="C27" s="35">
        <f t="shared" ref="C27:I27" si="2">SUM(C15:C23)</f>
        <v>1.8799999999999997</v>
      </c>
      <c r="D27" s="35">
        <f t="shared" si="2"/>
        <v>4.3</v>
      </c>
      <c r="E27" s="35">
        <f t="shared" si="2"/>
        <v>4.3999999999999995</v>
      </c>
      <c r="F27" s="35">
        <f t="shared" si="2"/>
        <v>4.333333333333333</v>
      </c>
      <c r="G27" s="35">
        <f t="shared" si="2"/>
        <v>3.8499999999999992</v>
      </c>
      <c r="H27" s="35">
        <f t="shared" si="2"/>
        <v>2.84</v>
      </c>
      <c r="I27" s="35">
        <f t="shared" si="2"/>
        <v>0.51500000000000001</v>
      </c>
    </row>
    <row r="28" spans="2:10" x14ac:dyDescent="0.2">
      <c r="C28" s="28">
        <f>'cost calculation'!$E11*'Characteristic analysis'!C27</f>
        <v>1.8799999999999997</v>
      </c>
      <c r="D28" s="28">
        <f>'cost calculation'!$E12*'Characteristic analysis'!D27</f>
        <v>0</v>
      </c>
      <c r="E28" s="28">
        <f>'cost calculation'!$E13*'Characteristic analysis'!E27</f>
        <v>4.3999999999999995</v>
      </c>
      <c r="F28" s="28">
        <f>'cost calculation'!$E14*'Characteristic analysis'!F27</f>
        <v>0</v>
      </c>
      <c r="G28" s="28">
        <f>'cost calculation'!$E15*'Characteristic analysis'!G27</f>
        <v>3.8499999999999992</v>
      </c>
      <c r="H28" s="28">
        <f>'cost calculation'!$E16*'Characteristic analysis'!H27</f>
        <v>0</v>
      </c>
      <c r="I28" s="28">
        <f>'cost calculation'!$E17*'Characteristic analysis'!I27</f>
        <v>0</v>
      </c>
      <c r="J28" s="8">
        <f>SUM(C28:I28)</f>
        <v>10.129999999999999</v>
      </c>
    </row>
    <row r="29" spans="2:10" x14ac:dyDescent="0.2">
      <c r="C29" s="28">
        <f>'cost calculation'!$E11*(C5*K5+C6*K6+C7*K7+C8*K8+C9*K9+C10*K10+C11*K11+C12*K12+C13*K13)</f>
        <v>94</v>
      </c>
      <c r="D29" s="28">
        <f>'cost calculation'!$E12*(D5*$L5+D6*$L6+D7*$L7+D8*$L8+D9*$L9+D10*$L10+D11*$L11+D12*$L12+D13*$L13)</f>
        <v>0</v>
      </c>
      <c r="E29" s="28">
        <f>'cost calculation'!$E13*(E5*$L5+E6*$L6+E7*$L7+E8*$L8+E9*$L9+E10*$L10+E11*$L11+E12*$L12+E13*$L13)</f>
        <v>67</v>
      </c>
      <c r="F29" s="28">
        <f>'cost calculation'!$E14*(F5*$L5+F6*$L6+F7*$L7+F8*$L8+F9*$L9+F10*$L10+F11*$L11+F12*$L12+F13*$L13)</f>
        <v>0</v>
      </c>
      <c r="G29" s="28">
        <f>'cost calculation'!$E15*(G5*$L5+G6*$L6+G7*$L7+G8*$L8+G9*$L9+G10*$L10+G11*$L11+G12*$L12+G13*$L13)</f>
        <v>77</v>
      </c>
      <c r="H29" s="28">
        <f>'cost calculation'!$E16*(H5*$L5+H6*$L6+H7*$L7+H8*$L8+H9*$L9+H10*$L10+H11*$L11+H12*$L12+H13*$L13)</f>
        <v>0</v>
      </c>
      <c r="I29" s="28">
        <f>'cost calculation'!$E17*(I5*$L5+I6*$L6+I7*$L7+I8*$L8+I9*$L9+I10*$L10+I11*$L11+I12*$L12+I13*$L13)</f>
        <v>0</v>
      </c>
      <c r="J29" s="8">
        <f>SUM(C29:I29)</f>
        <v>238</v>
      </c>
    </row>
  </sheetData>
  <mergeCells count="3">
    <mergeCell ref="C3:F3"/>
    <mergeCell ref="G3:I3"/>
    <mergeCell ref="K3:L3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cost calculation</vt:lpstr>
      <vt:lpstr>Underdog Bonus</vt:lpstr>
      <vt:lpstr>Hired swords</vt:lpstr>
      <vt:lpstr>Characteristic analysis</vt:lpstr>
      <vt:lpstr>'cost calculation'!_FilterDatenbank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Lauterbach Kai (BEG/ESB2)</dc:creator>
  <dc:description/>
  <cp:lastModifiedBy>klaute</cp:lastModifiedBy>
  <cp:revision>337</cp:revision>
  <dcterms:created xsi:type="dcterms:W3CDTF">2019-06-16T12:17:59Z</dcterms:created>
  <dcterms:modified xsi:type="dcterms:W3CDTF">2019-06-24T15:49:39Z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