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ECD2E483-B4F6-446C-9E48-F114EF3AF780}" xr6:coauthVersionLast="38" xr6:coauthVersionMax="38" xr10:uidLastSave="{00000000-0000-0000-0000-000000000000}"/>
  <bookViews>
    <workbookView xWindow="0" yWindow="0" windowWidth="17205" windowHeight="8640" xr2:uid="{00000000-000D-0000-FFFF-FFFF00000000}" activeTab="1"/>
  </bookViews>
  <sheets>
    <sheet name="Member" sheetId="1" r:id="rId1"/>
    <sheet name="Characteristik analy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<sst xmlns="http://schemas.openxmlformats.org/spreadsheetml/2006/main">
  <si>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</si>
  <si>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</si>
  <si>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</si>
  <si>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</si>
  <si>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</si>
  <si>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</si>
  <si>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</si>
  <si>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</si>
  <si>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</si>
  <si>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</si>
  <si>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</si>
  <si>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</si>
  <si>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</si>
  <si>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</si>
  <si>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</si>
  <si>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</si>
  <si>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</si>
  <si>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</si>
  <si>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</si>
  <si>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</si>
  <si>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</si>
  <si>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</si>
  <si>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</si>
  <si>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</si>
  <si>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</si>
  <si>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</si>
  <si>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</si>
  <si>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</si>
  <si>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</si>
  <si>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</si>
  <si>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</si>
  <si>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</si>
  <si>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</si>
  <si>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</si>
  <si>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</si>
  <si>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</si>
  <si>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</si>
  <si>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</si>
  <si>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</si>
  <si>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</si>
  <si>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</si>
  <si>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</si>
  <si>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</si>
  <si>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</si>
  <si>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</si>
  <si>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</si>
  <si>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</si>
  <si>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</si>
  <si>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</si>
  <si>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</si>
  <si>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</si>
  <si>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</si>
  <si>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</si>
  <si>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</si>
  <si>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</si>
  <si>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</si>
  <si>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</si>
  <si>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</si>
  <si>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</si>
  <si>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</si>
  <si>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</si>
  <si>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</si>
  <si>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</si>
  <si>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</si>
  <si>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</si>
  <si>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</si>
  <si>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</si>
  <si>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</si>
  <si>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</si>
  <si>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</si>
  <si>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</si>
  <si>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</si>
  <si>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</si>
  <si>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</si>
  <si>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</si>
  <si>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</si>
  <si>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</si>
  <si>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</si>
  <si>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</si>
  <si>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</si>
  <si>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</si>
  <si>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</si>
  <si>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</si>
  <si>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</si>
  <si>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</si>
  <si>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</si>
  <si>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</si>
  <si>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</si>
  <si>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</si>
  <si>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</si>
  <si>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</si>
  <si>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</si>
  <si>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</si>
  <si>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</si>
  <si>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</si>
  <si>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</si>
  <si>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</si>
  <si>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</si>
  <si>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</si>
  <si>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</si>
  <si>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</si>
  <si>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</si>
  <si>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</si>
  <si>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</si>
  <si>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</si>
  <si>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</si>
  <si>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</si>
  <si>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</si>
  <si>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</si>
  <si>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Hired sword eq rating</t>
  </si>
  <si>
    <t>Characteristic analysis</t>
  </si>
  <si>
    <t>v1.14</t>
  </si>
  <si>
    <t>UpKeep</t>
  </si>
  <si>
    <t>Income</t>
  </si>
  <si>
    <t>up keep</t>
  </si>
  <si>
    <t>wb rating addition</t>
  </si>
  <si>
    <t>*=henchmen+young'uns</t>
  </si>
  <si>
    <t>hero=leader+black orks</t>
  </si>
  <si>
    <t>gained xp</t>
  </si>
  <si>
    <t>shooty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</si>
</sst>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m\.yyyy;@"/>
  </numFmts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1" fontId="10" fillId="0" borderId="0" xfId="0" applyNumberFormat="1" applyFont="1" applyFill="1" applyBorder="1"/>
    <xf numFmtId="0" fontId="11" fillId="0" borderId="0" xfId="0" applyNumberFormat="1" applyFont="1" applyFill="1" applyBorder="1"/>
    <xf numFmtId="0" fontId="2" fillId="0" borderId="7" xfId="0" applyNumberFormat="1" applyFont="1" applyFill="1" applyBorder="1"/>
    <xf numFmtId="0" fontId="1" fillId="0" borderId="2" xfId="0" applyNumberFormat="1" applyFont="1" applyFill="1" applyBorder="1" applyAlignment="1" applyProtection="1"/>
    <xf numFmtId="165" fontId="5" fillId="0" borderId="3" xfId="0" applyNumberFormat="1" applyFont="1" applyFill="1" applyBorder="1"/>
    <xf numFmtId="0" fontId="0" fillId="0" borderId="3" xfId="0" applyNumberFormat="1" applyFont="1" applyFill="1" applyBorder="1"/>
    <xf numFmtId="1" fontId="5" fillId="0" borderId="0" xfId="0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8" headerRowBorderDxfId="7" tableBorderDxfId="6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5"/>
    <tableColumn id="5" xr3:uid="{00000000-0010-0000-0000-000005000000}" name="SP"/>
    <tableColumn id="6" xr3:uid="{00000000-0010-0000-0000-000006000000}" name="gold/stück"/>
    <tableColumn id="7" xr3:uid="{00000000-0010-0000-0000-000007000000}" name="boss" dataDxfId="4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3">
      <calculatedColumnFormula>SUM(Tabelle2[[#This Row],[boss]:[troll]])*Tabelle2[[#This Row],[gold/stück]]</calculatedColumnFormula>
    </tableColumn>
    <tableColumn id="11" xr3:uid="{00000000-0010-0000-0000-00000B000000}" name="Gruppe" dataDxfId="2"/>
    <tableColumn id="18" xr3:uid="{00000000-0010-0000-0000-000012000000}" name="Bewertung" dataDxfId="1"/>
    <tableColumn id="19" xr3:uid="{00000000-0010-0000-0000-000013000000}" name="Warband equip rating" dataDxfId="0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zoomScale="53" zoomScaleNormal="53" workbookViewId="0" topLeftCell="F1">
      <selection activeCell="D6" sqref="D6" activeCellId="0"/>
    </sheetView>
  </sheetViews>
  <sheetFormatPr baseColWidth="10" defaultColWidth="10.7109375" defaultRowHeight="12.75" x14ac:dyDescent="0.2"/>
  <cols>
    <col min="1" max="1" width="10.5703125" bestFit="1" customWidth="1"/>
    <col min="2" max="2" width="20.5703125" bestFit="1" customWidth="1"/>
    <col min="3" max="3" width="12.140625" bestFit="1" customWidth="1"/>
    <col min="4" max="4" width="9.42578125" style="6" bestFit="1" customWidth="1"/>
    <col min="5" max="5" width="10.140625" customWidth="1"/>
    <col min="6" max="6" width="42.5703125" customWidth="1"/>
    <col min="7" max="7" width="18.5703125" bestFit="1" customWidth="1"/>
    <col min="8" max="8" width="12" bestFit="1" customWidth="1"/>
    <col min="9" max="9" width="24.28515625" style="6" bestFit="1" customWidth="1"/>
    <col min="10" max="10" width="13" style="6" bestFit="1" customWidth="1"/>
    <col min="11" max="11" width="8.140625" style="6" bestFit="1" customWidth="1"/>
    <col min="12" max="12" width="10.7109375" style="6" bestFit="1" customWidth="1"/>
    <col min="13" max="13" width="14.5703125" style="6" bestFit="1" customWidth="1"/>
    <col min="14" max="14" width="17.42578125" style="6" bestFit="1" customWidth="1"/>
    <col min="15" max="15" width="9.7109375" bestFit="1" customWidth="1"/>
    <col min="16" max="16" width="10.42578125" style="6" bestFit="1" customWidth="1"/>
    <col min="17" max="17" width="14.140625" style="6" bestFit="1" customWidth="1"/>
    <col min="18" max="18" width="23.28515625" bestFit="1" customWidth="1"/>
    <col min="19" max="19" width="7.42578125" bestFit="1" customWidth="1"/>
    <col min="20" max="20" width="7.42578125" bestFit="1" customWidth="1"/>
    <col min="21" max="21" width="12.42578125" bestFit="1" customWidth="1"/>
    <col min="22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29" width="7.42578125" bestFit="1" customWidth="1"/>
    <col min="30" max="30" width="7.42578125" bestFit="1" customWidth="1"/>
    <col min="31" max="31" width="13" bestFit="1" customWidth="1"/>
    <col min="32" max="32" width="23.85546875" bestFit="1" customWidth="1"/>
  </cols>
  <sheetData>
    <row r="2" ht="18">
      <c r="A2" s="8" t="s">
        <v>6</v>
      </c>
      <c r="B2" s="17" t="s">
        <v>47</v>
      </c>
      <c r="C2" s="17"/>
      <c r="D2" s="17"/>
      <c r="E2" s="19">
        <v>43430</v>
      </c>
      <c r="G2" t="s">
        <v>97</v>
      </c>
      <c r="H2" s="35">
        <f>1.25+J41*G41+J42*G42</f>
        <v>1.875</v>
      </c>
      <c r="I2" s="6" t="s">
        <v>98</v>
      </c>
    </row>
    <row r="3" ht="18" customFormat="1" s="6">
      <c r="A3" s="8" t="s">
        <v>111</v>
      </c>
      <c r="B3" s="8"/>
      <c r="C3" s="7"/>
      <c r="D3" s="7"/>
      <c r="E3" s="18"/>
      <c r="G3" s="33" t="s">
        <v>70</v>
      </c>
      <c r="H3" s="35">
        <v>0</v>
      </c>
      <c r="I3" s="33"/>
      <c r="M3" s="53" t="s">
        <v>113</v>
      </c>
      <c r="N3" s="53" t="s">
        <v>112</v>
      </c>
      <c r="O3" s="53" t="s">
        <v>118</v>
      </c>
    </row>
    <row r="4">
      <c r="G4" s="36" t="s">
        <v>40</v>
      </c>
      <c r="H4" s="35">
        <f>5*(D20)+D12*E12+D13*E13+D14*E14+D15*E15+D16*E16+D17*E17+D18*20+G41*D41+G42*D42+H19+O4</f>
        <v>144</v>
      </c>
      <c r="L4" s="54">
        <v>43422</v>
      </c>
      <c r="M4" s="6">
        <v>200</v>
      </c>
      <c r="N4" s="6">
        <f>15</f>
        <v>15</v>
      </c>
      <c r="O4">
        <v>10</v>
      </c>
    </row>
    <row r="5">
      <c r="A5" s="4" t="s">
        <v>0</v>
      </c>
      <c r="B5" s="4">
        <f>500+M4</f>
        <v>700</v>
      </c>
      <c r="G5" s="33" t="s">
        <v>71</v>
      </c>
      <c r="H5" s="35">
        <f>ROUNDUP((G41+G42+D19)/4,0)</f>
        <v>3</v>
      </c>
      <c r="I5" s="33"/>
      <c r="J5" s="33"/>
      <c r="L5" s="55"/>
      <c r="N5" s="6">
        <f>G19*D18+F41*G41+F42*G42</f>
        <v>45</v>
      </c>
    </row>
    <row r="6">
      <c r="A6" s="4" t="s">
        <v>8</v>
      </c>
      <c r="B6" s="4">
        <f>F19+Member!O38+G41*E41+G42*E42+N4</f>
        <v>666</v>
      </c>
      <c r="G6" t="s">
        <v>90</v>
      </c>
      <c r="H6" s="44">
        <f>'Characteristik analyse'!J31+I41*G41+G42</f>
        <v>46.291111111111</v>
      </c>
      <c r="I6" s="33"/>
      <c r="J6" s="33"/>
    </row>
    <row r="7">
      <c r="A7" s="23" t="s">
        <v>5</v>
      </c>
      <c r="B7" s="30">
        <f>B5-B6</f>
        <v>34</v>
      </c>
      <c r="G7" t="s">
        <v>109</v>
      </c>
      <c r="H7" s="56">
        <f>H41*G41</f>
        <v>26</v>
      </c>
    </row>
    <row r="8">
      <c r="G8" s="34" t="s">
        <v>72</v>
      </c>
      <c r="H8" s="37">
        <f>R41</f>
        <v>43</v>
      </c>
      <c r="I8" s="33">
        <f>R39</f>
        <v>36</v>
      </c>
      <c r="J8" s="33">
        <f>R40</f>
        <v>7</v>
      </c>
    </row>
    <row r="9" ht="15" customFormat="1" s="6">
      <c r="G9" s="33"/>
      <c r="H9" s="47">
        <f>(H3+H4+H7+H8)*H2*H5*H6</f>
        <v>55462.5375</v>
      </c>
    </row>
    <row r="10" customFormat="1" s="6"/>
    <row r="11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  <c r="G11" s="9" t="s">
        <v>114</v>
      </c>
      <c r="H11" s="9" t="s">
        <v>115</v>
      </c>
    </row>
    <row r="12">
      <c r="A12" s="57" t="s">
        <v>30</v>
      </c>
      <c r="B12" t="s">
        <v>46</v>
      </c>
      <c r="C12">
        <v>90</v>
      </c>
      <c r="D12" s="8">
        <v>1</v>
      </c>
      <c r="E12" s="24">
        <v>20</v>
      </c>
      <c r="F12">
        <f>D12*C12</f>
        <v>90</v>
      </c>
      <c r="G12">
        <v>0</v>
      </c>
      <c r="H12">
        <v>10</v>
      </c>
    </row>
    <row r="13">
      <c r="A13" s="57"/>
      <c r="B13" t="s">
        <v>54</v>
      </c>
      <c r="C13">
        <v>60</v>
      </c>
      <c r="D13" s="8">
        <v>2</v>
      </c>
      <c r="E13" s="24">
        <v>8</v>
      </c>
      <c r="F13">
        <f>D13*C13</f>
        <v>120</v>
      </c>
      <c r="G13">
        <v>0</v>
      </c>
    </row>
    <row r="14">
      <c r="A14" s="57"/>
      <c r="B14" t="s">
        <v>55</v>
      </c>
      <c r="C14">
        <v>25</v>
      </c>
      <c r="D14" s="8">
        <v>2</v>
      </c>
      <c r="E14" s="24">
        <v>0</v>
      </c>
      <c r="F14">
        <f>D14*C14</f>
        <v>50</v>
      </c>
      <c r="G14">
        <v>0</v>
      </c>
    </row>
    <row r="15">
      <c r="A15" s="57" t="s">
        <v>31</v>
      </c>
      <c r="B15" t="s">
        <v>51</v>
      </c>
      <c r="C15">
        <v>25</v>
      </c>
      <c r="D15" s="8">
        <v>3</v>
      </c>
      <c r="E15" s="24">
        <v>0</v>
      </c>
      <c r="F15">
        <f>D15*C15</f>
        <v>75</v>
      </c>
      <c r="G15">
        <v>0</v>
      </c>
      <c r="P15" s="6" t="s">
        <v>119</v>
      </c>
    </row>
    <row r="16">
      <c r="A16" s="57"/>
      <c r="B16" t="s">
        <v>58</v>
      </c>
      <c r="C16">
        <v>25</v>
      </c>
      <c r="D16" s="8">
        <v>0</v>
      </c>
      <c r="E16" s="24">
        <v>0</v>
      </c>
      <c r="F16">
        <f>D16*C16</f>
        <v>0</v>
      </c>
      <c r="G16">
        <v>0</v>
      </c>
      <c r="J16" s="33"/>
      <c r="P16" s="15" t="s">
        <v>116</v>
      </c>
    </row>
    <row r="17">
      <c r="A17" s="57"/>
      <c r="B17" t="s">
        <v>57</v>
      </c>
      <c r="C17">
        <v>40</v>
      </c>
      <c r="D17" s="8">
        <v>0</v>
      </c>
      <c r="E17" s="24">
        <v>0</v>
      </c>
      <c r="F17">
        <f>D17*C17</f>
        <v>0</v>
      </c>
      <c r="G17">
        <v>0</v>
      </c>
      <c r="P17" s="15" t="s">
        <v>117</v>
      </c>
    </row>
    <row r="18">
      <c r="A18" s="57"/>
      <c r="B18" s="5" t="s">
        <v>56</v>
      </c>
      <c r="C18" s="5">
        <v>200</v>
      </c>
      <c r="D18" s="29">
        <v>1</v>
      </c>
      <c r="E18" s="25">
        <v>0</v>
      </c>
      <c r="F18" s="5">
        <f>D18*C18</f>
        <v>200</v>
      </c>
      <c r="G18">
        <v>15</v>
      </c>
    </row>
    <row r="19" ht="15">
      <c r="B19" s="13" t="s">
        <v>29</v>
      </c>
      <c r="D19" s="2">
        <f>SUM(D12:D18)</f>
        <v>9</v>
      </c>
      <c r="E19" s="6"/>
      <c r="F19" s="2">
        <f>SUM(F12:F18)</f>
        <v>535</v>
      </c>
      <c r="G19" s="52">
        <f>SUM(G12:G18)</f>
        <v>15</v>
      </c>
      <c r="H19" s="52">
        <f>SUM(H12:H18)</f>
        <v>10</v>
      </c>
    </row>
    <row r="20" ht="16" customFormat="1" s="6">
      <c r="A20" s="14"/>
      <c r="D20" s="51">
        <f>D19+SUM(G41:G45)</f>
        <v>11</v>
      </c>
      <c r="E20" s="1"/>
      <c r="H20" s="58" t="s">
        <v>69</v>
      </c>
      <c r="I20" s="58"/>
      <c r="J20" s="58"/>
      <c r="K20" s="58"/>
      <c r="L20" s="58"/>
      <c r="M20" s="58"/>
      <c r="N20" s="58"/>
    </row>
    <row r="21" ht="15">
      <c r="A21" s="2"/>
      <c r="B21" s="2"/>
      <c r="H21" s="58" t="s">
        <v>30</v>
      </c>
      <c r="I21" s="58"/>
      <c r="J21" s="58"/>
      <c r="K21" s="58" t="s">
        <v>31</v>
      </c>
      <c r="L21" s="58"/>
      <c r="M21" s="58"/>
      <c r="N21" s="58"/>
    </row>
    <row r="22" customFormat="1" s="6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customFormat="1" s="33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f>D13</f>
        <v>2</v>
      </c>
      <c r="J23" s="33">
        <f>D14</f>
        <v>2</v>
      </c>
      <c r="K23" s="33">
        <f>D15</f>
        <v>3</v>
      </c>
      <c r="L23" s="33">
        <f>D16</f>
        <v>0</v>
      </c>
      <c r="M23" s="33">
        <f>D17</f>
        <v>0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8</v>
      </c>
    </row>
    <row r="24" customFormat="1" s="6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f>D15</f>
        <v>3</v>
      </c>
      <c r="L24" s="6">
        <v>0</v>
      </c>
      <c r="M24" s="6">
        <f>M23</f>
        <v>0</v>
      </c>
      <c r="N24" s="6">
        <v>0</v>
      </c>
      <c r="O24" s="6">
        <f>SUM(Tabelle2[[#This Row],[boss]:[troll]])*Tabelle2[[#This Row],[gold/stück]]</f>
        <v>6</v>
      </c>
      <c r="P24" s="27" t="s">
        <v>49</v>
      </c>
      <c r="Q24" s="38">
        <v>1</v>
      </c>
      <c r="R24" s="38">
        <f>Tabelle2[[#This Row],[Bewertung]]*SUM(Tabelle2[[#This Row],[boss]:[troll]])</f>
        <v>3</v>
      </c>
    </row>
    <row r="25" customFormat="1" s="6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1</v>
      </c>
      <c r="I25" s="6">
        <v>2</v>
      </c>
      <c r="J25" s="6">
        <f>D14</f>
        <v>2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25</v>
      </c>
      <c r="P25" s="27" t="s">
        <v>49</v>
      </c>
      <c r="Q25" s="38">
        <v>5</v>
      </c>
      <c r="R25" s="38">
        <f>Tabelle2[[#This Row],[Bewertung]]*SUM(Tabelle2[[#This Row],[boss]:[troll]])</f>
        <v>25</v>
      </c>
    </row>
    <row r="26" customFormat="1" s="6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customFormat="1" s="6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33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customFormat="1" s="6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customFormat="1" s="6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49</v>
      </c>
      <c r="Q29" s="38">
        <v>7</v>
      </c>
      <c r="R29" s="38">
        <f>Tabelle2[[#This Row],[Bewertung]]*SUM(Tabelle2[[#This Row],[boss]:[troll]])</f>
        <v>0</v>
      </c>
    </row>
    <row r="30" customFormat="1" s="6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f>L23</f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customFormat="1" s="6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119</v>
      </c>
      <c r="Q31" s="38">
        <v>7</v>
      </c>
      <c r="R31" s="38">
        <f>Tabelle2[[#This Row],[Bewertung]]*SUM(Tabelle2[[#This Row],[boss]:[troll]])</f>
        <v>0</v>
      </c>
    </row>
    <row r="32" customFormat="1" s="6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customFormat="1" s="6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customFormat="1" s="6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customFormat="1" s="6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</row>
    <row r="36" customFormat="1" s="6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customFormat="1" s="6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customFormat="1" s="6">
      <c r="H38" s="3">
        <f>H24*$G24+H25*$G25+H26*$G26+H27*$G27+H28*$G28+H29*$G29+H30*$G30+H31*$G31+H32*$G32+H33*$G33+H34*$G34+H35*$G35+H36*$G36+H37*$G37</f>
        <v>15</v>
      </c>
      <c r="I38" s="3">
        <f>I24*$G24+I25*$G25+I26*$G26+I27*$G27+I28*$G28+I29*$G29+I30*$G30+I31*$G31+I32*$G32+I33*$G33+I34*$G34+I35*$G35+I36*$G36+I37*$G37</f>
        <v>10</v>
      </c>
      <c r="J38" s="3">
        <f>J24*$G24+J25*$G25+J26*$G26+J27*$G27+J28*$G28+J29*$G29+J30*$G30+J31*$G31+J32*$G32+J33*$G33+J34*$G34+J35*$G35+J36*$G36+J37*$G37</f>
        <v>10</v>
      </c>
      <c r="K38" s="3">
        <f>K24*$G24+K25*$G25+K26*$G26+K27*$G27+K28*$G28+K29*$G29+K30*$G30+K31*$G31+K32*$G32+K33*$G33+K34*$G34+K35*$G35+K36*$G36+K37*$G37</f>
        <v>6</v>
      </c>
      <c r="L38" s="3">
        <f>L24*$G24+L25*$G25+L26*$G26+L27*$G27+L28*$G28+L29*$G29+L30*$G30+L31*$G31+L32*$G32+L33*$G33+L34*$G34+L35*$G35+L36*$G36+L37*$G37</f>
        <v>0</v>
      </c>
      <c r="M38" s="3">
        <f>M24*$G24+M25*$G25+M26*$G26+M27*$G27+M28*$G28+M29*$G29+M30*$G30+M31*$G31+M32*$G32+M33*$G33+M34*$G34+M35*$G35+M36*$G36+M37*$G37</f>
        <v>0</v>
      </c>
      <c r="N38" s="3">
        <f>N24*$G24+N25*$G25+N26*$G26+N27*$G27+N28*$G28+N29*$G29+N30*$G30+N31*$G31+N32*$G32+N33*$G33+N34*$G34+N35*$G35+N36*$G36+N37*$G37</f>
        <v>0</v>
      </c>
      <c r="O38" s="36">
        <f>SUM(O23:O37)</f>
        <v>41</v>
      </c>
    </row>
    <row r="39" customFormat="1" s="6">
      <c r="Q39" s="6" t="s">
        <v>92</v>
      </c>
      <c r="R39" s="6">
        <f>SUM(R23:R31)</f>
        <v>36</v>
      </c>
    </row>
    <row r="40" customFormat="1" s="6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</row>
    <row r="41" customFormat="1" s="6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1</v>
      </c>
      <c r="H41" s="6">
        <f>Q36+Q34+Q29+Q37</f>
        <v>26</v>
      </c>
      <c r="I41" s="28">
        <f>SUM('Characteristik analyse'!D19:D27)</f>
        <v>1.3</v>
      </c>
      <c r="J41" s="6">
        <v>0.5</v>
      </c>
      <c r="Q41" s="3" t="s">
        <v>99</v>
      </c>
      <c r="R41" s="6">
        <f>SUM(Tabelle2[Warband equip rating])</f>
        <v>43</v>
      </c>
    </row>
    <row r="42" customFormat="1" s="6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customFormat="1" s="6"/>
    <row r="44" customFormat="1" s="6"/>
    <row r="45" customFormat="1" s="6"/>
    <row r="46" customFormat="1" s="6"/>
    <row r="47" customFormat="1" s="6"/>
    <row r="48" customFormat="1" s="6"/>
    <row r="49" customFormat="1" s="6"/>
    <row r="50" customFormat="1" s="6">
      <c r="S50" s="1"/>
    </row>
    <row r="51" customFormat="1" s="6">
      <c r="S51" s="1"/>
    </row>
    <row r="52">
      <c r="P52" s="1"/>
    </row>
    <row r="53" customFormat="1" s="6"/>
    <row r="54" customFormat="1" s="6"/>
    <row r="55" customFormat="1" s="6"/>
    <row r="56" customFormat="1" s="6"/>
    <row r="57" customFormat="1" s="6"/>
    <row r="58" customFormat="1" s="6"/>
    <row r="59" customFormat="1" s="6"/>
    <row r="60" customFormat="1" s="6"/>
    <row r="61" customFormat="1" s="6"/>
    <row r="62" customFormat="1" s="6"/>
    <row r="63" customFormat="1" s="6"/>
    <row r="64" customFormat="1" s="6"/>
    <row r="65" customFormat="1" s="6"/>
    <row r="66" customFormat="1" s="6"/>
    <row r="67" customFormat="1" s="6"/>
    <row r="68" customFormat="1" s="6"/>
    <row r="69" customFormat="1" s="6"/>
    <row r="70" customFormat="1" s="6"/>
    <row r="71" customFormat="1" s="6"/>
    <row r="72" customFormat="1" s="6"/>
    <row r="73" customFormat="1" s="6"/>
    <row r="74" customFormat="1" s="6"/>
    <row r="75" customFormat="1" s="6"/>
    <row r="76" customFormat="1" s="6"/>
    <row r="77" customFormat="1" s="6"/>
    <row r="78" customFormat="1" s="6"/>
    <row r="79" customFormat="1" s="6"/>
    <row r="80" customFormat="1" s="6"/>
    <row r="81" customFormat="1" s="6"/>
    <row r="82" customFormat="1" s="6"/>
    <row r="83" customFormat="1" s="6"/>
    <row r="84" customFormat="1" s="6"/>
    <row r="85" customFormat="1" s="6"/>
    <row r="86" customFormat="1" s="6"/>
    <row r="87" customFormat="1" s="6"/>
    <row r="88" customFormat="1" s="6"/>
    <row r="89" customFormat="1" s="6"/>
    <row r="90" customFormat="1" s="6"/>
    <row r="91" customFormat="1" s="6"/>
    <row r="92" customFormat="1" s="6"/>
    <row r="93" customFormat="1" s="6"/>
    <row r="94" customFormat="1" s="6"/>
    <row r="95" customFormat="1" s="6"/>
    <row r="96" customFormat="1" s="6"/>
    <row r="97" customFormat="1" s="6"/>
    <row r="98" customFormat="1" s="6"/>
    <row r="108" customFormat="1" s="6"/>
    <row r="109" customFormat="1" s="6"/>
    <row r="110" customFormat="1" s="6"/>
    <row r="111" customFormat="1" s="6"/>
    <row r="112" customFormat="1" s="6"/>
    <row r="113" customFormat="1" s="6"/>
    <row r="114" customFormat="1" s="6"/>
    <row r="115" customHeight="1" ht="1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12" priority="55" operator="greaterThan">
      <formula>$B$5</formula>
    </cfRule>
  </conditionalFormatting>
  <conditionalFormatting sqref="F12:F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11" priority="14" operator="greaterThan">
      <formula>0</formula>
    </cfRule>
  </conditionalFormatting>
  <conditionalFormatting sqref="H23:N37">
    <cfRule type="cellIs" dxfId="10" priority="10" operator="greaterThan">
      <formula>0</formula>
    </cfRule>
  </conditionalFormatting>
  <conditionalFormatting sqref="H23:N37">
    <cfRule type="cellIs" dxfId="9" priority="9" operator="greaterThan">
      <formula>0</formula>
    </cfRule>
  </conditionalFormatting>
  <conditionalFormatting sqref="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1"/>
  <sheetViews>
    <sheetView zoomScale="41" zoomScaleNormal="41" workbookViewId="0" topLeftCell="H2" tabSelected="true">
      <selection activeCell="J18" sqref="J18" activeCellId="0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4" width="15" bestFit="1" customWidth="1"/>
    <col min="5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3" width="4" bestFit="1" customWidth="1"/>
    <col min="14" max="14" width="4" bestFit="1" customWidth="1"/>
  </cols>
  <sheetData>
    <row r="2" ht="15">
      <c r="B2" s="59" t="s">
        <v>110</v>
      </c>
      <c r="C2" s="59"/>
      <c r="D2" s="59"/>
    </row>
    <row r="3" ht="15" customFormat="1" s="6">
      <c r="B3" s="31"/>
      <c r="C3" s="31"/>
      <c r="D3" s="31"/>
    </row>
    <row r="4" ht="15" customFormat="1" s="6">
      <c r="B4" s="31"/>
      <c r="C4" s="31"/>
      <c r="D4" s="31"/>
    </row>
    <row r="5" ht="15">
      <c r="C5" s="60" t="s">
        <v>30</v>
      </c>
      <c r="D5" s="60"/>
      <c r="E5" s="60"/>
      <c r="F5" s="60"/>
      <c r="G5" s="60" t="s">
        <v>31</v>
      </c>
      <c r="H5" s="60"/>
      <c r="I5" s="60"/>
      <c r="K5" s="58" t="s">
        <v>94</v>
      </c>
      <c r="L5" s="58"/>
    </row>
    <row r="6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2</v>
      </c>
      <c r="L13" s="22">
        <v>2</v>
      </c>
      <c r="M13">
        <v>3</v>
      </c>
    </row>
    <row r="14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3</v>
      </c>
      <c r="L14" s="22">
        <v>3</v>
      </c>
      <c r="M14">
        <v>1</v>
      </c>
    </row>
    <row r="15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customFormat="1" s="33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customFormat="1" s="33">
      <c r="B17" s="45"/>
      <c r="L17" s="32"/>
    </row>
    <row r="18">
      <c r="B18" s="6"/>
      <c r="C18" s="6"/>
      <c r="D18" s="6"/>
      <c r="E18" s="6"/>
      <c r="F18" s="6"/>
      <c r="G18" s="6"/>
      <c r="H18" s="6"/>
      <c r="I18" s="6"/>
    </row>
    <row r="19">
      <c r="B19" s="12" t="s">
        <v>20</v>
      </c>
      <c r="C19" s="28">
        <f>$K7*C8/C$28</f>
        <v>0.1333333333333</v>
      </c>
      <c r="D19" s="28">
        <f>$K7*D8/D$28</f>
        <v>0.2</v>
      </c>
      <c r="E19" s="28">
        <f>$K7*E8/E$28</f>
        <v>0.24</v>
      </c>
      <c r="F19" s="28">
        <f>$L7*F8/F$28</f>
        <v>0.36</v>
      </c>
      <c r="G19" s="28">
        <f>$L7*G8/G$28</f>
        <v>0.36</v>
      </c>
      <c r="H19" s="28">
        <f>$L7*H8/H$28</f>
        <v>0.225</v>
      </c>
      <c r="I19" s="28">
        <f>$N$6*$M7*I8/I$28</f>
        <v>4.5</v>
      </c>
    </row>
    <row r="20">
      <c r="B20" s="12" t="s">
        <v>21</v>
      </c>
      <c r="C20" s="28">
        <f>$K8*C9/C$28</f>
        <v>0.0444444444444</v>
      </c>
      <c r="D20" s="28">
        <f>$K8*D9/D$28</f>
        <v>0.05</v>
      </c>
      <c r="E20" s="28">
        <f>$K8*E9/E$28</f>
        <v>0.08</v>
      </c>
      <c r="F20" s="28">
        <f>$L8*F9/F$28</f>
        <v>0.12</v>
      </c>
      <c r="G20" s="28">
        <f>$L8*G9/G$28</f>
        <v>0.12</v>
      </c>
      <c r="H20" s="28">
        <f>$L8*H9/H$28</f>
        <v>0.05</v>
      </c>
      <c r="I20" s="28">
        <f>$N$6*$M8*I9/I$28</f>
        <v>1.5</v>
      </c>
    </row>
    <row r="21">
      <c r="B21" s="12" t="s">
        <v>22</v>
      </c>
      <c r="C21" s="28">
        <f>$K9*C10/C$28</f>
        <v>0.0444444444444</v>
      </c>
      <c r="D21" s="28">
        <f>$K9*D10/D$28</f>
        <v>0.0666666666667</v>
      </c>
      <c r="E21" s="28">
        <f>$K9*E10/E$28</f>
        <v>0.12</v>
      </c>
      <c r="F21" s="28">
        <f>$L9*F10/F$28</f>
        <v>0.12</v>
      </c>
      <c r="G21" s="28">
        <f>$L9*G10/G$28</f>
        <v>0.12</v>
      </c>
      <c r="H21" s="28">
        <f>$L9*H10/H$28</f>
        <v>0.075</v>
      </c>
      <c r="I21" s="28">
        <f>$N$6*$M9*I10/I$28</f>
        <v>2.5</v>
      </c>
    </row>
    <row r="22">
      <c r="B22" s="12" t="s">
        <v>23</v>
      </c>
      <c r="C22" s="28">
        <f>$K10*C11/C$28</f>
        <v>0.1333333333333</v>
      </c>
      <c r="D22" s="28">
        <f>$K10*D11/D$28</f>
        <v>0.2</v>
      </c>
      <c r="E22" s="28">
        <f>$K10*E11/E$28</f>
        <v>0.48</v>
      </c>
      <c r="F22" s="28">
        <f>$L10*F11/F$28</f>
        <v>0.48</v>
      </c>
      <c r="G22" s="28">
        <f>$L10*G11/G$28</f>
        <v>0.48</v>
      </c>
      <c r="H22" s="28">
        <f>$L10*H11/H$28</f>
        <v>0.3</v>
      </c>
      <c r="I22" s="28">
        <f>$N$6*$M10*I11/I$28</f>
        <v>6</v>
      </c>
    </row>
    <row r="23">
      <c r="B23" s="12" t="s">
        <v>24</v>
      </c>
      <c r="C23" s="28">
        <f>$K11*C12/C$28</f>
        <v>0.0333333333333</v>
      </c>
      <c r="D23" s="28">
        <f>$K11*D12/D$28</f>
        <v>0.05</v>
      </c>
      <c r="E23" s="28">
        <f>$K11*E12/E$28</f>
        <v>0.12</v>
      </c>
      <c r="F23" s="28">
        <f>$L11*F12/F$28</f>
        <v>0.12</v>
      </c>
      <c r="G23" s="28">
        <f>$L11*G12/G$28</f>
        <v>0.12</v>
      </c>
      <c r="H23" s="28">
        <f>$L11*H12/H$28</f>
        <v>0.075</v>
      </c>
      <c r="I23" s="28">
        <f>$N$6*$M11*I12/I$28</f>
        <v>4.5</v>
      </c>
    </row>
    <row r="24">
      <c r="B24" s="12" t="s">
        <v>25</v>
      </c>
      <c r="C24" s="28">
        <f>$K12*C13/C$28</f>
        <v>0.1</v>
      </c>
      <c r="D24" s="28">
        <f>$K12*D13/D$28</f>
        <v>0.15</v>
      </c>
      <c r="E24" s="28">
        <f>$K12*E13/E$28</f>
        <v>0.24</v>
      </c>
      <c r="F24" s="28">
        <f>$L12*F13/F$28</f>
        <v>0.24</v>
      </c>
      <c r="G24" s="28">
        <f>$L12*G13/G$28</f>
        <v>0.24</v>
      </c>
      <c r="H24" s="28">
        <f>$L12*H13/H$28</f>
        <v>0.15</v>
      </c>
      <c r="I24" s="28">
        <f>$N$6*$M12*I13/I$28</f>
        <v>1.5</v>
      </c>
    </row>
    <row r="25">
      <c r="B25" s="12" t="s">
        <v>26</v>
      </c>
      <c r="C25" s="28">
        <f>$K13*C14/C$28</f>
        <v>0.0222222222222</v>
      </c>
      <c r="D25" s="28">
        <f>$K13*D14/D$28</f>
        <v>0.0333333333333</v>
      </c>
      <c r="E25" s="28">
        <f>$K13*E14/E$28</f>
        <v>0.08</v>
      </c>
      <c r="F25" s="28">
        <f>$L13*F14/F$28</f>
        <v>0.08</v>
      </c>
      <c r="G25" s="28">
        <f>$L13*G14/G$28</f>
        <v>0.08</v>
      </c>
      <c r="H25" s="28">
        <f>$L13*H14/H$28</f>
        <v>0.1</v>
      </c>
      <c r="I25" s="28">
        <f>$N$6*$M13*I14/I$28</f>
        <v>4.5</v>
      </c>
    </row>
    <row r="26">
      <c r="B26" s="12" t="s">
        <v>27</v>
      </c>
      <c r="C26" s="28">
        <f>$K14*C15/C$28</f>
        <v>0.2666666666667</v>
      </c>
      <c r="D26" s="28">
        <f>$K14*D15/D$28</f>
        <v>0.35</v>
      </c>
      <c r="E26" s="28">
        <f>$K14*E15/E$28</f>
        <v>0.84</v>
      </c>
      <c r="F26" s="28">
        <f>$L14*F15/F$28</f>
        <v>0.84</v>
      </c>
      <c r="G26" s="28">
        <f>$L14*G15/G$28</f>
        <v>0.84</v>
      </c>
      <c r="H26" s="28">
        <f>$L14*H15/H$28</f>
        <v>0.375</v>
      </c>
      <c r="I26" s="28">
        <f>$N$6*$M14*I15/I$28</f>
        <v>2</v>
      </c>
    </row>
    <row r="27">
      <c r="B27" s="12" t="s">
        <v>95</v>
      </c>
      <c r="C27" s="28">
        <f>$K15*C16/C28</f>
        <v>0.1333333333333</v>
      </c>
      <c r="D27" s="28">
        <f>$K15*D16/D28</f>
        <v>0.2</v>
      </c>
      <c r="E27" s="28">
        <f>$K15*E16/E28</f>
        <v>0</v>
      </c>
      <c r="F27" s="28">
        <f>$L15*F16/F$28</f>
        <v>0</v>
      </c>
      <c r="G27" s="28">
        <f>$L15*G16/G$28</f>
        <v>0</v>
      </c>
      <c r="H27" s="28">
        <f>$L15*H16/H$28</f>
        <v>0</v>
      </c>
      <c r="I27" s="28">
        <f>$N$6*$M15*I16/I$28</f>
        <v>2</v>
      </c>
      <c r="J27" s="6"/>
    </row>
    <row r="28">
      <c r="B28" s="13" t="s">
        <v>28</v>
      </c>
      <c r="C28" s="48">
        <f>Member!C12</f>
        <v>90</v>
      </c>
      <c r="D28" s="48">
        <f>Member!C13</f>
        <v>60</v>
      </c>
      <c r="E28" s="48">
        <f>Member!C14</f>
        <v>25</v>
      </c>
      <c r="F28" s="48">
        <f>Member!C15</f>
        <v>25</v>
      </c>
      <c r="G28" s="48">
        <f>Member!C16</f>
        <v>25</v>
      </c>
      <c r="H28" s="48">
        <f>Member!C17</f>
        <v>40</v>
      </c>
      <c r="I28" s="48">
        <f>Member!C18</f>
        <v>200</v>
      </c>
      <c r="J28" s="6"/>
    </row>
    <row r="29">
      <c r="C29" s="49">
        <f>SUM(C19:C27)</f>
        <v>0.9111111111109</v>
      </c>
      <c r="D29" s="49">
        <f>SUM(D19:D27)</f>
        <v>1.3</v>
      </c>
      <c r="E29" s="49">
        <f>SUM(E19:E27)</f>
        <v>2.2</v>
      </c>
      <c r="F29" s="49">
        <f>SUM(F19:F27)</f>
        <v>2.36</v>
      </c>
      <c r="G29" s="49">
        <f>SUM(G19:G27)</f>
        <v>2.36</v>
      </c>
      <c r="H29" s="49">
        <f>SUM(H19:H27)</f>
        <v>1.35</v>
      </c>
      <c r="I29" s="49">
        <f>SUM(I19:I27)</f>
        <v>29</v>
      </c>
    </row>
    <row r="30">
      <c r="C30" s="50">
        <f>Member!D12</f>
        <v>1</v>
      </c>
      <c r="D30" s="50">
        <f>Member!D13</f>
        <v>2</v>
      </c>
      <c r="E30" s="50">
        <f>Member!D14</f>
        <v>2</v>
      </c>
      <c r="F30" s="50">
        <f>Member!D15</f>
        <v>3</v>
      </c>
      <c r="G30" s="50">
        <f>Member!D16</f>
        <v>0</v>
      </c>
      <c r="H30" s="50">
        <f>Member!D17</f>
        <v>0</v>
      </c>
      <c r="I30" s="50">
        <f>Member!D12</f>
        <v>1</v>
      </c>
    </row>
    <row r="31">
      <c r="C31" s="28">
        <f>SUM(C19:C27)*Member!$D12</f>
        <v>0.9111111111109</v>
      </c>
      <c r="D31" s="28">
        <f>SUM(D19:D27)*Member!$D13</f>
        <v>2.6000000000001</v>
      </c>
      <c r="E31" s="28">
        <f>SUM(E19:E27)*Member!$D14</f>
        <v>4.4</v>
      </c>
      <c r="F31" s="28">
        <f>SUM(F19:F27)*Member!$D15</f>
        <v>7.08</v>
      </c>
      <c r="G31" s="28">
        <f>SUM(G19:G27)*Member!$D16</f>
        <v>0</v>
      </c>
      <c r="H31" s="28">
        <f>SUM(H19:H27)*Member!$D17</f>
        <v>0</v>
      </c>
      <c r="I31" s="28">
        <f>SUM(I19:I27)*Member!D18</f>
        <v>29</v>
      </c>
      <c r="J31" s="40">
        <f>SUM(C31:I31)</f>
        <v>43.991111111111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2018-11-27T11:19:13Z</dcterms:created>
  <dcterms:modified xsi:type="dcterms:W3CDTF">2018-11-27T11:27:52Z</dcterms:modified>
</cp:coreProperties>
</file>