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te\Dropbox\Privat\Mordheim\Players\Kai\nonplayed\possessed\"/>
    </mc:Choice>
  </mc:AlternateContent>
  <xr:revisionPtr revIDLastSave="0" documentId="13_ncr:1_{E71BBA42-EB99-4AD4-881E-D472F2DB2E98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cost calculation" sheetId="1" r:id="rId1"/>
    <sheet name="Underdog Bonus" sheetId="2" r:id="rId2"/>
    <sheet name="Hired swords" sheetId="3" r:id="rId3"/>
    <sheet name="Characteristic analysis" sheetId="4" r:id="rId4"/>
  </sheets>
  <definedNames>
    <definedName name="_FilterDatabase_0" localSheetId="0">'Hired swords'!$B$2:$L$19</definedName>
    <definedName name="_xlnm._FilterDatabase" localSheetId="0">'cost calculation'!$B$21:$S$74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8" i="1" l="1"/>
  <c r="R7" i="1"/>
  <c r="H29" i="4"/>
  <c r="G29" i="4"/>
  <c r="F29" i="4"/>
  <c r="E29" i="4"/>
  <c r="D29" i="4"/>
  <c r="C29" i="4"/>
  <c r="J29" i="4" s="1"/>
  <c r="J4" i="1" s="1"/>
  <c r="H25" i="4"/>
  <c r="H22" i="4" s="1"/>
  <c r="G25" i="4"/>
  <c r="G22" i="4" s="1"/>
  <c r="F25" i="4"/>
  <c r="F21" i="4" s="1"/>
  <c r="E25" i="4"/>
  <c r="D25" i="4"/>
  <c r="C25" i="4"/>
  <c r="H23" i="4"/>
  <c r="E23" i="4"/>
  <c r="D23" i="4"/>
  <c r="C23" i="4"/>
  <c r="E22" i="4"/>
  <c r="D22" i="4"/>
  <c r="C22" i="4"/>
  <c r="H21" i="4"/>
  <c r="E21" i="4"/>
  <c r="D21" i="4"/>
  <c r="C21" i="4"/>
  <c r="H20" i="4"/>
  <c r="G20" i="4"/>
  <c r="F20" i="4"/>
  <c r="E20" i="4"/>
  <c r="D20" i="4"/>
  <c r="C20" i="4"/>
  <c r="H19" i="4"/>
  <c r="E19" i="4"/>
  <c r="D19" i="4"/>
  <c r="C19" i="4"/>
  <c r="H18" i="4"/>
  <c r="E18" i="4"/>
  <c r="D18" i="4"/>
  <c r="C18" i="4"/>
  <c r="H17" i="4"/>
  <c r="E17" i="4"/>
  <c r="D17" i="4"/>
  <c r="C17" i="4"/>
  <c r="H16" i="4"/>
  <c r="G16" i="4"/>
  <c r="F16" i="4"/>
  <c r="E16" i="4"/>
  <c r="D16" i="4"/>
  <c r="C16" i="4"/>
  <c r="H15" i="4"/>
  <c r="E15" i="4"/>
  <c r="E27" i="4" s="1"/>
  <c r="E28" i="4" s="1"/>
  <c r="D15" i="4"/>
  <c r="D27" i="4" s="1"/>
  <c r="D28" i="4" s="1"/>
  <c r="C15" i="4"/>
  <c r="C27" i="4" s="1"/>
  <c r="C28" i="4" s="1"/>
  <c r="H4" i="4"/>
  <c r="G4" i="4"/>
  <c r="F4" i="4"/>
  <c r="E4" i="4"/>
  <c r="D4" i="4"/>
  <c r="C4" i="4"/>
  <c r="B19" i="3"/>
  <c r="O18" i="3"/>
  <c r="K18" i="3"/>
  <c r="J18" i="3"/>
  <c r="I18" i="3"/>
  <c r="H18" i="3"/>
  <c r="G18" i="3"/>
  <c r="O17" i="3"/>
  <c r="K17" i="3"/>
  <c r="J17" i="3"/>
  <c r="I17" i="3"/>
  <c r="H17" i="3"/>
  <c r="G17" i="3"/>
  <c r="O16" i="3"/>
  <c r="K16" i="3"/>
  <c r="J16" i="3"/>
  <c r="I16" i="3"/>
  <c r="H16" i="3"/>
  <c r="G16" i="3"/>
  <c r="O15" i="3"/>
  <c r="K15" i="3"/>
  <c r="J15" i="3"/>
  <c r="I15" i="3"/>
  <c r="H15" i="3"/>
  <c r="G15" i="3"/>
  <c r="O14" i="3"/>
  <c r="K14" i="3"/>
  <c r="J14" i="3"/>
  <c r="I14" i="3"/>
  <c r="H14" i="3"/>
  <c r="G14" i="3"/>
  <c r="O13" i="3"/>
  <c r="K13" i="3"/>
  <c r="J13" i="3"/>
  <c r="I13" i="3"/>
  <c r="H13" i="3"/>
  <c r="G13" i="3"/>
  <c r="O12" i="3"/>
  <c r="K12" i="3"/>
  <c r="J12" i="3"/>
  <c r="I12" i="3"/>
  <c r="H12" i="3"/>
  <c r="G12" i="3"/>
  <c r="O11" i="3"/>
  <c r="K11" i="3"/>
  <c r="J11" i="3"/>
  <c r="I11" i="3"/>
  <c r="H11" i="3"/>
  <c r="G11" i="3"/>
  <c r="O10" i="3"/>
  <c r="K10" i="3"/>
  <c r="J10" i="3"/>
  <c r="I10" i="3"/>
  <c r="H10" i="3"/>
  <c r="G10" i="3"/>
  <c r="O9" i="3"/>
  <c r="K9" i="3"/>
  <c r="J9" i="3"/>
  <c r="I9" i="3"/>
  <c r="H9" i="3"/>
  <c r="G9" i="3"/>
  <c r="O8" i="3"/>
  <c r="K8" i="3"/>
  <c r="J8" i="3"/>
  <c r="I8" i="3"/>
  <c r="H8" i="3"/>
  <c r="G8" i="3"/>
  <c r="O7" i="3"/>
  <c r="K7" i="3"/>
  <c r="J7" i="3"/>
  <c r="I7" i="3"/>
  <c r="H7" i="3"/>
  <c r="G7" i="3"/>
  <c r="O6" i="3"/>
  <c r="K6" i="3"/>
  <c r="J6" i="3"/>
  <c r="I6" i="3"/>
  <c r="H6" i="3"/>
  <c r="G6" i="3"/>
  <c r="O5" i="3"/>
  <c r="K5" i="3"/>
  <c r="J5" i="3"/>
  <c r="I5" i="3"/>
  <c r="H5" i="3"/>
  <c r="G5" i="3"/>
  <c r="O4" i="3"/>
  <c r="K4" i="3"/>
  <c r="J4" i="3"/>
  <c r="I4" i="3"/>
  <c r="H4" i="3"/>
  <c r="G4" i="3"/>
  <c r="O3" i="3"/>
  <c r="O19" i="3" s="1"/>
  <c r="K3" i="3"/>
  <c r="J3" i="3"/>
  <c r="I3" i="3"/>
  <c r="I19" i="3" s="1"/>
  <c r="J6" i="1" s="1"/>
  <c r="I14" i="1" s="1"/>
  <c r="H3" i="3"/>
  <c r="H19" i="3" s="1"/>
  <c r="C8" i="1" s="1"/>
  <c r="G3" i="3"/>
  <c r="G19" i="3" s="1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K76" i="1"/>
  <c r="I76" i="1"/>
  <c r="S74" i="1"/>
  <c r="R74" i="1"/>
  <c r="Q74" i="1"/>
  <c r="N74" i="1"/>
  <c r="S73" i="1"/>
  <c r="R73" i="1"/>
  <c r="Q73" i="1"/>
  <c r="N73" i="1"/>
  <c r="S72" i="1"/>
  <c r="R72" i="1"/>
  <c r="Q72" i="1"/>
  <c r="N72" i="1"/>
  <c r="S71" i="1"/>
  <c r="R71" i="1"/>
  <c r="Q71" i="1"/>
  <c r="N71" i="1"/>
  <c r="S70" i="1"/>
  <c r="R70" i="1"/>
  <c r="Q70" i="1"/>
  <c r="N70" i="1"/>
  <c r="S69" i="1"/>
  <c r="R69" i="1"/>
  <c r="Q69" i="1"/>
  <c r="N69" i="1"/>
  <c r="S68" i="1"/>
  <c r="R68" i="1"/>
  <c r="Q68" i="1"/>
  <c r="N68" i="1"/>
  <c r="S67" i="1"/>
  <c r="R67" i="1"/>
  <c r="Q67" i="1"/>
  <c r="N67" i="1"/>
  <c r="S66" i="1"/>
  <c r="R66" i="1"/>
  <c r="Q66" i="1"/>
  <c r="N66" i="1"/>
  <c r="S65" i="1"/>
  <c r="R65" i="1"/>
  <c r="Q65" i="1"/>
  <c r="N65" i="1"/>
  <c r="S64" i="1"/>
  <c r="R64" i="1"/>
  <c r="Q64" i="1"/>
  <c r="N64" i="1"/>
  <c r="S63" i="1"/>
  <c r="R63" i="1"/>
  <c r="Q63" i="1"/>
  <c r="N63" i="1"/>
  <c r="J62" i="1"/>
  <c r="S61" i="1"/>
  <c r="R61" i="1"/>
  <c r="Q61" i="1"/>
  <c r="N61" i="1"/>
  <c r="S60" i="1"/>
  <c r="R60" i="1"/>
  <c r="Q60" i="1"/>
  <c r="N60" i="1"/>
  <c r="S59" i="1"/>
  <c r="R59" i="1"/>
  <c r="Q59" i="1"/>
  <c r="N59" i="1"/>
  <c r="S58" i="1"/>
  <c r="R58" i="1"/>
  <c r="Q58" i="1"/>
  <c r="N58" i="1"/>
  <c r="S57" i="1"/>
  <c r="R57" i="1"/>
  <c r="Q57" i="1"/>
  <c r="N57" i="1"/>
  <c r="S56" i="1"/>
  <c r="R56" i="1"/>
  <c r="Q56" i="1"/>
  <c r="N56" i="1"/>
  <c r="N55" i="1"/>
  <c r="J55" i="1"/>
  <c r="S55" i="1" s="1"/>
  <c r="S54" i="1"/>
  <c r="R54" i="1"/>
  <c r="Q54" i="1"/>
  <c r="N54" i="1"/>
  <c r="S53" i="1"/>
  <c r="R53" i="1"/>
  <c r="Q53" i="1"/>
  <c r="N53" i="1"/>
  <c r="S52" i="1"/>
  <c r="R52" i="1"/>
  <c r="Q52" i="1"/>
  <c r="N52" i="1"/>
  <c r="S51" i="1"/>
  <c r="R51" i="1"/>
  <c r="Q51" i="1"/>
  <c r="N51" i="1"/>
  <c r="R50" i="1"/>
  <c r="Q50" i="1"/>
  <c r="J50" i="1"/>
  <c r="S50" i="1" s="1"/>
  <c r="S49" i="1"/>
  <c r="R49" i="1"/>
  <c r="Q49" i="1"/>
  <c r="N49" i="1"/>
  <c r="S48" i="1"/>
  <c r="R48" i="1"/>
  <c r="Q48" i="1"/>
  <c r="N48" i="1"/>
  <c r="S47" i="1"/>
  <c r="R47" i="1"/>
  <c r="Q47" i="1"/>
  <c r="N47" i="1"/>
  <c r="S46" i="1"/>
  <c r="R46" i="1"/>
  <c r="Q46" i="1"/>
  <c r="N46" i="1"/>
  <c r="S45" i="1"/>
  <c r="R45" i="1"/>
  <c r="Q45" i="1"/>
  <c r="N45" i="1"/>
  <c r="S44" i="1"/>
  <c r="R44" i="1"/>
  <c r="Q44" i="1"/>
  <c r="N44" i="1"/>
  <c r="S43" i="1"/>
  <c r="R43" i="1"/>
  <c r="Q43" i="1"/>
  <c r="N43" i="1"/>
  <c r="S42" i="1"/>
  <c r="R42" i="1"/>
  <c r="Q42" i="1"/>
  <c r="N42" i="1"/>
  <c r="R41" i="1"/>
  <c r="K41" i="1"/>
  <c r="S40" i="1"/>
  <c r="R40" i="1"/>
  <c r="Q40" i="1"/>
  <c r="N40" i="1"/>
  <c r="S39" i="1"/>
  <c r="R39" i="1"/>
  <c r="Q39" i="1"/>
  <c r="N39" i="1"/>
  <c r="S38" i="1"/>
  <c r="R38" i="1"/>
  <c r="Q38" i="1"/>
  <c r="N38" i="1"/>
  <c r="S37" i="1"/>
  <c r="R37" i="1"/>
  <c r="Q37" i="1"/>
  <c r="N37" i="1"/>
  <c r="R36" i="1"/>
  <c r="M36" i="1"/>
  <c r="S36" i="1" s="1"/>
  <c r="S35" i="1"/>
  <c r="R35" i="1"/>
  <c r="Q35" i="1"/>
  <c r="N35" i="1"/>
  <c r="S34" i="1"/>
  <c r="Q34" i="1"/>
  <c r="N34" i="1"/>
  <c r="S33" i="1"/>
  <c r="Q33" i="1"/>
  <c r="N33" i="1"/>
  <c r="S32" i="1"/>
  <c r="Q32" i="1"/>
  <c r="N32" i="1"/>
  <c r="S31" i="1"/>
  <c r="Q31" i="1"/>
  <c r="N31" i="1"/>
  <c r="S30" i="1"/>
  <c r="Q30" i="1"/>
  <c r="N30" i="1"/>
  <c r="M29" i="1"/>
  <c r="L29" i="1"/>
  <c r="S28" i="1"/>
  <c r="Q28" i="1"/>
  <c r="N28" i="1"/>
  <c r="S27" i="1"/>
  <c r="Q27" i="1"/>
  <c r="N27" i="1"/>
  <c r="M26" i="1"/>
  <c r="L26" i="1"/>
  <c r="L76" i="1" s="1"/>
  <c r="J26" i="1"/>
  <c r="Q26" i="1" s="1"/>
  <c r="H26" i="1"/>
  <c r="H76" i="1" s="1"/>
  <c r="J25" i="1"/>
  <c r="Q24" i="1"/>
  <c r="N24" i="1"/>
  <c r="M24" i="1"/>
  <c r="S24" i="1" s="1"/>
  <c r="J23" i="1"/>
  <c r="Q22" i="1"/>
  <c r="N22" i="1"/>
  <c r="M22" i="1"/>
  <c r="M21" i="1"/>
  <c r="L21" i="1"/>
  <c r="K21" i="1"/>
  <c r="J21" i="1"/>
  <c r="I21" i="1"/>
  <c r="H21" i="1"/>
  <c r="E18" i="1"/>
  <c r="G16" i="1"/>
  <c r="G15" i="1"/>
  <c r="G14" i="1"/>
  <c r="G13" i="1"/>
  <c r="G12" i="1"/>
  <c r="G11" i="1"/>
  <c r="G18" i="1" s="1"/>
  <c r="O8" i="1"/>
  <c r="O7" i="1"/>
  <c r="J7" i="1"/>
  <c r="R6" i="1"/>
  <c r="O6" i="1"/>
  <c r="R4" i="1"/>
  <c r="J3" i="1"/>
  <c r="J2" i="1"/>
  <c r="O9" i="1" l="1"/>
  <c r="Q29" i="1"/>
  <c r="N29" i="1"/>
  <c r="S62" i="1"/>
  <c r="R62" i="1"/>
  <c r="Q62" i="1"/>
  <c r="R5" i="1"/>
  <c r="I13" i="1"/>
  <c r="I17" i="1"/>
  <c r="I16" i="1"/>
  <c r="B5" i="2"/>
  <c r="J76" i="1"/>
  <c r="S23" i="1"/>
  <c r="J77" i="1"/>
  <c r="Q23" i="1"/>
  <c r="Q76" i="1" s="1"/>
  <c r="J8" i="1" s="1"/>
  <c r="J9" i="1" s="1"/>
  <c r="H27" i="4"/>
  <c r="H28" i="4" s="1"/>
  <c r="I15" i="1"/>
  <c r="Q41" i="1"/>
  <c r="N41" i="1"/>
  <c r="S41" i="1"/>
  <c r="N62" i="1"/>
  <c r="N26" i="1"/>
  <c r="S26" i="1"/>
  <c r="N36" i="1"/>
  <c r="Q36" i="1"/>
  <c r="N23" i="1"/>
  <c r="S29" i="1"/>
  <c r="M76" i="1"/>
  <c r="S25" i="1"/>
  <c r="Q25" i="1"/>
  <c r="N25" i="1"/>
  <c r="N76" i="1" s="1"/>
  <c r="G17" i="4"/>
  <c r="G21" i="4"/>
  <c r="R55" i="1"/>
  <c r="R77" i="1" s="1"/>
  <c r="Q55" i="1"/>
  <c r="N50" i="1"/>
  <c r="F15" i="4"/>
  <c r="F19" i="4"/>
  <c r="F23" i="4"/>
  <c r="G15" i="4"/>
  <c r="G19" i="4"/>
  <c r="G23" i="4"/>
  <c r="S22" i="1"/>
  <c r="F18" i="4"/>
  <c r="F22" i="4"/>
  <c r="G18" i="4"/>
  <c r="F17" i="4"/>
  <c r="R76" i="1" l="1"/>
  <c r="R78" i="1" s="1"/>
  <c r="C6" i="1" s="1"/>
  <c r="C7" i="1" s="1"/>
  <c r="B8" i="2"/>
  <c r="B7" i="2"/>
  <c r="B10" i="2"/>
  <c r="C4" i="2" s="1"/>
  <c r="C11" i="2" s="1"/>
  <c r="B6" i="2"/>
  <c r="B9" i="2"/>
  <c r="Q78" i="1"/>
  <c r="G27" i="4"/>
  <c r="G28" i="4" s="1"/>
  <c r="F27" i="4"/>
  <c r="F28" i="4" s="1"/>
  <c r="J28" i="4" s="1"/>
  <c r="C5" i="2" l="1"/>
  <c r="Q77" i="1"/>
  <c r="K8" i="1" s="1"/>
  <c r="L8" i="1"/>
  <c r="C8" i="2" l="1"/>
  <c r="C7" i="2"/>
  <c r="C10" i="2"/>
  <c r="C6" i="2"/>
  <c r="C9" i="2"/>
  <c r="D4" i="2" l="1"/>
  <c r="D11" i="2" l="1"/>
  <c r="D5" i="2"/>
  <c r="D7" i="2" l="1"/>
  <c r="D10" i="2"/>
  <c r="D6" i="2"/>
  <c r="D9" i="2"/>
  <c r="D8" i="2"/>
  <c r="E4" i="2" l="1"/>
  <c r="E11" i="2" l="1"/>
  <c r="E5" i="2"/>
  <c r="E7" i="2" l="1"/>
  <c r="E10" i="2"/>
  <c r="E6" i="2"/>
  <c r="E9" i="2"/>
  <c r="E8" i="2"/>
  <c r="F4" i="2" l="1"/>
  <c r="F11" i="2" l="1"/>
  <c r="F5" i="2"/>
  <c r="F10" i="2" l="1"/>
  <c r="F6" i="2"/>
  <c r="F9" i="2"/>
  <c r="F8" i="2"/>
  <c r="F7" i="2"/>
  <c r="G4" i="2" l="1"/>
  <c r="G11" i="2" l="1"/>
  <c r="G5" i="2"/>
  <c r="G10" i="2" l="1"/>
  <c r="G6" i="2"/>
  <c r="G9" i="2"/>
  <c r="G8" i="2"/>
  <c r="G7" i="2"/>
  <c r="H4" i="2" l="1"/>
  <c r="H11" i="2" l="1"/>
  <c r="H5" i="2"/>
  <c r="H9" i="2" l="1"/>
  <c r="H8" i="2"/>
  <c r="H7" i="2"/>
  <c r="H10" i="2"/>
  <c r="I4" i="2" s="1"/>
  <c r="I11" i="2" s="1"/>
  <c r="H6" i="2"/>
  <c r="I5" i="2" l="1"/>
  <c r="I9" i="2" l="1"/>
  <c r="I8" i="2"/>
  <c r="I7" i="2"/>
  <c r="I10" i="2"/>
  <c r="J4" i="2" s="1"/>
  <c r="J11" i="2" s="1"/>
  <c r="I6" i="2"/>
  <c r="J5" i="2" l="1"/>
  <c r="J8" i="2" l="1"/>
  <c r="J7" i="2"/>
  <c r="J10" i="2"/>
  <c r="J6" i="2"/>
  <c r="J9" i="2"/>
  <c r="K4" i="2" l="1"/>
  <c r="K11" i="2" l="1"/>
  <c r="K5" i="2"/>
  <c r="K8" i="2" l="1"/>
  <c r="K7" i="2"/>
  <c r="K10" i="2"/>
  <c r="K6" i="2"/>
  <c r="K9" i="2"/>
  <c r="L4" i="2" l="1"/>
  <c r="L11" i="2" l="1"/>
  <c r="L5" i="2"/>
  <c r="L7" i="2" l="1"/>
  <c r="L10" i="2"/>
  <c r="L6" i="2"/>
  <c r="L9" i="2"/>
  <c r="L8" i="2"/>
  <c r="M4" i="2" l="1"/>
  <c r="M11" i="2" l="1"/>
  <c r="M5" i="2"/>
  <c r="M7" i="2" l="1"/>
  <c r="M10" i="2"/>
  <c r="M6" i="2"/>
  <c r="M9" i="2"/>
  <c r="M8" i="2"/>
  <c r="N4" i="2" l="1"/>
  <c r="N11" i="2" l="1"/>
  <c r="N5" i="2"/>
  <c r="N10" i="2" l="1"/>
  <c r="N6" i="2"/>
  <c r="N9" i="2"/>
  <c r="N8" i="2"/>
  <c r="N7" i="2"/>
  <c r="O4" i="2" l="1"/>
  <c r="O11" i="2" l="1"/>
  <c r="O5" i="2"/>
  <c r="O10" i="2" l="1"/>
  <c r="O6" i="2"/>
  <c r="O9" i="2"/>
  <c r="O8" i="2"/>
  <c r="O7" i="2"/>
  <c r="P4" i="2" l="1"/>
  <c r="P11" i="2" l="1"/>
  <c r="P5" i="2"/>
  <c r="P9" i="2" l="1"/>
  <c r="P8" i="2"/>
  <c r="P7" i="2"/>
  <c r="P10" i="2"/>
  <c r="Q4" i="2" s="1"/>
  <c r="Q11" i="2" s="1"/>
  <c r="P6" i="2"/>
  <c r="Q5" i="2" l="1"/>
  <c r="Q9" i="2" l="1"/>
  <c r="Q8" i="2"/>
  <c r="Q7" i="2"/>
  <c r="Q10" i="2"/>
  <c r="R4" i="2" s="1"/>
  <c r="R11" i="2" s="1"/>
  <c r="Q6" i="2"/>
  <c r="R5" i="2" l="1"/>
  <c r="R8" i="2" l="1"/>
  <c r="R7" i="2"/>
  <c r="R10" i="2"/>
  <c r="R6" i="2"/>
  <c r="R9" i="2"/>
  <c r="S4" i="2" l="1"/>
  <c r="S11" i="2" l="1"/>
  <c r="S5" i="2"/>
  <c r="S8" i="2" l="1"/>
  <c r="S7" i="2"/>
  <c r="S10" i="2"/>
  <c r="S6" i="2"/>
  <c r="S9" i="2"/>
  <c r="T4" i="2" l="1"/>
  <c r="T11" i="2" l="1"/>
  <c r="T5" i="2"/>
  <c r="T7" i="2" l="1"/>
  <c r="T10" i="2"/>
  <c r="T6" i="2"/>
  <c r="T9" i="2"/>
  <c r="T8" i="2"/>
  <c r="U4" i="2" l="1"/>
  <c r="U11" i="2" l="1"/>
  <c r="U5" i="2"/>
  <c r="U7" i="2" l="1"/>
  <c r="U10" i="2"/>
  <c r="U6" i="2"/>
  <c r="U9" i="2"/>
  <c r="U8" i="2"/>
  <c r="V4" i="2" l="1"/>
  <c r="V11" i="2" l="1"/>
  <c r="V5" i="2"/>
  <c r="V10" i="2" l="1"/>
  <c r="V6" i="2"/>
  <c r="V9" i="2"/>
  <c r="V8" i="2"/>
  <c r="V7" i="2"/>
  <c r="W4" i="2" l="1"/>
  <c r="W11" i="2" l="1"/>
  <c r="W5" i="2"/>
  <c r="W10" i="2" l="1"/>
  <c r="W6" i="2"/>
  <c r="W9" i="2"/>
  <c r="W8" i="2"/>
  <c r="W7" i="2"/>
  <c r="X4" i="2" l="1"/>
  <c r="X11" i="2" l="1"/>
  <c r="X5" i="2"/>
  <c r="X9" i="2" l="1"/>
  <c r="X8" i="2"/>
  <c r="X7" i="2"/>
  <c r="X10" i="2"/>
  <c r="Y4" i="2" s="1"/>
  <c r="Y11" i="2" s="1"/>
  <c r="X6" i="2"/>
  <c r="Y5" i="2" l="1"/>
  <c r="Y9" i="2" l="1"/>
  <c r="Y8" i="2"/>
  <c r="Y7" i="2"/>
  <c r="Y10" i="2"/>
  <c r="Z4" i="2" s="1"/>
  <c r="Z11" i="2" s="1"/>
  <c r="Y6" i="2"/>
  <c r="Z5" i="2" l="1"/>
  <c r="Z8" i="2"/>
  <c r="Z7" i="2"/>
  <c r="Z10" i="2"/>
  <c r="Z6" i="2"/>
  <c r="Z9" i="2"/>
  <c r="AA4" i="2" l="1"/>
  <c r="AA11" i="2" l="1"/>
  <c r="AA5" i="2"/>
  <c r="AA8" i="2" l="1"/>
  <c r="AA7" i="2"/>
  <c r="AA10" i="2"/>
  <c r="AA6" i="2"/>
  <c r="AA9" i="2"/>
  <c r="AB4" i="2" l="1"/>
  <c r="AB11" i="2" l="1"/>
  <c r="AB5" i="2"/>
  <c r="AB7" i="2" l="1"/>
  <c r="AB10" i="2"/>
  <c r="AB6" i="2"/>
  <c r="AB9" i="2"/>
  <c r="AB8" i="2"/>
  <c r="AC4" i="2" l="1"/>
  <c r="AC11" i="2" l="1"/>
  <c r="AC5" i="2"/>
  <c r="AC7" i="2" l="1"/>
  <c r="AC10" i="2"/>
  <c r="AC6" i="2"/>
  <c r="AC9" i="2"/>
  <c r="AC8" i="2"/>
  <c r="AD4" i="2" l="1"/>
  <c r="AD11" i="2" l="1"/>
  <c r="AD5" i="2"/>
  <c r="AD10" i="2" l="1"/>
  <c r="AD6" i="2"/>
  <c r="AD9" i="2"/>
  <c r="AD8" i="2"/>
  <c r="AD7" i="2"/>
  <c r="AE4" i="2" l="1"/>
  <c r="AE11" i="2" l="1"/>
  <c r="AE5" i="2"/>
  <c r="AE10" i="2" l="1"/>
  <c r="AE6" i="2"/>
  <c r="AE9" i="2"/>
  <c r="AE8" i="2"/>
  <c r="AE7" i="2"/>
  <c r="AF4" i="2" l="1"/>
  <c r="AF11" i="2" s="1"/>
  <c r="AF5" i="2"/>
  <c r="AF9" i="2" l="1"/>
  <c r="AF8" i="2"/>
  <c r="AF7" i="2"/>
  <c r="AF10" i="2"/>
  <c r="AG4" i="2" s="1"/>
  <c r="AG11" i="2" s="1"/>
  <c r="AF6" i="2"/>
  <c r="AG5" i="2" l="1"/>
  <c r="AG9" i="2" l="1"/>
  <c r="AG8" i="2"/>
  <c r="AG7" i="2"/>
  <c r="AG10" i="2"/>
  <c r="AG6" i="2"/>
  <c r="AH4" i="2" l="1"/>
  <c r="AH11" i="2" l="1"/>
  <c r="AH5" i="2"/>
  <c r="AH8" i="2" l="1"/>
  <c r="AH7" i="2"/>
  <c r="AH10" i="2"/>
  <c r="AH6" i="2"/>
  <c r="AH9" i="2"/>
  <c r="AI4" i="2" l="1"/>
  <c r="AI11" i="2" l="1"/>
  <c r="AI5" i="2"/>
  <c r="AI8" i="2" l="1"/>
  <c r="AI7" i="2"/>
  <c r="AI10" i="2"/>
  <c r="AI6" i="2"/>
  <c r="AI9" i="2"/>
</calcChain>
</file>

<file path=xl/sharedStrings.xml><?xml version="1.0" encoding="utf-8"?>
<sst xmlns="http://schemas.openxmlformats.org/spreadsheetml/2006/main" count="360" uniqueCount="273">
  <si>
    <t>Kai</t>
  </si>
  <si>
    <t>Possessed</t>
  </si>
  <si>
    <t>Units to sell shards</t>
  </si>
  <si>
    <t>V2.2</t>
  </si>
  <si>
    <t>Units (rout test)</t>
  </si>
  <si>
    <t>Char rating</t>
  </si>
  <si>
    <t>main hand</t>
  </si>
  <si>
    <t>fire</t>
  </si>
  <si>
    <t>gold crown</t>
  </si>
  <si>
    <t>Magic rating</t>
  </si>
  <si>
    <t>off hand</t>
  </si>
  <si>
    <t>disease</t>
  </si>
  <si>
    <t>used</t>
  </si>
  <si>
    <t>Warband Rating</t>
  </si>
  <si>
    <t>extra arm</t>
  </si>
  <si>
    <t>foe reduce attack power</t>
  </si>
  <si>
    <t>not used</t>
  </si>
  <si>
    <t>rout test</t>
  </si>
  <si>
    <t>tail</t>
  </si>
  <si>
    <t>UpKeep</t>
  </si>
  <si>
    <t>Equip rating</t>
  </si>
  <si>
    <t>bite</t>
  </si>
  <si>
    <t>Warband</t>
  </si>
  <si>
    <t>gold/einheit</t>
  </si>
  <si>
    <t>anzahl</t>
  </si>
  <si>
    <t>Exp</t>
  </si>
  <si>
    <t>summe</t>
  </si>
  <si>
    <t>heros</t>
  </si>
  <si>
    <t>Magister</t>
  </si>
  <si>
    <t>Posessed (0-2)</t>
  </si>
  <si>
    <t>Underdog bonus</t>
  </si>
  <si>
    <t>min foe wbr</t>
  </si>
  <si>
    <t>Leader</t>
  </si>
  <si>
    <t>Mutants (0-2)</t>
  </si>
  <si>
    <t>+1</t>
  </si>
  <si>
    <t>henchmen</t>
  </si>
  <si>
    <t>Darksouls</t>
  </si>
  <si>
    <t>+2</t>
  </si>
  <si>
    <t>Mutants</t>
  </si>
  <si>
    <t>Bretheren</t>
  </si>
  <si>
    <t>+3</t>
  </si>
  <si>
    <t>Beastmen</t>
  </si>
  <si>
    <t>+4</t>
  </si>
  <si>
    <t>+5</t>
  </si>
  <si>
    <t>Gesamt</t>
  </si>
  <si>
    <t>Anzahl</t>
  </si>
  <si>
    <t>heroes</t>
  </si>
  <si>
    <t>name</t>
  </si>
  <si>
    <t>type</t>
  </si>
  <si>
    <t>range</t>
  </si>
  <si>
    <t>strength</t>
  </si>
  <si>
    <t>rule</t>
  </si>
  <si>
    <t>gc/unit</t>
  </si>
  <si>
    <t>cost</t>
  </si>
  <si>
    <t>group</t>
  </si>
  <si>
    <t>rating</t>
  </si>
  <si>
    <t>Warband Equip Rating</t>
  </si>
  <si>
    <t>Mutation cost fix</t>
  </si>
  <si>
    <t>Sum use</t>
  </si>
  <si>
    <t>shield</t>
  </si>
  <si>
    <t>armour</t>
  </si>
  <si>
    <t>+1AS</t>
  </si>
  <si>
    <t>1,3,5,6</t>
  </si>
  <si>
    <t>helmet</t>
  </si>
  <si>
    <t>4+ stunned save</t>
  </si>
  <si>
    <t>light armour</t>
  </si>
  <si>
    <t>5+AS</t>
  </si>
  <si>
    <t>heavy armour</t>
  </si>
  <si>
    <t>4+AS</t>
  </si>
  <si>
    <t>free dagger</t>
  </si>
  <si>
    <t>hth</t>
  </si>
  <si>
    <t>user</t>
  </si>
  <si>
    <t>foe +1as +1 offhand to hit</t>
  </si>
  <si>
    <t>dagger</t>
  </si>
  <si>
    <t>hand weapon</t>
  </si>
  <si>
    <t>axe</t>
  </si>
  <si>
    <t>'-1AS</t>
  </si>
  <si>
    <t>spear</t>
  </si>
  <si>
    <t>1,3,5</t>
  </si>
  <si>
    <t>mace</t>
  </si>
  <si>
    <t>2-4 stunned</t>
  </si>
  <si>
    <t>sword</t>
  </si>
  <si>
    <t>parry</t>
  </si>
  <si>
    <t>double-handed</t>
  </si>
  <si>
    <t>'+2S strike last</t>
  </si>
  <si>
    <t>flail</t>
  </si>
  <si>
    <t>'+2S in 1st round</t>
  </si>
  <si>
    <t>daemon soul</t>
  </si>
  <si>
    <t>mutation</t>
  </si>
  <si>
    <t>4+as</t>
  </si>
  <si>
    <t>Blackblood</t>
  </si>
  <si>
    <t>on wound wound all hth</t>
  </si>
  <si>
    <t>Tentacle</t>
  </si>
  <si>
    <t>enemy -1A</t>
  </si>
  <si>
    <t>Spines</t>
  </si>
  <si>
    <t>S1 all attacker</t>
  </si>
  <si>
    <t>Cloven hoofs</t>
  </si>
  <si>
    <t>+1M</t>
  </si>
  <si>
    <t>Scorpion tail</t>
  </si>
  <si>
    <t>+1 S5 A</t>
  </si>
  <si>
    <t>Extra arm</t>
  </si>
  <si>
    <t>+1A</t>
  </si>
  <si>
    <t>Hideous</t>
  </si>
  <si>
    <t>Causes fear</t>
  </si>
  <si>
    <t>wings</t>
  </si>
  <si>
    <t>2" far on 1" down glide</t>
  </si>
  <si>
    <t>poisonous bite</t>
  </si>
  <si>
    <t>+1A S5 (if immune S2)</t>
  </si>
  <si>
    <t>great claw</t>
  </si>
  <si>
    <t>+1A +1S</t>
  </si>
  <si>
    <t>prehensile tail</t>
  </si>
  <si>
    <t>hold one more weapon or shield (+1A if no other tail)</t>
  </si>
  <si>
    <t>crystalline body</t>
  </si>
  <si>
    <t>T6 Wounds set to 1</t>
  </si>
  <si>
    <t>scaly skin</t>
  </si>
  <si>
    <t>5+AS (no mod beyond 6) 4+ using light armor</t>
  </si>
  <si>
    <t>beak</t>
  </si>
  <si>
    <t>strike last attack (bite)</t>
  </si>
  <si>
    <t>burning body</t>
  </si>
  <si>
    <t>burn in combat foes on D6=4+</t>
  </si>
  <si>
    <t>electric touch</t>
  </si>
  <si>
    <t>S3/S5 hit</t>
  </si>
  <si>
    <t>eye of tchar</t>
  </si>
  <si>
    <t>hypnotise foe</t>
  </si>
  <si>
    <t>mer creature</t>
  </si>
  <si>
    <t>no water movement penslity, normal ground -1M</t>
  </si>
  <si>
    <t>telekinesis</t>
  </si>
  <si>
    <t>throw objects</t>
  </si>
  <si>
    <t>centauroid</t>
  </si>
  <si>
    <t>M+2 T+1</t>
  </si>
  <si>
    <t>iron hard skin</t>
  </si>
  <si>
    <t>+1as</t>
  </si>
  <si>
    <t>fangs</t>
  </si>
  <si>
    <t>strike last bite +1A (one bite only)</t>
  </si>
  <si>
    <t>spiked tail</t>
  </si>
  <si>
    <t>+1A S+1 (only one tail)</t>
  </si>
  <si>
    <t>regeneration</t>
  </si>
  <si>
    <t>4+ wound regeneration til first fail</t>
  </si>
  <si>
    <t>spit acid</t>
  </si>
  <si>
    <t>8"</t>
  </si>
  <si>
    <t>stream of corruption</t>
  </si>
  <si>
    <t>6"</t>
  </si>
  <si>
    <t>neiglish rot</t>
  </si>
  <si>
    <t>immune to poison, infect foe</t>
  </si>
  <si>
    <t>cloud flies</t>
  </si>
  <si>
    <t>foe -1 to hit</t>
  </si>
  <si>
    <t>bloated foulness</t>
  </si>
  <si>
    <t>+1W +1T -1M</t>
  </si>
  <si>
    <t>suckers</t>
  </si>
  <si>
    <t>pass all i test on climbing</t>
  </si>
  <si>
    <t>plague carrier</t>
  </si>
  <si>
    <t>M-1, chance to infect foe</t>
  </si>
  <si>
    <t>alluring</t>
  </si>
  <si>
    <t>+1 find rare items, foe -1 hit fitsr round</t>
  </si>
  <si>
    <t>metallic growths</t>
  </si>
  <si>
    <t>6+ as, no combination with other armour</t>
  </si>
  <si>
    <t>agile</t>
  </si>
  <si>
    <t>better initiative</t>
  </si>
  <si>
    <t>elastic limbs</t>
  </si>
  <si>
    <t>1A range only</t>
  </si>
  <si>
    <t>piercing tounge</t>
  </si>
  <si>
    <t>2"</t>
  </si>
  <si>
    <t>no range penality</t>
  </si>
  <si>
    <t>vestigial twin</t>
  </si>
  <si>
    <t>2x skill -2M, no alone test, 2x I on spot hidden enemy</t>
  </si>
  <si>
    <t>short bow</t>
  </si>
  <si>
    <t>rc</t>
  </si>
  <si>
    <t>16“</t>
  </si>
  <si>
    <t>S3</t>
  </si>
  <si>
    <t>bow</t>
  </si>
  <si>
    <t>24“</t>
  </si>
  <si>
    <t>er ges</t>
  </si>
  <si>
    <t>er off</t>
  </si>
  <si>
    <t>er deff</t>
  </si>
  <si>
    <t>1. Spiel</t>
  </si>
  <si>
    <t>2. Spiel</t>
  </si>
  <si>
    <t>3. Spiel</t>
  </si>
  <si>
    <t>4. Spiel</t>
  </si>
  <si>
    <t>5. Spiel</t>
  </si>
  <si>
    <t>6. Spiel</t>
  </si>
  <si>
    <t>7. Spiel</t>
  </si>
  <si>
    <t>8. Spiel</t>
  </si>
  <si>
    <t>9. Spiel</t>
  </si>
  <si>
    <t>10. Spiel</t>
  </si>
  <si>
    <t>11. Spiel</t>
  </si>
  <si>
    <t>12. Spiel</t>
  </si>
  <si>
    <t>13. Spiel</t>
  </si>
  <si>
    <t>14. Spiel</t>
  </si>
  <si>
    <t>15. Spiel</t>
  </si>
  <si>
    <t>16. Spiel</t>
  </si>
  <si>
    <t>17. Spiel</t>
  </si>
  <si>
    <t>18. Spiel</t>
  </si>
  <si>
    <t>19. Spiel</t>
  </si>
  <si>
    <t>20. Spiel</t>
  </si>
  <si>
    <t>21. Spiel</t>
  </si>
  <si>
    <t>22. Spiel</t>
  </si>
  <si>
    <t>23. Spiel</t>
  </si>
  <si>
    <t>24. Spiel</t>
  </si>
  <si>
    <t>25. Spiel</t>
  </si>
  <si>
    <t>26. Spiel</t>
  </si>
  <si>
    <t>27. Spiel</t>
  </si>
  <si>
    <t>28. Spiel</t>
  </si>
  <si>
    <t>29. Spiel</t>
  </si>
  <si>
    <t>30. Spiel</t>
  </si>
  <si>
    <t>31. Spiel</t>
  </si>
  <si>
    <t>32. Spiel</t>
  </si>
  <si>
    <t>33. Spiel</t>
  </si>
  <si>
    <t>amount</t>
  </si>
  <si>
    <t>upkeep</t>
  </si>
  <si>
    <t>wbr add</t>
  </si>
  <si>
    <t>Used cost</t>
  </si>
  <si>
    <t>Used UpKeep</t>
  </si>
  <si>
    <t>Used wbr add</t>
  </si>
  <si>
    <t>wbr/cost</t>
  </si>
  <si>
    <t>wbr/upkeep</t>
  </si>
  <si>
    <t>Comment</t>
  </si>
  <si>
    <t>Personal rating</t>
  </si>
  <si>
    <t>Ogre Slave Master</t>
  </si>
  <si>
    <t>A3 S4 W3 T4 M6 AS5, capture (mark kosten/2 sind sicher)</t>
  </si>
  <si>
    <t>Ogre Bodyguard</t>
  </si>
  <si>
    <t>A3 S4 W3 T4 M6 AS5</t>
  </si>
  <si>
    <t>Clan moulder packmaster</t>
  </si>
  <si>
    <t>4 units S3 T3 M5 3xM6</t>
  </si>
  <si>
    <t>Chaos warrior</t>
  </si>
  <si>
    <t>mark of the dark gods S4/6 T4 A2</t>
  </si>
  <si>
    <t>Clan Eshin Assassin</t>
  </si>
  <si>
    <t>M6 S4 T4 -1 foe AS add</t>
  </si>
  <si>
    <t>Dark Elf assassin</t>
  </si>
  <si>
    <t>M5 S4 T3 -1 foe AS add, super Ausrüstung</t>
  </si>
  <si>
    <t>Black ork</t>
  </si>
  <si>
    <t>anti animosity, heavy armor, Ld weitergabe, S4 T4, AS3, M4</t>
  </si>
  <si>
    <t>Pit fighter</t>
  </si>
  <si>
    <t>3xS4 T4 charge=2S5 1S4, reoll parry</t>
  </si>
  <si>
    <t>Clan skyre sniper</t>
  </si>
  <si>
    <t>S5 shooting 36“ -2AS D3 wounds</t>
  </si>
  <si>
    <t>Bounty hunter</t>
  </si>
  <si>
    <t>super Ausrüstung, bring GC ein bei mark ooA</t>
  </si>
  <si>
    <t>Duellist</t>
  </si>
  <si>
    <t>special parry</t>
  </si>
  <si>
    <t>Warlock</t>
  </si>
  <si>
    <t>Zauberer</t>
  </si>
  <si>
    <t>Dark Elf sorceress</t>
  </si>
  <si>
    <t>Zauberin</t>
  </si>
  <si>
    <t>Barbarian</t>
  </si>
  <si>
    <t>Fighter</t>
  </si>
  <si>
    <t>Witch</t>
  </si>
  <si>
    <t>Potions, academic skills, support spells</t>
  </si>
  <si>
    <t>Goblin herder</t>
  </si>
  <si>
    <t>Beast handler/animal handler (giant spider)</t>
  </si>
  <si>
    <t>Characteristik Analyse</t>
  </si>
  <si>
    <t>gewichtung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</si>
  <si>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</si>
  <si>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</si>
  <si>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</si>
  <si>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</si>
  <si>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</si>
  <si>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</si>
  <si>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</si>
  <si>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</si>
  <si>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</si>
  <si>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M/g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</si>
  <si>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</si>
  <si>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</si>
  <si>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</si>
  <si>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</si>
  <si>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</si>
  <si>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</si>
  <si>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</si>
  <si>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</si>
  <si>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</si>
  <si>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Mutant info</t>
  </si>
  <si>
    <t>Magister:</t>
  </si>
  <si>
    <t>Wings of darkness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</si>
</sst>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i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sz val="10"/>
      <name val="Arial"/>
      <family val="2"/>
      <charset val="1"/>
    </font>
    <font>
      <i/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ont="1"/>
    <xf numFmtId="0" fontId="1" fillId="0" borderId="0" xfId="0" applyFont="1"/>
    <xf numFmtId="14" fontId="0" fillId="0" borderId="0" xfId="0" applyNumberFormat="1" applyFont="1"/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0" fontId="4" fillId="0" borderId="0" xfId="0" applyFont="1"/>
    <xf numFmtId="2" fontId="2" fillId="0" borderId="0" xfId="0" applyNumberFormat="1" applyFont="1"/>
    <xf numFmtId="0" fontId="5" fillId="0" borderId="0" xfId="0" applyFont="1"/>
    <xf numFmtId="0" fontId="6" fillId="0" borderId="0" xfId="0" applyFont="1"/>
    <xf numFmtId="1" fontId="0" fillId="0" borderId="0" xfId="0" applyNumberFormat="1"/>
    <xf numFmtId="0" fontId="7" fillId="0" borderId="0" xfId="0" applyFont="1"/>
    <xf numFmtId="0" fontId="0" fillId="0" borderId="1" xfId="0" applyFont="1" applyBorder="1"/>
    <xf numFmtId="0" fontId="3" fillId="0" borderId="1" xfId="0" applyFont="1" applyBorder="1"/>
    <xf numFmtId="0" fontId="3" fillId="0" borderId="2" xfId="0" applyFont="1" applyBorder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/>
    <xf numFmtId="0" fontId="2" fillId="0" borderId="0" xfId="0" applyFont="1" applyAlignment="1"/>
    <xf numFmtId="0" fontId="3" fillId="0" borderId="4" xfId="0" applyFont="1" applyBorder="1"/>
    <xf numFmtId="0" fontId="8" fillId="0" borderId="4" xfId="0" applyFont="1" applyBorder="1"/>
    <xf numFmtId="0" fontId="0" fillId="0" borderId="4" xfId="0" applyFont="1" applyBorder="1"/>
    <xf numFmtId="0" fontId="0" fillId="0" borderId="0" xfId="0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8" fillId="0" borderId="0" xfId="0" applyFont="1"/>
    <xf numFmtId="0" fontId="0" fillId="0" borderId="0" xfId="0" applyBorder="1"/>
    <xf numFmtId="0" fontId="9" fillId="0" borderId="0" xfId="0" applyFont="1"/>
    <xf numFmtId="0" fontId="2" fillId="0" borderId="0" xfId="0" applyFont="1" applyAlignment="1">
      <alignment horizontal="left" vertical="center"/>
    </xf>
    <xf numFmtId="2" fontId="0" fillId="0" borderId="0" xfId="0" applyNumberFormat="1"/>
    <xf numFmtId="0" fontId="0" fillId="0" borderId="5" xfId="0" applyBorder="1"/>
    <xf numFmtId="0" fontId="2" fillId="0" borderId="2" xfId="0" applyFont="1" applyBorder="1"/>
    <xf numFmtId="0" fontId="2" fillId="0" borderId="6" xfId="0" applyFont="1" applyBorder="1"/>
    <xf numFmtId="0" fontId="2" fillId="0" borderId="3" xfId="0" applyFont="1" applyBorder="1"/>
    <xf numFmtId="0" fontId="0" fillId="0" borderId="7" xfId="0" applyBorder="1"/>
    <xf numFmtId="164" fontId="0" fillId="0" borderId="0" xfId="0" applyNumberFormat="1"/>
    <xf numFmtId="0" fontId="0" fillId="0" borderId="11" xfId="0" applyBorder="1"/>
    <xf numFmtId="0" fontId="0" fillId="0" borderId="12" xfId="0" applyBorder="1"/>
    <xf numFmtId="1" fontId="0" fillId="0" borderId="0" xfId="0" applyNumberForma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0" borderId="10" xfId="0" applyFont="1" applyBorder="1"/>
    <xf numFmtId="0" fontId="0" fillId="0" borderId="11" xfId="0" applyFont="1" applyBorder="1"/>
    <xf numFmtId="0" fontId="0" fillId="0" borderId="14" xfId="0" applyFont="1" applyBorder="1"/>
    <xf numFmtId="0" fontId="2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/>
    </xf>
    <xf numFmtId="0" fontId="0" fillId="0" borderId="16" xfId="0" applyBorder="1"/>
    <xf numFmtId="0" fontId="0" fillId="0" borderId="18" xfId="0" applyBorder="1"/>
  </cellXfs>
  <cellStyles count="1">
    <cellStyle name="Standard" xfId="0" builtinId="0"/>
  </cellStyles>
  <dxfs count="55"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21:R74" totalsRowShown="0">
  <tableColumns count="17">
    <tableColumn id="1" xr3:uid="{00000000-0010-0000-0000-000001000000}" name="name"/>
    <tableColumn id="2" xr3:uid="{00000000-0010-0000-0000-000002000000}" name="type"/>
    <tableColumn id="3" xr3:uid="{00000000-0010-0000-0000-000003000000}" name="range"/>
    <tableColumn id="4" xr3:uid="{00000000-0010-0000-0000-000004000000}" name="strength"/>
    <tableColumn id="5" xr3:uid="{00000000-0010-0000-0000-000005000000}" name="rule"/>
    <tableColumn id="6" xr3:uid="{00000000-0010-0000-0000-000006000000}" name="gc/unit"/>
    <tableColumn id="7" xr3:uid="{00000000-0010-0000-0000-000007000000}" name="Magister"/>
    <tableColumn id="8" xr3:uid="{00000000-0010-0000-0000-000008000000}" name="Posessed (0-2)"/>
    <tableColumn id="9" xr3:uid="{00000000-0010-0000-0000-000009000000}" name="Mutants (0-2)"/>
    <tableColumn id="10" xr3:uid="{00000000-0010-0000-0000-00000A000000}" name="Darksouls"/>
    <tableColumn id="11" xr3:uid="{00000000-0010-0000-0000-00000B000000}" name="Bretheren"/>
    <tableColumn id="12" xr3:uid="{00000000-0010-0000-0000-00000C000000}" name="Beastmen"/>
    <tableColumn id="13" xr3:uid="{00000000-0010-0000-0000-00000D000000}" name="cost"/>
    <tableColumn id="14" xr3:uid="{00000000-0010-0000-0000-00000E000000}" name="group"/>
    <tableColumn id="15" xr3:uid="{00000000-0010-0000-0000-00000F000000}" name="rating"/>
    <tableColumn id="16" xr3:uid="{00000000-0010-0000-0000-000010000000}" name="Warband Equip Rating"/>
    <tableColumn id="17" xr3:uid="{00000000-0010-0000-0000-000011000000}" name="Mutation cost fi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78"/>
  <sheetViews>
    <sheetView tabSelected="1" zoomScale="85" zoomScaleNormal="85" workbookViewId="0">
      <selection activeCell="P20" sqref="P20"/>
    </sheetView>
  </sheetViews>
  <sheetFormatPr baseColWidth="10" defaultColWidth="9.140625" defaultRowHeight="12.75" x14ac:dyDescent="0.2"/>
  <cols>
    <col min="1" max="1" width="11.5703125"/>
    <col min="2" max="2" width="17.7109375" customWidth="1"/>
    <col min="3" max="3" width="14.5703125" customWidth="1"/>
    <col min="4" max="4" width="12" customWidth="1"/>
    <col min="5" max="5" width="11" customWidth="1"/>
    <col min="6" max="6" width="43.7109375" customWidth="1"/>
    <col min="7" max="7" width="10.42578125" customWidth="1"/>
    <col min="8" max="8" width="11.85546875" customWidth="1"/>
    <col min="9" max="9" width="17.140625" customWidth="1"/>
    <col min="10" max="10" width="15.85546875" customWidth="1"/>
    <col min="11" max="11" width="13.140625" customWidth="1"/>
    <col min="12" max="12" width="13" customWidth="1"/>
    <col min="13" max="13" width="13.140625" customWidth="1"/>
    <col min="14" max="14" width="13.42578125" customWidth="1"/>
    <col min="15" max="15" width="9.7109375" customWidth="1"/>
    <col min="16" max="16" width="9.5703125" customWidth="1"/>
    <col min="17" max="17" width="23.85546875" customWidth="1"/>
    <col min="18" max="18" width="17.42578125" customWidth="1"/>
    <col min="19" max="1025" width="11.5703125"/>
  </cols>
  <sheetData>
    <row r="2" spans="2:18" ht="18.75" thickBot="1" x14ac:dyDescent="0.3">
      <c r="B2" s="1" t="s">
        <v>0</v>
      </c>
      <c r="C2" s="2" t="s">
        <v>1</v>
      </c>
      <c r="D2" s="2"/>
      <c r="E2" s="2"/>
      <c r="F2" s="3">
        <v>43655</v>
      </c>
      <c r="I2" t="s">
        <v>2</v>
      </c>
      <c r="J2" s="4">
        <f>J3+(3*'Hired swords'!B5)+H47+I47+J47</f>
        <v>3</v>
      </c>
    </row>
    <row r="3" spans="2:18" ht="18.75" thickBot="1" x14ac:dyDescent="0.3">
      <c r="B3" s="1" t="s">
        <v>3</v>
      </c>
      <c r="E3" s="5"/>
      <c r="F3" s="6"/>
      <c r="I3" t="s">
        <v>4</v>
      </c>
      <c r="J3" s="7">
        <f>E18+'Hired swords'!B19</f>
        <v>3</v>
      </c>
      <c r="N3" s="54" t="s">
        <v>270</v>
      </c>
      <c r="O3" s="55"/>
      <c r="P3" s="55"/>
      <c r="Q3" s="55"/>
      <c r="R3" s="56"/>
    </row>
    <row r="4" spans="2:18" x14ac:dyDescent="0.2">
      <c r="I4" t="s">
        <v>5</v>
      </c>
      <c r="J4" s="8">
        <f>'Characteristic analysis'!J29+'Hired swords'!O19</f>
        <v>239</v>
      </c>
      <c r="N4" s="41" t="s">
        <v>6</v>
      </c>
      <c r="O4" s="31">
        <v>1</v>
      </c>
      <c r="P4" s="31"/>
      <c r="Q4" s="31" t="s">
        <v>7</v>
      </c>
      <c r="R4" s="42">
        <f>J50</f>
        <v>1</v>
      </c>
    </row>
    <row r="5" spans="2:18" ht="15" x14ac:dyDescent="0.2">
      <c r="B5" s="9" t="s">
        <v>8</v>
      </c>
      <c r="C5" s="10">
        <v>500</v>
      </c>
      <c r="I5" t="s">
        <v>9</v>
      </c>
      <c r="J5" s="4">
        <v>10</v>
      </c>
      <c r="N5" s="41" t="s">
        <v>10</v>
      </c>
      <c r="O5" s="31">
        <v>1</v>
      </c>
      <c r="P5" s="31"/>
      <c r="Q5" s="31" t="s">
        <v>11</v>
      </c>
      <c r="R5" s="42">
        <f>J62+J66</f>
        <v>1</v>
      </c>
    </row>
    <row r="6" spans="2:18" ht="15" x14ac:dyDescent="0.2">
      <c r="B6" s="9" t="s">
        <v>12</v>
      </c>
      <c r="C6" s="9">
        <f>G18+N76+'Hired swords'!G19+R78</f>
        <v>465</v>
      </c>
      <c r="I6" s="1" t="s">
        <v>13</v>
      </c>
      <c r="J6" s="9">
        <f>5*(E18-E17)+E11*F11+E12*F12+E13*F13+E14*F14+E15*F15+E16*F16+E17*20+SUM(H47:J47)*10+'Hired swords'!I19</f>
        <v>35</v>
      </c>
      <c r="N6" s="41" t="s">
        <v>14</v>
      </c>
      <c r="O6" s="43">
        <f>J41</f>
        <v>0</v>
      </c>
      <c r="P6" s="31"/>
      <c r="Q6" s="31" t="s">
        <v>15</v>
      </c>
      <c r="R6" s="42">
        <f>J37+J42+J52</f>
        <v>0</v>
      </c>
    </row>
    <row r="7" spans="2:18" ht="15" x14ac:dyDescent="0.2">
      <c r="B7" s="9" t="s">
        <v>16</v>
      </c>
      <c r="C7" s="12">
        <f>C5-C6</f>
        <v>35</v>
      </c>
      <c r="I7" t="s">
        <v>17</v>
      </c>
      <c r="J7" s="9">
        <f>ROUNDUP(J3/4,0)</f>
        <v>1</v>
      </c>
      <c r="N7" s="41" t="s">
        <v>18</v>
      </c>
      <c r="O7" s="31">
        <f>J40+J46+J58</f>
        <v>0</v>
      </c>
      <c r="P7" s="31"/>
      <c r="Q7" s="31" t="s">
        <v>60</v>
      </c>
      <c r="R7" s="42" t="str">
        <f>IF(J24=1,"5+",IF(J25=1,"4+",""))</f>
        <v>4+</v>
      </c>
    </row>
    <row r="8" spans="2:18" ht="13.5" thickBot="1" x14ac:dyDescent="0.25">
      <c r="B8" s="4" t="s">
        <v>19</v>
      </c>
      <c r="C8">
        <f>'Hired swords'!H19</f>
        <v>0</v>
      </c>
      <c r="I8" s="13" t="s">
        <v>20</v>
      </c>
      <c r="J8" s="14">
        <f>Q76</f>
        <v>22</v>
      </c>
      <c r="K8">
        <f>Q77</f>
        <v>10</v>
      </c>
      <c r="L8">
        <f>Q78</f>
        <v>12</v>
      </c>
      <c r="N8" s="41" t="s">
        <v>21</v>
      </c>
      <c r="O8" s="31">
        <f>J44+J49+J57</f>
        <v>0</v>
      </c>
      <c r="P8" s="31"/>
      <c r="Q8" s="31" t="s">
        <v>59</v>
      </c>
      <c r="R8" s="42" t="str">
        <f>IF(J22=1,"+1","")</f>
        <v/>
      </c>
    </row>
    <row r="9" spans="2:18" ht="17.25" thickTop="1" thickBot="1" x14ac:dyDescent="0.3">
      <c r="J9" s="7">
        <f>(J4+J5+J6+J8)*J7</f>
        <v>306</v>
      </c>
      <c r="N9" s="44"/>
      <c r="O9" s="45">
        <f>SUM(O4:O8)</f>
        <v>2</v>
      </c>
      <c r="P9" s="46"/>
      <c r="Q9" s="46"/>
      <c r="R9" s="47"/>
    </row>
    <row r="10" spans="2:18" x14ac:dyDescent="0.2">
      <c r="C10" s="15" t="s">
        <v>22</v>
      </c>
      <c r="D10" s="15" t="s">
        <v>23</v>
      </c>
      <c r="E10" s="15" t="s">
        <v>24</v>
      </c>
      <c r="F10" s="15" t="s">
        <v>25</v>
      </c>
      <c r="G10" s="15" t="s">
        <v>26</v>
      </c>
    </row>
    <row r="11" spans="2:18" ht="13.5" thickBot="1" x14ac:dyDescent="0.25">
      <c r="B11" s="57" t="s">
        <v>27</v>
      </c>
      <c r="C11" t="s">
        <v>28</v>
      </c>
      <c r="D11">
        <v>70</v>
      </c>
      <c r="E11" s="16">
        <v>1</v>
      </c>
      <c r="F11" s="17">
        <v>20</v>
      </c>
      <c r="G11">
        <f t="shared" ref="G11:G16" si="0">E11*D11</f>
        <v>70</v>
      </c>
    </row>
    <row r="12" spans="2:18" ht="13.5" thickBot="1" x14ac:dyDescent="0.25">
      <c r="B12" s="57"/>
      <c r="C12" s="1" t="s">
        <v>29</v>
      </c>
      <c r="D12">
        <v>90</v>
      </c>
      <c r="E12" s="16">
        <v>0</v>
      </c>
      <c r="F12" s="17">
        <v>8</v>
      </c>
      <c r="G12">
        <f t="shared" si="0"/>
        <v>0</v>
      </c>
      <c r="I12" s="58" t="s">
        <v>30</v>
      </c>
      <c r="J12" s="59"/>
      <c r="K12" s="50" t="s">
        <v>31</v>
      </c>
      <c r="M12" s="48">
        <v>1</v>
      </c>
      <c r="N12" s="49" t="s">
        <v>32</v>
      </c>
      <c r="P12" s="63" t="s">
        <v>271</v>
      </c>
      <c r="Q12" s="64" t="s">
        <v>272</v>
      </c>
    </row>
    <row r="13" spans="2:18" x14ac:dyDescent="0.2">
      <c r="B13" s="57"/>
      <c r="C13" s="18" t="s">
        <v>33</v>
      </c>
      <c r="D13">
        <v>25</v>
      </c>
      <c r="E13" s="16">
        <v>1</v>
      </c>
      <c r="F13" s="17">
        <v>0</v>
      </c>
      <c r="G13">
        <f t="shared" si="0"/>
        <v>25</v>
      </c>
      <c r="I13" s="41">
        <f>J6+J6*50%</f>
        <v>52.5</v>
      </c>
      <c r="J13" s="18" t="s">
        <v>34</v>
      </c>
      <c r="K13" s="42">
        <v>193</v>
      </c>
      <c r="M13" s="41">
        <v>2</v>
      </c>
      <c r="N13" s="42" t="s">
        <v>1</v>
      </c>
    </row>
    <row r="14" spans="2:18" x14ac:dyDescent="0.2">
      <c r="B14" s="57" t="s">
        <v>35</v>
      </c>
      <c r="C14" s="18" t="s">
        <v>36</v>
      </c>
      <c r="D14">
        <v>35</v>
      </c>
      <c r="E14" s="16">
        <v>0</v>
      </c>
      <c r="F14" s="17">
        <v>0</v>
      </c>
      <c r="G14">
        <f t="shared" si="0"/>
        <v>0</v>
      </c>
      <c r="I14" s="51">
        <f>J6+J6*75%</f>
        <v>61.25</v>
      </c>
      <c r="J14" s="18" t="s">
        <v>37</v>
      </c>
      <c r="K14" s="42"/>
      <c r="M14" s="41">
        <v>3</v>
      </c>
      <c r="N14" s="42" t="s">
        <v>38</v>
      </c>
    </row>
    <row r="15" spans="2:18" x14ac:dyDescent="0.2">
      <c r="B15" s="57"/>
      <c r="C15" s="18" t="s">
        <v>39</v>
      </c>
      <c r="D15">
        <v>25</v>
      </c>
      <c r="E15" s="16">
        <v>0</v>
      </c>
      <c r="F15" s="17">
        <v>0</v>
      </c>
      <c r="G15">
        <f t="shared" si="0"/>
        <v>0</v>
      </c>
      <c r="I15" s="51">
        <f>J6+J6*100%</f>
        <v>70</v>
      </c>
      <c r="J15" s="18" t="s">
        <v>40</v>
      </c>
      <c r="K15" s="42"/>
      <c r="M15" s="41">
        <v>4</v>
      </c>
      <c r="N15" s="42" t="s">
        <v>36</v>
      </c>
    </row>
    <row r="16" spans="2:18" x14ac:dyDescent="0.2">
      <c r="B16" s="57"/>
      <c r="C16" s="18" t="s">
        <v>41</v>
      </c>
      <c r="D16">
        <v>45</v>
      </c>
      <c r="E16" s="16">
        <v>1</v>
      </c>
      <c r="F16" s="17">
        <v>0</v>
      </c>
      <c r="G16">
        <f t="shared" si="0"/>
        <v>45</v>
      </c>
      <c r="I16" s="51">
        <f>J6+J6*150%</f>
        <v>87.5</v>
      </c>
      <c r="J16" s="18" t="s">
        <v>42</v>
      </c>
      <c r="K16" s="42"/>
      <c r="M16" s="41">
        <v>5</v>
      </c>
      <c r="N16" s="42" t="s">
        <v>39</v>
      </c>
    </row>
    <row r="17" spans="2:19" ht="13.5" thickBot="1" x14ac:dyDescent="0.25">
      <c r="B17" s="57"/>
      <c r="C17" s="13"/>
      <c r="D17" s="19"/>
      <c r="E17" s="20"/>
      <c r="F17" s="20"/>
      <c r="G17" s="19"/>
      <c r="I17" s="44">
        <f>J6+J6*300%</f>
        <v>140</v>
      </c>
      <c r="J17" s="52" t="s">
        <v>43</v>
      </c>
      <c r="K17" s="47"/>
      <c r="M17" s="44">
        <v>6</v>
      </c>
      <c r="N17" s="47" t="s">
        <v>41</v>
      </c>
    </row>
    <row r="18" spans="2:19" ht="16.5" thickTop="1" x14ac:dyDescent="0.25">
      <c r="C18" s="21" t="s">
        <v>44</v>
      </c>
      <c r="E18" s="7">
        <f>SUM(E11:E17)+C78</f>
        <v>3</v>
      </c>
      <c r="G18" s="7">
        <f>SUM(G11:G17)</f>
        <v>140</v>
      </c>
    </row>
    <row r="19" spans="2:19" x14ac:dyDescent="0.2">
      <c r="B19" s="22"/>
      <c r="F19" s="23"/>
      <c r="I19" s="53" t="s">
        <v>45</v>
      </c>
      <c r="J19" s="53"/>
      <c r="K19" s="53"/>
      <c r="L19" s="53"/>
      <c r="M19" s="53"/>
      <c r="N19" s="53"/>
    </row>
    <row r="20" spans="2:19" ht="15.75" x14ac:dyDescent="0.25">
      <c r="B20" s="7"/>
      <c r="C20" s="7"/>
      <c r="I20" s="53" t="s">
        <v>46</v>
      </c>
      <c r="J20" s="53"/>
      <c r="K20" s="53"/>
      <c r="L20" s="53" t="s">
        <v>35</v>
      </c>
      <c r="M20" s="53"/>
      <c r="N20" s="53"/>
    </row>
    <row r="21" spans="2:19" x14ac:dyDescent="0.2">
      <c r="B21" s="24" t="s">
        <v>47</v>
      </c>
      <c r="C21" s="25" t="s">
        <v>48</v>
      </c>
      <c r="D21" s="25" t="s">
        <v>49</v>
      </c>
      <c r="E21" s="25" t="s">
        <v>50</v>
      </c>
      <c r="F21" s="25" t="s">
        <v>51</v>
      </c>
      <c r="G21" s="24" t="s">
        <v>52</v>
      </c>
      <c r="H21" s="24" t="str">
        <f>C11</f>
        <v>Magister</v>
      </c>
      <c r="I21" s="24" t="str">
        <f>C12</f>
        <v>Posessed (0-2)</v>
      </c>
      <c r="J21" s="24" t="str">
        <f>C13</f>
        <v>Mutants (0-2)</v>
      </c>
      <c r="K21" s="24" t="str">
        <f>C14</f>
        <v>Darksouls</v>
      </c>
      <c r="L21" s="24" t="str">
        <f>C15</f>
        <v>Bretheren</v>
      </c>
      <c r="M21" s="24" t="str">
        <f>C16</f>
        <v>Beastmen</v>
      </c>
      <c r="N21" s="24" t="s">
        <v>53</v>
      </c>
      <c r="O21" s="24" t="s">
        <v>54</v>
      </c>
      <c r="P21" s="24" t="s">
        <v>55</v>
      </c>
      <c r="Q21" s="24" t="s">
        <v>56</v>
      </c>
      <c r="R21" s="26" t="s">
        <v>57</v>
      </c>
      <c r="S21" s="26" t="s">
        <v>58</v>
      </c>
    </row>
    <row r="22" spans="2:19" x14ac:dyDescent="0.2">
      <c r="B22" s="1" t="s">
        <v>59</v>
      </c>
      <c r="C22" s="1" t="s">
        <v>60</v>
      </c>
      <c r="D22" s="18"/>
      <c r="E22" s="27"/>
      <c r="F22" s="18" t="s">
        <v>61</v>
      </c>
      <c r="G22">
        <v>5</v>
      </c>
      <c r="H22">
        <v>0</v>
      </c>
      <c r="I22">
        <v>0</v>
      </c>
      <c r="J22">
        <v>0</v>
      </c>
      <c r="K22">
        <v>0</v>
      </c>
      <c r="L22">
        <v>0</v>
      </c>
      <c r="M22">
        <f>M19</f>
        <v>0</v>
      </c>
      <c r="N22">
        <f t="shared" ref="N22:N53" si="1">SUM(H22:M22)*G22</f>
        <v>0</v>
      </c>
      <c r="O22" s="28" t="s">
        <v>62</v>
      </c>
      <c r="P22">
        <v>1</v>
      </c>
      <c r="Q22" s="1">
        <f t="shared" ref="Q22:Q53" si="2">P22*SUM(H22:M22)</f>
        <v>0</v>
      </c>
      <c r="S22">
        <f t="shared" ref="S22:S53" si="3">SUM(H22:M22)</f>
        <v>0</v>
      </c>
    </row>
    <row r="23" spans="2:19" x14ac:dyDescent="0.2">
      <c r="B23" s="1" t="s">
        <v>63</v>
      </c>
      <c r="C23" s="1" t="s">
        <v>60</v>
      </c>
      <c r="D23" s="18"/>
      <c r="E23" s="27"/>
      <c r="F23" s="18" t="s">
        <v>64</v>
      </c>
      <c r="G23">
        <v>10</v>
      </c>
      <c r="H23">
        <v>0</v>
      </c>
      <c r="I23">
        <v>0</v>
      </c>
      <c r="J23" s="11">
        <f>E13</f>
        <v>1</v>
      </c>
      <c r="K23">
        <v>0</v>
      </c>
      <c r="L23">
        <v>0</v>
      </c>
      <c r="M23">
        <v>0</v>
      </c>
      <c r="N23">
        <f t="shared" si="1"/>
        <v>10</v>
      </c>
      <c r="O23" s="28" t="s">
        <v>62</v>
      </c>
      <c r="P23">
        <v>2</v>
      </c>
      <c r="Q23" s="1">
        <f t="shared" si="2"/>
        <v>2</v>
      </c>
      <c r="S23">
        <f t="shared" si="3"/>
        <v>1</v>
      </c>
    </row>
    <row r="24" spans="2:19" x14ac:dyDescent="0.2">
      <c r="B24" s="1" t="s">
        <v>65</v>
      </c>
      <c r="C24" s="1" t="s">
        <v>60</v>
      </c>
      <c r="E24" s="1"/>
      <c r="F24" s="28" t="s">
        <v>66</v>
      </c>
      <c r="G24">
        <v>20</v>
      </c>
      <c r="H24">
        <v>0</v>
      </c>
      <c r="I24">
        <v>0</v>
      </c>
      <c r="J24" s="11">
        <v>0</v>
      </c>
      <c r="K24">
        <v>0</v>
      </c>
      <c r="L24">
        <v>0</v>
      </c>
      <c r="M24">
        <f>M11</f>
        <v>0</v>
      </c>
      <c r="N24">
        <f t="shared" si="1"/>
        <v>0</v>
      </c>
      <c r="O24" s="28" t="s">
        <v>62</v>
      </c>
      <c r="P24">
        <v>3</v>
      </c>
      <c r="Q24" s="1">
        <f t="shared" si="2"/>
        <v>0</v>
      </c>
      <c r="S24">
        <f t="shared" si="3"/>
        <v>0</v>
      </c>
    </row>
    <row r="25" spans="2:19" x14ac:dyDescent="0.2">
      <c r="B25" s="1" t="s">
        <v>67</v>
      </c>
      <c r="C25" s="1" t="s">
        <v>60</v>
      </c>
      <c r="E25" s="1"/>
      <c r="F25" s="28" t="s">
        <v>68</v>
      </c>
      <c r="G25">
        <v>50</v>
      </c>
      <c r="H25">
        <v>0</v>
      </c>
      <c r="I25">
        <v>0</v>
      </c>
      <c r="J25">
        <f>E13</f>
        <v>1</v>
      </c>
      <c r="K25">
        <v>0</v>
      </c>
      <c r="L25">
        <v>0</v>
      </c>
      <c r="M25">
        <v>0</v>
      </c>
      <c r="N25">
        <f t="shared" si="1"/>
        <v>50</v>
      </c>
      <c r="O25" s="28" t="s">
        <v>62</v>
      </c>
      <c r="P25">
        <v>4</v>
      </c>
      <c r="Q25" s="1">
        <f t="shared" si="2"/>
        <v>4</v>
      </c>
      <c r="S25">
        <f t="shared" si="3"/>
        <v>1</v>
      </c>
    </row>
    <row r="26" spans="2:19" x14ac:dyDescent="0.2">
      <c r="B26" s="1" t="s">
        <v>69</v>
      </c>
      <c r="C26" t="s">
        <v>70</v>
      </c>
      <c r="D26" s="1"/>
      <c r="E26" s="28" t="s">
        <v>71</v>
      </c>
      <c r="F26" s="1" t="s">
        <v>72</v>
      </c>
      <c r="G26">
        <v>0</v>
      </c>
      <c r="H26">
        <f>E11</f>
        <v>1</v>
      </c>
      <c r="I26">
        <v>0</v>
      </c>
      <c r="J26">
        <f>E13</f>
        <v>1</v>
      </c>
      <c r="K26">
        <v>0</v>
      </c>
      <c r="L26">
        <f>E15</f>
        <v>0</v>
      </c>
      <c r="M26">
        <f>E16</f>
        <v>1</v>
      </c>
      <c r="N26">
        <f t="shared" si="1"/>
        <v>0</v>
      </c>
      <c r="O26" s="28" t="s">
        <v>62</v>
      </c>
      <c r="P26">
        <v>1</v>
      </c>
      <c r="Q26" s="1">
        <f t="shared" si="2"/>
        <v>3</v>
      </c>
      <c r="S26">
        <f t="shared" si="3"/>
        <v>3</v>
      </c>
    </row>
    <row r="27" spans="2:19" x14ac:dyDescent="0.2">
      <c r="B27" s="1" t="s">
        <v>73</v>
      </c>
      <c r="C27" t="s">
        <v>70</v>
      </c>
      <c r="D27" s="1"/>
      <c r="E27" s="28" t="s">
        <v>71</v>
      </c>
      <c r="F27" s="1" t="s">
        <v>72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1"/>
        <v>0</v>
      </c>
      <c r="O27" s="28" t="s">
        <v>62</v>
      </c>
      <c r="P27">
        <v>1</v>
      </c>
      <c r="Q27" s="1">
        <f t="shared" si="2"/>
        <v>0</v>
      </c>
      <c r="S27">
        <f t="shared" si="3"/>
        <v>0</v>
      </c>
    </row>
    <row r="28" spans="2:19" x14ac:dyDescent="0.2">
      <c r="B28" s="1" t="s">
        <v>74</v>
      </c>
      <c r="C28" s="1" t="s">
        <v>70</v>
      </c>
      <c r="D28" s="1"/>
      <c r="E28" s="28" t="s">
        <v>71</v>
      </c>
      <c r="F28" s="28"/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1"/>
        <v>0</v>
      </c>
      <c r="O28" s="28" t="s">
        <v>62</v>
      </c>
      <c r="P28">
        <v>2</v>
      </c>
      <c r="Q28" s="1">
        <f t="shared" si="2"/>
        <v>0</v>
      </c>
      <c r="S28">
        <f t="shared" si="3"/>
        <v>0</v>
      </c>
    </row>
    <row r="29" spans="2:19" x14ac:dyDescent="0.2">
      <c r="B29" s="1" t="s">
        <v>75</v>
      </c>
      <c r="C29" s="1" t="s">
        <v>70</v>
      </c>
      <c r="D29" s="1"/>
      <c r="E29" s="28" t="s">
        <v>71</v>
      </c>
      <c r="F29" s="28" t="s">
        <v>76</v>
      </c>
      <c r="G29">
        <v>5</v>
      </c>
      <c r="H29">
        <v>0</v>
      </c>
      <c r="I29">
        <v>0</v>
      </c>
      <c r="J29">
        <v>0</v>
      </c>
      <c r="K29">
        <v>0</v>
      </c>
      <c r="L29">
        <f>E15</f>
        <v>0</v>
      </c>
      <c r="M29" s="11">
        <f>E16</f>
        <v>1</v>
      </c>
      <c r="N29">
        <f t="shared" si="1"/>
        <v>5</v>
      </c>
      <c r="O29" s="28" t="s">
        <v>62</v>
      </c>
      <c r="P29">
        <v>3</v>
      </c>
      <c r="Q29" s="1">
        <f t="shared" si="2"/>
        <v>3</v>
      </c>
      <c r="S29">
        <f t="shared" si="3"/>
        <v>1</v>
      </c>
    </row>
    <row r="30" spans="2:19" x14ac:dyDescent="0.2">
      <c r="B30" s="1" t="s">
        <v>77</v>
      </c>
      <c r="C30" s="1" t="s">
        <v>70</v>
      </c>
      <c r="E30" s="28" t="s">
        <v>71</v>
      </c>
      <c r="F30" s="28"/>
      <c r="G30">
        <v>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1"/>
        <v>0</v>
      </c>
      <c r="O30" s="28" t="s">
        <v>78</v>
      </c>
      <c r="P30">
        <v>3</v>
      </c>
      <c r="Q30" s="1">
        <f t="shared" si="2"/>
        <v>0</v>
      </c>
      <c r="S30">
        <f t="shared" si="3"/>
        <v>0</v>
      </c>
    </row>
    <row r="31" spans="2:19" x14ac:dyDescent="0.2">
      <c r="B31" s="1" t="s">
        <v>79</v>
      </c>
      <c r="C31" s="1" t="s">
        <v>70</v>
      </c>
      <c r="E31" s="28"/>
      <c r="F31" s="1" t="s">
        <v>80</v>
      </c>
      <c r="G31">
        <v>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1"/>
        <v>0</v>
      </c>
      <c r="O31" s="28" t="s">
        <v>62</v>
      </c>
      <c r="P31">
        <v>3</v>
      </c>
      <c r="Q31" s="1">
        <f t="shared" si="2"/>
        <v>0</v>
      </c>
      <c r="S31">
        <f t="shared" si="3"/>
        <v>0</v>
      </c>
    </row>
    <row r="32" spans="2:19" x14ac:dyDescent="0.2">
      <c r="B32" s="1" t="s">
        <v>81</v>
      </c>
      <c r="C32" s="1" t="s">
        <v>70</v>
      </c>
      <c r="D32" s="1"/>
      <c r="E32" s="28" t="s">
        <v>71</v>
      </c>
      <c r="F32" s="28" t="s">
        <v>82</v>
      </c>
      <c r="G32">
        <v>10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1"/>
        <v>0</v>
      </c>
      <c r="O32" s="28" t="s">
        <v>62</v>
      </c>
      <c r="P32">
        <v>3</v>
      </c>
      <c r="Q32" s="1">
        <f t="shared" si="2"/>
        <v>0</v>
      </c>
      <c r="S32">
        <f t="shared" si="3"/>
        <v>0</v>
      </c>
    </row>
    <row r="33" spans="2:19" x14ac:dyDescent="0.2">
      <c r="B33" s="1" t="s">
        <v>83</v>
      </c>
      <c r="C33" s="1" t="s">
        <v>70</v>
      </c>
      <c r="E33" s="28" t="s">
        <v>71</v>
      </c>
      <c r="F33" s="28" t="s">
        <v>84</v>
      </c>
      <c r="G33">
        <v>15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1"/>
        <v>0</v>
      </c>
      <c r="O33" s="28" t="s">
        <v>62</v>
      </c>
      <c r="P33">
        <v>4</v>
      </c>
      <c r="Q33" s="1">
        <f t="shared" si="2"/>
        <v>0</v>
      </c>
      <c r="S33">
        <f t="shared" si="3"/>
        <v>0</v>
      </c>
    </row>
    <row r="34" spans="2:19" x14ac:dyDescent="0.2">
      <c r="B34" s="1" t="s">
        <v>85</v>
      </c>
      <c r="C34" s="18" t="s">
        <v>70</v>
      </c>
      <c r="D34" s="18"/>
      <c r="E34" s="28"/>
      <c r="F34" s="18" t="s">
        <v>86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1"/>
        <v>0</v>
      </c>
      <c r="O34" s="28" t="s">
        <v>62</v>
      </c>
      <c r="P34">
        <v>5</v>
      </c>
      <c r="Q34" s="1">
        <f t="shared" si="2"/>
        <v>0</v>
      </c>
      <c r="S34">
        <f t="shared" si="3"/>
        <v>0</v>
      </c>
    </row>
    <row r="35" spans="2:19" x14ac:dyDescent="0.2">
      <c r="B35" s="1" t="s">
        <v>87</v>
      </c>
      <c r="C35" s="1" t="s">
        <v>88</v>
      </c>
      <c r="E35" s="28"/>
      <c r="F35" s="1" t="s">
        <v>89</v>
      </c>
      <c r="G35">
        <v>20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1"/>
        <v>0</v>
      </c>
      <c r="O35" s="28">
        <v>2.2999999999999998</v>
      </c>
      <c r="P35">
        <v>5</v>
      </c>
      <c r="Q35" s="1">
        <f t="shared" si="2"/>
        <v>0</v>
      </c>
      <c r="R35">
        <f t="shared" ref="R35:R74" si="4">G35*J35</f>
        <v>0</v>
      </c>
      <c r="S35">
        <f t="shared" si="3"/>
        <v>0</v>
      </c>
    </row>
    <row r="36" spans="2:19" x14ac:dyDescent="0.2">
      <c r="B36" s="1" t="s">
        <v>90</v>
      </c>
      <c r="C36" s="1" t="s">
        <v>88</v>
      </c>
      <c r="E36" s="28"/>
      <c r="F36" s="1" t="s">
        <v>91</v>
      </c>
      <c r="G36">
        <v>30</v>
      </c>
      <c r="H36">
        <v>0</v>
      </c>
      <c r="I36">
        <v>0</v>
      </c>
      <c r="J36">
        <v>0</v>
      </c>
      <c r="K36">
        <v>0</v>
      </c>
      <c r="L36">
        <v>0</v>
      </c>
      <c r="M36">
        <f>0</f>
        <v>0</v>
      </c>
      <c r="N36">
        <f t="shared" si="1"/>
        <v>0</v>
      </c>
      <c r="O36" s="28">
        <v>2.2999999999999998</v>
      </c>
      <c r="P36">
        <v>3</v>
      </c>
      <c r="Q36" s="1">
        <f t="shared" si="2"/>
        <v>0</v>
      </c>
      <c r="R36">
        <f t="shared" si="4"/>
        <v>0</v>
      </c>
      <c r="S36">
        <f t="shared" si="3"/>
        <v>0</v>
      </c>
    </row>
    <row r="37" spans="2:19" x14ac:dyDescent="0.2">
      <c r="B37" s="1" t="s">
        <v>92</v>
      </c>
      <c r="C37" s="1" t="s">
        <v>88</v>
      </c>
      <c r="E37" s="28"/>
      <c r="F37" s="1" t="s">
        <v>93</v>
      </c>
      <c r="G37">
        <v>35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1"/>
        <v>0</v>
      </c>
      <c r="O37" s="28">
        <v>2.2999999999999998</v>
      </c>
      <c r="P37">
        <v>4</v>
      </c>
      <c r="Q37" s="1">
        <f t="shared" si="2"/>
        <v>0</v>
      </c>
      <c r="R37">
        <f t="shared" si="4"/>
        <v>0</v>
      </c>
      <c r="S37">
        <f t="shared" si="3"/>
        <v>0</v>
      </c>
    </row>
    <row r="38" spans="2:19" x14ac:dyDescent="0.2">
      <c r="B38" s="1" t="s">
        <v>94</v>
      </c>
      <c r="C38" s="1" t="s">
        <v>88</v>
      </c>
      <c r="D38" s="1"/>
      <c r="E38" s="28"/>
      <c r="F38" s="1" t="s">
        <v>95</v>
      </c>
      <c r="G38">
        <v>35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1"/>
        <v>0</v>
      </c>
      <c r="O38" s="28">
        <v>2.2999999999999998</v>
      </c>
      <c r="P38">
        <v>2</v>
      </c>
      <c r="Q38" s="1">
        <f t="shared" si="2"/>
        <v>0</v>
      </c>
      <c r="R38">
        <f t="shared" si="4"/>
        <v>0</v>
      </c>
      <c r="S38">
        <f t="shared" si="3"/>
        <v>0</v>
      </c>
    </row>
    <row r="39" spans="2:19" x14ac:dyDescent="0.2">
      <c r="B39" s="1" t="s">
        <v>96</v>
      </c>
      <c r="C39" s="1" t="s">
        <v>88</v>
      </c>
      <c r="E39" s="28"/>
      <c r="F39" s="1" t="s">
        <v>97</v>
      </c>
      <c r="G39">
        <v>40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1"/>
        <v>0</v>
      </c>
      <c r="O39" s="28">
        <v>2.2999999999999998</v>
      </c>
      <c r="P39">
        <v>2</v>
      </c>
      <c r="Q39" s="1">
        <f t="shared" si="2"/>
        <v>0</v>
      </c>
      <c r="R39">
        <f t="shared" si="4"/>
        <v>0</v>
      </c>
      <c r="S39">
        <f t="shared" si="3"/>
        <v>0</v>
      </c>
    </row>
    <row r="40" spans="2:19" x14ac:dyDescent="0.2">
      <c r="B40" s="1" t="s">
        <v>98</v>
      </c>
      <c r="C40" s="1" t="s">
        <v>88</v>
      </c>
      <c r="D40" s="1"/>
      <c r="E40" s="28"/>
      <c r="F40" s="1" t="s">
        <v>99</v>
      </c>
      <c r="G40">
        <v>40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1"/>
        <v>0</v>
      </c>
      <c r="O40" s="28">
        <v>2.2999999999999998</v>
      </c>
      <c r="P40">
        <v>5</v>
      </c>
      <c r="Q40" s="1">
        <f t="shared" si="2"/>
        <v>0</v>
      </c>
      <c r="R40">
        <f t="shared" si="4"/>
        <v>0</v>
      </c>
      <c r="S40">
        <f t="shared" si="3"/>
        <v>0</v>
      </c>
    </row>
    <row r="41" spans="2:19" x14ac:dyDescent="0.2">
      <c r="B41" s="1" t="s">
        <v>100</v>
      </c>
      <c r="C41" s="1" t="s">
        <v>88</v>
      </c>
      <c r="D41" s="1"/>
      <c r="E41" s="28"/>
      <c r="F41" s="1" t="s">
        <v>101</v>
      </c>
      <c r="G41">
        <v>40</v>
      </c>
      <c r="H41">
        <v>0</v>
      </c>
      <c r="I41">
        <v>0</v>
      </c>
      <c r="J41">
        <v>0</v>
      </c>
      <c r="K41">
        <f>K32</f>
        <v>0</v>
      </c>
      <c r="L41">
        <v>0</v>
      </c>
      <c r="M41">
        <v>0</v>
      </c>
      <c r="N41">
        <f t="shared" si="1"/>
        <v>0</v>
      </c>
      <c r="O41" s="28">
        <v>2.2999999999999998</v>
      </c>
      <c r="P41">
        <v>5</v>
      </c>
      <c r="Q41" s="1">
        <f t="shared" si="2"/>
        <v>0</v>
      </c>
      <c r="R41">
        <f t="shared" si="4"/>
        <v>0</v>
      </c>
      <c r="S41">
        <f t="shared" si="3"/>
        <v>0</v>
      </c>
    </row>
    <row r="42" spans="2:19" x14ac:dyDescent="0.2">
      <c r="B42" s="1" t="s">
        <v>102</v>
      </c>
      <c r="C42" s="1" t="s">
        <v>88</v>
      </c>
      <c r="E42" s="28"/>
      <c r="F42" s="1" t="s">
        <v>103</v>
      </c>
      <c r="G42">
        <v>40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1"/>
        <v>0</v>
      </c>
      <c r="O42" s="28">
        <v>2.2999999999999998</v>
      </c>
      <c r="P42">
        <v>6</v>
      </c>
      <c r="Q42" s="1">
        <f t="shared" si="2"/>
        <v>0</v>
      </c>
      <c r="R42">
        <f t="shared" si="4"/>
        <v>0</v>
      </c>
      <c r="S42">
        <f t="shared" si="3"/>
        <v>0</v>
      </c>
    </row>
    <row r="43" spans="2:19" x14ac:dyDescent="0.2">
      <c r="B43" s="1" t="s">
        <v>104</v>
      </c>
      <c r="C43" t="s">
        <v>88</v>
      </c>
      <c r="D43" s="1"/>
      <c r="E43" s="1"/>
      <c r="F43" s="28" t="s">
        <v>105</v>
      </c>
      <c r="G43">
        <v>45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1"/>
        <v>0</v>
      </c>
      <c r="O43" s="28">
        <v>2.2999999999999998</v>
      </c>
      <c r="P43">
        <v>1</v>
      </c>
      <c r="Q43" s="1">
        <f t="shared" si="2"/>
        <v>0</v>
      </c>
      <c r="R43">
        <f t="shared" si="4"/>
        <v>0</v>
      </c>
      <c r="S43">
        <f t="shared" si="3"/>
        <v>0</v>
      </c>
    </row>
    <row r="44" spans="2:19" x14ac:dyDescent="0.2">
      <c r="B44" s="1" t="s">
        <v>106</v>
      </c>
      <c r="C44" t="s">
        <v>88</v>
      </c>
      <c r="D44" s="1"/>
      <c r="E44" s="28"/>
      <c r="F44" s="1" t="s">
        <v>107</v>
      </c>
      <c r="G44">
        <v>50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1"/>
        <v>0</v>
      </c>
      <c r="O44" s="28">
        <v>2.2999999999999998</v>
      </c>
      <c r="P44">
        <v>5</v>
      </c>
      <c r="Q44" s="1">
        <f t="shared" si="2"/>
        <v>0</v>
      </c>
      <c r="R44">
        <f t="shared" si="4"/>
        <v>0</v>
      </c>
      <c r="S44">
        <f t="shared" si="3"/>
        <v>0</v>
      </c>
    </row>
    <row r="45" spans="2:19" x14ac:dyDescent="0.2">
      <c r="B45" s="1" t="s">
        <v>108</v>
      </c>
      <c r="C45" s="1" t="s">
        <v>88</v>
      </c>
      <c r="D45" s="1"/>
      <c r="E45" s="28"/>
      <c r="F45" s="1" t="s">
        <v>109</v>
      </c>
      <c r="G45">
        <v>50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1"/>
        <v>0</v>
      </c>
      <c r="O45" s="28">
        <v>2.2999999999999998</v>
      </c>
      <c r="P45">
        <v>4</v>
      </c>
      <c r="Q45" s="1">
        <f t="shared" si="2"/>
        <v>0</v>
      </c>
      <c r="R45">
        <f t="shared" si="4"/>
        <v>0</v>
      </c>
      <c r="S45">
        <f t="shared" si="3"/>
        <v>0</v>
      </c>
    </row>
    <row r="46" spans="2:19" x14ac:dyDescent="0.2">
      <c r="B46" s="1" t="s">
        <v>110</v>
      </c>
      <c r="C46" t="s">
        <v>88</v>
      </c>
      <c r="D46" s="1"/>
      <c r="E46" s="28"/>
      <c r="F46" s="1" t="s">
        <v>111</v>
      </c>
      <c r="G46">
        <v>50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1"/>
        <v>0</v>
      </c>
      <c r="O46" s="28">
        <v>2.2999999999999998</v>
      </c>
      <c r="P46">
        <v>5</v>
      </c>
      <c r="Q46" s="1">
        <f t="shared" si="2"/>
        <v>0</v>
      </c>
      <c r="R46">
        <f t="shared" si="4"/>
        <v>0</v>
      </c>
      <c r="S46">
        <f t="shared" si="3"/>
        <v>0</v>
      </c>
    </row>
    <row r="47" spans="2:19" x14ac:dyDescent="0.2">
      <c r="B47" s="1" t="s">
        <v>112</v>
      </c>
      <c r="C47" t="s">
        <v>88</v>
      </c>
      <c r="E47" s="28"/>
      <c r="F47" s="1" t="s">
        <v>113</v>
      </c>
      <c r="G47">
        <v>60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1"/>
        <v>0</v>
      </c>
      <c r="O47" s="28">
        <v>2.2999999999999998</v>
      </c>
      <c r="P47">
        <v>4</v>
      </c>
      <c r="Q47" s="1">
        <f t="shared" si="2"/>
        <v>0</v>
      </c>
      <c r="R47">
        <f t="shared" si="4"/>
        <v>0</v>
      </c>
      <c r="S47">
        <f t="shared" si="3"/>
        <v>0</v>
      </c>
    </row>
    <row r="48" spans="2:19" x14ac:dyDescent="0.2">
      <c r="B48" s="1" t="s">
        <v>114</v>
      </c>
      <c r="C48" t="s">
        <v>88</v>
      </c>
      <c r="D48" s="18"/>
      <c r="E48" s="27"/>
      <c r="F48" s="18" t="s">
        <v>115</v>
      </c>
      <c r="G48">
        <v>60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1"/>
        <v>0</v>
      </c>
      <c r="O48" s="28">
        <v>2.2999999999999998</v>
      </c>
      <c r="P48">
        <v>4</v>
      </c>
      <c r="Q48" s="1">
        <f t="shared" si="2"/>
        <v>0</v>
      </c>
      <c r="R48">
        <f t="shared" si="4"/>
        <v>0</v>
      </c>
      <c r="S48">
        <f t="shared" si="3"/>
        <v>0</v>
      </c>
    </row>
    <row r="49" spans="2:19" x14ac:dyDescent="0.2">
      <c r="B49" s="1" t="s">
        <v>116</v>
      </c>
      <c r="C49" t="s">
        <v>88</v>
      </c>
      <c r="D49" s="18"/>
      <c r="E49" s="27" t="s">
        <v>71</v>
      </c>
      <c r="F49" s="18" t="s">
        <v>117</v>
      </c>
      <c r="G49">
        <v>35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1"/>
        <v>0</v>
      </c>
      <c r="O49" s="28">
        <v>2.2999999999999998</v>
      </c>
      <c r="P49">
        <v>2</v>
      </c>
      <c r="Q49" s="1">
        <f t="shared" si="2"/>
        <v>0</v>
      </c>
      <c r="R49">
        <f t="shared" si="4"/>
        <v>0</v>
      </c>
      <c r="S49">
        <f t="shared" si="3"/>
        <v>0</v>
      </c>
    </row>
    <row r="50" spans="2:19" x14ac:dyDescent="0.2">
      <c r="B50" s="1" t="s">
        <v>118</v>
      </c>
      <c r="C50" t="s">
        <v>88</v>
      </c>
      <c r="D50" s="18"/>
      <c r="E50" s="27"/>
      <c r="F50" s="18" t="s">
        <v>119</v>
      </c>
      <c r="G50">
        <v>40</v>
      </c>
      <c r="H50">
        <v>0</v>
      </c>
      <c r="I50">
        <v>0</v>
      </c>
      <c r="J50">
        <f>E13</f>
        <v>1</v>
      </c>
      <c r="K50">
        <v>0</v>
      </c>
      <c r="L50">
        <v>0</v>
      </c>
      <c r="M50">
        <v>0</v>
      </c>
      <c r="N50">
        <f t="shared" si="1"/>
        <v>40</v>
      </c>
      <c r="O50" s="28">
        <v>2.2999999999999998</v>
      </c>
      <c r="P50">
        <v>4</v>
      </c>
      <c r="Q50" s="1">
        <f t="shared" si="2"/>
        <v>4</v>
      </c>
      <c r="R50">
        <f t="shared" si="4"/>
        <v>40</v>
      </c>
      <c r="S50">
        <f t="shared" si="3"/>
        <v>1</v>
      </c>
    </row>
    <row r="51" spans="2:19" x14ac:dyDescent="0.2">
      <c r="B51" s="1" t="s">
        <v>120</v>
      </c>
      <c r="C51" t="s">
        <v>88</v>
      </c>
      <c r="D51" s="18"/>
      <c r="E51" s="27"/>
      <c r="F51" s="18" t="s">
        <v>121</v>
      </c>
      <c r="G51">
        <v>45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1"/>
        <v>0</v>
      </c>
      <c r="O51" s="28">
        <v>2.2999999999999998</v>
      </c>
      <c r="P51">
        <v>3</v>
      </c>
      <c r="Q51" s="1">
        <f t="shared" si="2"/>
        <v>0</v>
      </c>
      <c r="R51">
        <f t="shared" si="4"/>
        <v>0</v>
      </c>
      <c r="S51">
        <f t="shared" si="3"/>
        <v>0</v>
      </c>
    </row>
    <row r="52" spans="2:19" x14ac:dyDescent="0.2">
      <c r="B52" s="1" t="s">
        <v>122</v>
      </c>
      <c r="C52" t="s">
        <v>88</v>
      </c>
      <c r="D52" s="18"/>
      <c r="E52" s="27"/>
      <c r="F52" s="18" t="s">
        <v>123</v>
      </c>
      <c r="G52">
        <v>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f t="shared" si="1"/>
        <v>0</v>
      </c>
      <c r="O52" s="28">
        <v>2.2999999999999998</v>
      </c>
      <c r="P52">
        <v>2</v>
      </c>
      <c r="Q52" s="1">
        <f t="shared" si="2"/>
        <v>0</v>
      </c>
      <c r="R52">
        <f t="shared" si="4"/>
        <v>0</v>
      </c>
      <c r="S52">
        <f t="shared" si="3"/>
        <v>0</v>
      </c>
    </row>
    <row r="53" spans="2:19" x14ac:dyDescent="0.2">
      <c r="B53" s="1" t="s">
        <v>124</v>
      </c>
      <c r="C53" t="s">
        <v>88</v>
      </c>
      <c r="D53" s="18"/>
      <c r="E53" s="27"/>
      <c r="F53" s="18" t="s">
        <v>125</v>
      </c>
      <c r="G53">
        <v>25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1"/>
        <v>0</v>
      </c>
      <c r="O53" s="28">
        <v>2.2999999999999998</v>
      </c>
      <c r="P53">
        <v>1</v>
      </c>
      <c r="Q53" s="1">
        <f t="shared" si="2"/>
        <v>0</v>
      </c>
      <c r="R53">
        <f t="shared" si="4"/>
        <v>0</v>
      </c>
      <c r="S53">
        <f t="shared" si="3"/>
        <v>0</v>
      </c>
    </row>
    <row r="54" spans="2:19" x14ac:dyDescent="0.2">
      <c r="B54" s="1" t="s">
        <v>126</v>
      </c>
      <c r="C54" t="s">
        <v>88</v>
      </c>
      <c r="D54" s="18"/>
      <c r="E54" s="27"/>
      <c r="F54" s="18" t="s">
        <v>127</v>
      </c>
      <c r="G54">
        <v>30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f t="shared" ref="N54:N74" si="5">SUM(H54:M54)*G54</f>
        <v>0</v>
      </c>
      <c r="O54" s="28">
        <v>2.2999999999999998</v>
      </c>
      <c r="P54">
        <v>2</v>
      </c>
      <c r="Q54" s="1">
        <f t="shared" ref="Q54:Q74" si="6">P54*SUM(H54:M54)</f>
        <v>0</v>
      </c>
      <c r="R54">
        <f t="shared" si="4"/>
        <v>0</v>
      </c>
      <c r="S54">
        <f t="shared" ref="S54:S74" si="7">SUM(H54:M54)</f>
        <v>0</v>
      </c>
    </row>
    <row r="55" spans="2:19" x14ac:dyDescent="0.2">
      <c r="B55" s="1" t="s">
        <v>128</v>
      </c>
      <c r="C55" t="s">
        <v>88</v>
      </c>
      <c r="D55" s="18"/>
      <c r="E55" s="27"/>
      <c r="F55" s="18" t="s">
        <v>129</v>
      </c>
      <c r="G55">
        <v>80</v>
      </c>
      <c r="H55">
        <v>0</v>
      </c>
      <c r="I55">
        <v>0</v>
      </c>
      <c r="J55">
        <f>E13</f>
        <v>1</v>
      </c>
      <c r="K55">
        <v>0</v>
      </c>
      <c r="L55">
        <v>0</v>
      </c>
      <c r="M55">
        <v>0</v>
      </c>
      <c r="N55">
        <f t="shared" si="5"/>
        <v>80</v>
      </c>
      <c r="O55" s="28">
        <v>2.2999999999999998</v>
      </c>
      <c r="P55">
        <v>3</v>
      </c>
      <c r="Q55" s="1">
        <f t="shared" si="6"/>
        <v>3</v>
      </c>
      <c r="R55">
        <f t="shared" si="4"/>
        <v>80</v>
      </c>
      <c r="S55">
        <f t="shared" si="7"/>
        <v>1</v>
      </c>
    </row>
    <row r="56" spans="2:19" x14ac:dyDescent="0.2">
      <c r="B56" s="1" t="s">
        <v>130</v>
      </c>
      <c r="C56" t="s">
        <v>88</v>
      </c>
      <c r="D56" s="18"/>
      <c r="E56" s="27"/>
      <c r="F56" s="18" t="s">
        <v>131</v>
      </c>
      <c r="G56">
        <v>45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5"/>
        <v>0</v>
      </c>
      <c r="O56" s="28">
        <v>2.2999999999999998</v>
      </c>
      <c r="P56">
        <v>1</v>
      </c>
      <c r="Q56" s="1">
        <f t="shared" si="6"/>
        <v>0</v>
      </c>
      <c r="R56">
        <f t="shared" si="4"/>
        <v>0</v>
      </c>
      <c r="S56">
        <f t="shared" si="7"/>
        <v>0</v>
      </c>
    </row>
    <row r="57" spans="2:19" x14ac:dyDescent="0.2">
      <c r="B57" s="1" t="s">
        <v>132</v>
      </c>
      <c r="C57" t="s">
        <v>88</v>
      </c>
      <c r="D57" s="18"/>
      <c r="E57" s="27"/>
      <c r="F57" s="18" t="s">
        <v>133</v>
      </c>
      <c r="G57">
        <v>35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f t="shared" si="5"/>
        <v>0</v>
      </c>
      <c r="O57" s="28">
        <v>2.2999999999999998</v>
      </c>
      <c r="P57">
        <v>2</v>
      </c>
      <c r="Q57" s="1">
        <f t="shared" si="6"/>
        <v>0</v>
      </c>
      <c r="R57">
        <f t="shared" si="4"/>
        <v>0</v>
      </c>
      <c r="S57">
        <f t="shared" si="7"/>
        <v>0</v>
      </c>
    </row>
    <row r="58" spans="2:19" x14ac:dyDescent="0.2">
      <c r="B58" s="1" t="s">
        <v>134</v>
      </c>
      <c r="C58" t="s">
        <v>88</v>
      </c>
      <c r="D58" s="18"/>
      <c r="E58" s="27"/>
      <c r="F58" s="18" t="s">
        <v>135</v>
      </c>
      <c r="G58">
        <v>50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f t="shared" si="5"/>
        <v>0</v>
      </c>
      <c r="O58" s="28">
        <v>2.2999999999999998</v>
      </c>
      <c r="P58">
        <v>4</v>
      </c>
      <c r="Q58" s="1">
        <f t="shared" si="6"/>
        <v>0</v>
      </c>
      <c r="R58">
        <f t="shared" si="4"/>
        <v>0</v>
      </c>
      <c r="S58">
        <f t="shared" si="7"/>
        <v>0</v>
      </c>
    </row>
    <row r="59" spans="2:19" x14ac:dyDescent="0.2">
      <c r="B59" s="1" t="s">
        <v>136</v>
      </c>
      <c r="C59" t="s">
        <v>88</v>
      </c>
      <c r="D59" s="18"/>
      <c r="E59" s="27"/>
      <c r="F59" s="18" t="s">
        <v>137</v>
      </c>
      <c r="G59">
        <v>60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5"/>
        <v>0</v>
      </c>
      <c r="O59" s="28">
        <v>2.2999999999999998</v>
      </c>
      <c r="P59">
        <v>5</v>
      </c>
      <c r="Q59" s="1">
        <f t="shared" si="6"/>
        <v>0</v>
      </c>
      <c r="R59">
        <f t="shared" si="4"/>
        <v>0</v>
      </c>
      <c r="S59">
        <f t="shared" si="7"/>
        <v>0</v>
      </c>
    </row>
    <row r="60" spans="2:19" x14ac:dyDescent="0.2">
      <c r="B60" s="1" t="s">
        <v>138</v>
      </c>
      <c r="C60" t="s">
        <v>88</v>
      </c>
      <c r="D60" s="18" t="s">
        <v>139</v>
      </c>
      <c r="E60" s="27">
        <v>4</v>
      </c>
      <c r="F60" s="18"/>
      <c r="G60">
        <v>35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f t="shared" si="5"/>
        <v>0</v>
      </c>
      <c r="O60" s="28">
        <v>2.2999999999999998</v>
      </c>
      <c r="P60">
        <v>3</v>
      </c>
      <c r="Q60" s="1">
        <f t="shared" si="6"/>
        <v>0</v>
      </c>
      <c r="R60">
        <f t="shared" si="4"/>
        <v>0</v>
      </c>
      <c r="S60">
        <f t="shared" si="7"/>
        <v>0</v>
      </c>
    </row>
    <row r="61" spans="2:19" x14ac:dyDescent="0.2">
      <c r="B61" s="1" t="s">
        <v>140</v>
      </c>
      <c r="C61" t="s">
        <v>88</v>
      </c>
      <c r="D61" s="18" t="s">
        <v>141</v>
      </c>
      <c r="E61" s="27">
        <v>3</v>
      </c>
      <c r="F61" s="18"/>
      <c r="G61">
        <v>25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f t="shared" si="5"/>
        <v>0</v>
      </c>
      <c r="O61" s="28">
        <v>2.2999999999999998</v>
      </c>
      <c r="P61">
        <v>2</v>
      </c>
      <c r="Q61" s="1">
        <f t="shared" si="6"/>
        <v>0</v>
      </c>
      <c r="R61">
        <f t="shared" si="4"/>
        <v>0</v>
      </c>
      <c r="S61">
        <f t="shared" si="7"/>
        <v>0</v>
      </c>
    </row>
    <row r="62" spans="2:19" x14ac:dyDescent="0.2">
      <c r="B62" s="1" t="s">
        <v>142</v>
      </c>
      <c r="C62" t="s">
        <v>88</v>
      </c>
      <c r="D62" s="18"/>
      <c r="F62" s="28" t="s">
        <v>143</v>
      </c>
      <c r="G62">
        <v>50</v>
      </c>
      <c r="H62">
        <v>0</v>
      </c>
      <c r="I62">
        <v>0</v>
      </c>
      <c r="J62">
        <f>E13</f>
        <v>1</v>
      </c>
      <c r="K62">
        <v>0</v>
      </c>
      <c r="L62">
        <v>0</v>
      </c>
      <c r="M62">
        <v>0</v>
      </c>
      <c r="N62">
        <f t="shared" si="5"/>
        <v>50</v>
      </c>
      <c r="O62" s="28">
        <v>2.2999999999999998</v>
      </c>
      <c r="P62">
        <v>3</v>
      </c>
      <c r="Q62" s="1">
        <f t="shared" si="6"/>
        <v>3</v>
      </c>
      <c r="R62">
        <f t="shared" si="4"/>
        <v>50</v>
      </c>
      <c r="S62">
        <f t="shared" si="7"/>
        <v>1</v>
      </c>
    </row>
    <row r="63" spans="2:19" x14ac:dyDescent="0.2">
      <c r="B63" s="1" t="s">
        <v>144</v>
      </c>
      <c r="C63" t="s">
        <v>88</v>
      </c>
      <c r="D63" s="18"/>
      <c r="F63" s="28" t="s">
        <v>145</v>
      </c>
      <c r="G63">
        <v>25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si="5"/>
        <v>0</v>
      </c>
      <c r="O63" s="28">
        <v>2.2999999999999998</v>
      </c>
      <c r="P63">
        <v>2</v>
      </c>
      <c r="Q63" s="1">
        <f t="shared" si="6"/>
        <v>0</v>
      </c>
      <c r="R63">
        <f t="shared" si="4"/>
        <v>0</v>
      </c>
      <c r="S63">
        <f t="shared" si="7"/>
        <v>0</v>
      </c>
    </row>
    <row r="64" spans="2:19" x14ac:dyDescent="0.2">
      <c r="B64" s="1" t="s">
        <v>146</v>
      </c>
      <c r="C64" t="s">
        <v>88</v>
      </c>
      <c r="D64" s="18"/>
      <c r="F64" s="29" t="s">
        <v>147</v>
      </c>
      <c r="G64">
        <v>40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f t="shared" si="5"/>
        <v>0</v>
      </c>
      <c r="O64" s="28">
        <v>2.2999999999999998</v>
      </c>
      <c r="P64">
        <v>2</v>
      </c>
      <c r="Q64" s="1">
        <f t="shared" si="6"/>
        <v>0</v>
      </c>
      <c r="R64">
        <f t="shared" si="4"/>
        <v>0</v>
      </c>
      <c r="S64">
        <f t="shared" si="7"/>
        <v>0</v>
      </c>
    </row>
    <row r="65" spans="2:19" x14ac:dyDescent="0.2">
      <c r="B65" s="1" t="s">
        <v>148</v>
      </c>
      <c r="C65" t="s">
        <v>88</v>
      </c>
      <c r="D65" s="18"/>
      <c r="F65" s="28" t="s">
        <v>149</v>
      </c>
      <c r="G65">
        <v>25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f t="shared" si="5"/>
        <v>0</v>
      </c>
      <c r="O65" s="28">
        <v>2.2999999999999998</v>
      </c>
      <c r="P65">
        <v>2</v>
      </c>
      <c r="Q65" s="1">
        <f t="shared" si="6"/>
        <v>0</v>
      </c>
      <c r="R65">
        <f t="shared" si="4"/>
        <v>0</v>
      </c>
      <c r="S65">
        <f t="shared" si="7"/>
        <v>0</v>
      </c>
    </row>
    <row r="66" spans="2:19" x14ac:dyDescent="0.2">
      <c r="B66" s="1" t="s">
        <v>150</v>
      </c>
      <c r="C66" t="s">
        <v>88</v>
      </c>
      <c r="D66" s="18"/>
      <c r="F66" s="28" t="s">
        <v>151</v>
      </c>
      <c r="G66">
        <v>25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f t="shared" si="5"/>
        <v>0</v>
      </c>
      <c r="O66" s="28">
        <v>2.2999999999999998</v>
      </c>
      <c r="P66">
        <v>2</v>
      </c>
      <c r="Q66" s="1">
        <f t="shared" si="6"/>
        <v>0</v>
      </c>
      <c r="R66">
        <f t="shared" si="4"/>
        <v>0</v>
      </c>
      <c r="S66">
        <f t="shared" si="7"/>
        <v>0</v>
      </c>
    </row>
    <row r="67" spans="2:19" x14ac:dyDescent="0.2">
      <c r="B67" s="1" t="s">
        <v>152</v>
      </c>
      <c r="C67" t="s">
        <v>88</v>
      </c>
      <c r="D67" s="18"/>
      <c r="E67" s="27"/>
      <c r="F67" s="18" t="s">
        <v>153</v>
      </c>
      <c r="G67">
        <v>50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5"/>
        <v>0</v>
      </c>
      <c r="O67" s="28">
        <v>2.2999999999999998</v>
      </c>
      <c r="P67">
        <v>3</v>
      </c>
      <c r="Q67" s="1">
        <f t="shared" si="6"/>
        <v>0</v>
      </c>
      <c r="R67">
        <f t="shared" si="4"/>
        <v>0</v>
      </c>
      <c r="S67">
        <f t="shared" si="7"/>
        <v>0</v>
      </c>
    </row>
    <row r="68" spans="2:19" x14ac:dyDescent="0.2">
      <c r="B68" s="1" t="s">
        <v>154</v>
      </c>
      <c r="C68" t="s">
        <v>88</v>
      </c>
      <c r="D68" s="18"/>
      <c r="E68" s="27"/>
      <c r="F68" s="18" t="s">
        <v>155</v>
      </c>
      <c r="G68">
        <v>45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si="5"/>
        <v>0</v>
      </c>
      <c r="O68" s="28">
        <v>2.2999999999999998</v>
      </c>
      <c r="P68">
        <v>1</v>
      </c>
      <c r="Q68" s="1">
        <f t="shared" si="6"/>
        <v>0</v>
      </c>
      <c r="R68">
        <f t="shared" si="4"/>
        <v>0</v>
      </c>
      <c r="S68">
        <f t="shared" si="7"/>
        <v>0</v>
      </c>
    </row>
    <row r="69" spans="2:19" x14ac:dyDescent="0.2">
      <c r="B69" s="1" t="s">
        <v>156</v>
      </c>
      <c r="C69" t="s">
        <v>88</v>
      </c>
      <c r="D69" s="18"/>
      <c r="E69" s="27"/>
      <c r="F69" s="18" t="s">
        <v>157</v>
      </c>
      <c r="G69">
        <v>35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f t="shared" si="5"/>
        <v>0</v>
      </c>
      <c r="O69" s="28">
        <v>2.2999999999999998</v>
      </c>
      <c r="P69">
        <v>2</v>
      </c>
      <c r="Q69" s="1">
        <f t="shared" si="6"/>
        <v>0</v>
      </c>
      <c r="R69">
        <f t="shared" si="4"/>
        <v>0</v>
      </c>
      <c r="S69">
        <f t="shared" si="7"/>
        <v>0</v>
      </c>
    </row>
    <row r="70" spans="2:19" x14ac:dyDescent="0.2">
      <c r="B70" s="1" t="s">
        <v>158</v>
      </c>
      <c r="C70" t="s">
        <v>88</v>
      </c>
      <c r="D70" s="18" t="s">
        <v>141</v>
      </c>
      <c r="E70" s="27" t="s">
        <v>71</v>
      </c>
      <c r="F70" s="18" t="s">
        <v>159</v>
      </c>
      <c r="G70">
        <v>40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 t="shared" si="5"/>
        <v>0</v>
      </c>
      <c r="O70" s="28">
        <v>2.2999999999999998</v>
      </c>
      <c r="P70">
        <v>1</v>
      </c>
      <c r="Q70" s="1">
        <f t="shared" si="6"/>
        <v>0</v>
      </c>
      <c r="R70">
        <f t="shared" si="4"/>
        <v>0</v>
      </c>
      <c r="S70">
        <f t="shared" si="7"/>
        <v>0</v>
      </c>
    </row>
    <row r="71" spans="2:19" x14ac:dyDescent="0.2">
      <c r="B71" s="1" t="s">
        <v>160</v>
      </c>
      <c r="C71" t="s">
        <v>88</v>
      </c>
      <c r="D71" s="18" t="s">
        <v>161</v>
      </c>
      <c r="E71" s="27" t="s">
        <v>71</v>
      </c>
      <c r="F71" s="18" t="s">
        <v>162</v>
      </c>
      <c r="G71">
        <v>30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 t="shared" si="5"/>
        <v>0</v>
      </c>
      <c r="O71" s="28">
        <v>2.2999999999999998</v>
      </c>
      <c r="P71">
        <v>1</v>
      </c>
      <c r="Q71" s="1">
        <f t="shared" si="6"/>
        <v>0</v>
      </c>
      <c r="R71">
        <f t="shared" si="4"/>
        <v>0</v>
      </c>
      <c r="S71">
        <f t="shared" si="7"/>
        <v>0</v>
      </c>
    </row>
    <row r="72" spans="2:19" x14ac:dyDescent="0.2">
      <c r="B72" s="1" t="s">
        <v>163</v>
      </c>
      <c r="C72" t="s">
        <v>88</v>
      </c>
      <c r="D72" s="18"/>
      <c r="E72" s="27"/>
      <c r="F72" s="18" t="s">
        <v>164</v>
      </c>
      <c r="G72">
        <v>60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5"/>
        <v>0</v>
      </c>
      <c r="O72" s="28">
        <v>3.3</v>
      </c>
      <c r="P72">
        <v>4</v>
      </c>
      <c r="Q72" s="1">
        <f t="shared" si="6"/>
        <v>0</v>
      </c>
      <c r="R72">
        <f t="shared" si="4"/>
        <v>0</v>
      </c>
      <c r="S72">
        <f t="shared" si="7"/>
        <v>0</v>
      </c>
    </row>
    <row r="73" spans="2:19" x14ac:dyDescent="0.2">
      <c r="B73" s="1" t="s">
        <v>165</v>
      </c>
      <c r="C73" s="1" t="s">
        <v>166</v>
      </c>
      <c r="D73" t="s">
        <v>167</v>
      </c>
      <c r="E73" s="1" t="s">
        <v>168</v>
      </c>
      <c r="F73" s="28"/>
      <c r="G73">
        <v>10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f t="shared" si="5"/>
        <v>0</v>
      </c>
      <c r="O73" s="28" t="s">
        <v>62</v>
      </c>
      <c r="P73">
        <v>2</v>
      </c>
      <c r="Q73" s="1">
        <f t="shared" si="6"/>
        <v>0</v>
      </c>
      <c r="R73">
        <f t="shared" si="4"/>
        <v>0</v>
      </c>
      <c r="S73">
        <f t="shared" si="7"/>
        <v>0</v>
      </c>
    </row>
    <row r="74" spans="2:19" x14ac:dyDescent="0.2">
      <c r="B74" s="1" t="s">
        <v>169</v>
      </c>
      <c r="C74" s="1" t="s">
        <v>166</v>
      </c>
      <c r="D74" s="1" t="s">
        <v>170</v>
      </c>
      <c r="E74" s="1" t="s">
        <v>168</v>
      </c>
      <c r="F74" s="28"/>
      <c r="G74">
        <v>15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f t="shared" si="5"/>
        <v>0</v>
      </c>
      <c r="O74" s="28" t="s">
        <v>62</v>
      </c>
      <c r="P74">
        <v>3</v>
      </c>
      <c r="Q74" s="1">
        <f t="shared" si="6"/>
        <v>0</v>
      </c>
      <c r="R74">
        <f t="shared" si="4"/>
        <v>0</v>
      </c>
      <c r="S74">
        <f t="shared" si="7"/>
        <v>0</v>
      </c>
    </row>
    <row r="75" spans="2:19" x14ac:dyDescent="0.2">
      <c r="B75" s="18"/>
      <c r="D75" s="18"/>
      <c r="E75" s="27"/>
      <c r="F75" s="18"/>
      <c r="O75" s="28"/>
      <c r="Q75" s="1"/>
    </row>
    <row r="76" spans="2:19" ht="15.75" x14ac:dyDescent="0.25">
      <c r="E76" s="28"/>
      <c r="H76" s="30">
        <f t="shared" ref="H76:M76" si="8">H22*$G22+H23*$G23+H24*$G24+H25*$G25+H26*$G26+H27*$G27+H28*$G28+H29*$G29+H30*$G30+H31*$G31+H32*$G32+H33*$G33+H34*$G34+H35*$G35+H36*$G36+H37*$G37+H47*$G47+H48*$G48+$G49*H49+$G38*H38+$G39*H39+$G40*H40+$G41*H41+$G42*H42+$G43*H43+$G44*H44+$G45*H45+$G46*H46+$G50*H50+$G51*H51+$G52*H52+$G53*H53+$G54*H54+$G55*H55+$G56*H56+$G58*H58+$G59*H59+$G60*H60+$G61*H61+$G62*H62+$G63*H63+$G64*H64+$G65*H65+$G67*H67+$G66*H66+$G57*H57+$G67*H67+$G68*H68+$G69*H69+$G70*H70+$G71*H71+$G72*H72+$G73*H73+$G74*H74</f>
        <v>0</v>
      </c>
      <c r="I76" s="30">
        <f t="shared" si="8"/>
        <v>0</v>
      </c>
      <c r="J76" s="30">
        <f t="shared" si="8"/>
        <v>230</v>
      </c>
      <c r="K76" s="30">
        <f t="shared" si="8"/>
        <v>0</v>
      </c>
      <c r="L76" s="30">
        <f t="shared" si="8"/>
        <v>0</v>
      </c>
      <c r="M76" s="30">
        <f t="shared" si="8"/>
        <v>5</v>
      </c>
      <c r="N76" s="30">
        <f>SUM(Tabelle2[cost])</f>
        <v>235</v>
      </c>
      <c r="O76" s="31"/>
      <c r="P76" t="s">
        <v>171</v>
      </c>
      <c r="Q76" s="7">
        <f>SUM(Tabelle2[Warband Equip Rating])</f>
        <v>22</v>
      </c>
      <c r="R76">
        <f>SUM(R35:R74)</f>
        <v>170</v>
      </c>
    </row>
    <row r="77" spans="2:19" x14ac:dyDescent="0.2">
      <c r="B77" s="18"/>
      <c r="C77" s="18"/>
      <c r="D77" s="18"/>
      <c r="E77" s="27"/>
      <c r="F77" s="18"/>
      <c r="G77" s="31"/>
      <c r="J77">
        <f>SUM(J22:J74)</f>
        <v>6</v>
      </c>
      <c r="O77" s="1"/>
      <c r="P77" t="s">
        <v>172</v>
      </c>
      <c r="Q77">
        <f>SUM(Q22:Q74)-Q78</f>
        <v>10</v>
      </c>
      <c r="R77">
        <f>MAX(R22:R74)</f>
        <v>80</v>
      </c>
    </row>
    <row r="78" spans="2:19" x14ac:dyDescent="0.2">
      <c r="O78" s="1"/>
      <c r="P78" t="s">
        <v>173</v>
      </c>
      <c r="Q78" s="1">
        <f>Q68+Q64+Q63+Q62+Q59+Q56+Q55+Q52+Q48+Q47+Q42+Q37+Q32+Q25+Q24+Q23+Q22</f>
        <v>12</v>
      </c>
      <c r="R78">
        <f>R76-R77</f>
        <v>90</v>
      </c>
    </row>
  </sheetData>
  <mergeCells count="7">
    <mergeCell ref="I20:K20"/>
    <mergeCell ref="L20:N20"/>
    <mergeCell ref="N3:R3"/>
    <mergeCell ref="B11:B13"/>
    <mergeCell ref="I12:J12"/>
    <mergeCell ref="B14:B17"/>
    <mergeCell ref="I19:N19"/>
  </mergeCells>
  <conditionalFormatting sqref="B22">
    <cfRule type="expression" dxfId="54" priority="2">
      <formula>$S22&gt;0</formula>
    </cfRule>
  </conditionalFormatting>
  <conditionalFormatting sqref="B23">
    <cfRule type="expression" dxfId="53" priority="3">
      <formula>$S23&gt;0</formula>
    </cfRule>
  </conditionalFormatting>
  <conditionalFormatting sqref="B24">
    <cfRule type="expression" dxfId="52" priority="4">
      <formula>$S24&gt;0</formula>
    </cfRule>
  </conditionalFormatting>
  <conditionalFormatting sqref="B25">
    <cfRule type="expression" dxfId="51" priority="5">
      <formula>$S25&gt;0</formula>
    </cfRule>
  </conditionalFormatting>
  <conditionalFormatting sqref="B26">
    <cfRule type="expression" dxfId="50" priority="6">
      <formula>$S26&gt;0</formula>
    </cfRule>
  </conditionalFormatting>
  <conditionalFormatting sqref="B27">
    <cfRule type="expression" dxfId="49" priority="7">
      <formula>$S27&gt;0</formula>
    </cfRule>
  </conditionalFormatting>
  <conditionalFormatting sqref="B28">
    <cfRule type="expression" dxfId="48" priority="8">
      <formula>$S28&gt;0</formula>
    </cfRule>
  </conditionalFormatting>
  <conditionalFormatting sqref="B29">
    <cfRule type="expression" dxfId="47" priority="9">
      <formula>$S29&gt;0</formula>
    </cfRule>
  </conditionalFormatting>
  <conditionalFormatting sqref="B30">
    <cfRule type="expression" dxfId="46" priority="10">
      <formula>$S30&gt;0</formula>
    </cfRule>
  </conditionalFormatting>
  <conditionalFormatting sqref="B31">
    <cfRule type="expression" dxfId="45" priority="11">
      <formula>$S31&gt;0</formula>
    </cfRule>
  </conditionalFormatting>
  <conditionalFormatting sqref="B32">
    <cfRule type="expression" dxfId="44" priority="12">
      <formula>$S32&gt;0</formula>
    </cfRule>
  </conditionalFormatting>
  <conditionalFormatting sqref="B33">
    <cfRule type="expression" dxfId="43" priority="13">
      <formula>$S33&gt;0</formula>
    </cfRule>
  </conditionalFormatting>
  <conditionalFormatting sqref="B34">
    <cfRule type="expression" dxfId="42" priority="14">
      <formula>$S34&gt;0</formula>
    </cfRule>
  </conditionalFormatting>
  <conditionalFormatting sqref="B35">
    <cfRule type="expression" dxfId="41" priority="15">
      <formula>$S35&gt;0</formula>
    </cfRule>
  </conditionalFormatting>
  <conditionalFormatting sqref="B36">
    <cfRule type="expression" dxfId="40" priority="16">
      <formula>$S36&gt;0</formula>
    </cfRule>
  </conditionalFormatting>
  <conditionalFormatting sqref="B37">
    <cfRule type="expression" dxfId="39" priority="17">
      <formula>$S37&gt;0</formula>
    </cfRule>
  </conditionalFormatting>
  <conditionalFormatting sqref="B38">
    <cfRule type="expression" dxfId="38" priority="18">
      <formula>$S38&gt;0</formula>
    </cfRule>
  </conditionalFormatting>
  <conditionalFormatting sqref="B39">
    <cfRule type="expression" dxfId="37" priority="19">
      <formula>$S39&gt;0</formula>
    </cfRule>
  </conditionalFormatting>
  <conditionalFormatting sqref="B40">
    <cfRule type="expression" dxfId="36" priority="20">
      <formula>$S40&gt;0</formula>
    </cfRule>
  </conditionalFormatting>
  <conditionalFormatting sqref="B41">
    <cfRule type="expression" dxfId="35" priority="21">
      <formula>$S41&gt;0</formula>
    </cfRule>
  </conditionalFormatting>
  <conditionalFormatting sqref="B42">
    <cfRule type="expression" dxfId="34" priority="22">
      <formula>$S42&gt;0</formula>
    </cfRule>
  </conditionalFormatting>
  <conditionalFormatting sqref="B43">
    <cfRule type="expression" dxfId="33" priority="23">
      <formula>$S43&gt;0</formula>
    </cfRule>
  </conditionalFormatting>
  <conditionalFormatting sqref="B44">
    <cfRule type="expression" dxfId="32" priority="24">
      <formula>$S44&gt;0</formula>
    </cfRule>
  </conditionalFormatting>
  <conditionalFormatting sqref="B45">
    <cfRule type="expression" dxfId="31" priority="25">
      <formula>$S45&gt;0</formula>
    </cfRule>
  </conditionalFormatting>
  <conditionalFormatting sqref="B46">
    <cfRule type="expression" dxfId="30" priority="26">
      <formula>$S46&gt;0</formula>
    </cfRule>
  </conditionalFormatting>
  <conditionalFormatting sqref="B47">
    <cfRule type="expression" dxfId="29" priority="27">
      <formula>$S47&gt;0</formula>
    </cfRule>
  </conditionalFormatting>
  <conditionalFormatting sqref="B48">
    <cfRule type="expression" dxfId="28" priority="28">
      <formula>$S48&gt;0</formula>
    </cfRule>
  </conditionalFormatting>
  <conditionalFormatting sqref="B49">
    <cfRule type="expression" dxfId="27" priority="29">
      <formula>$S49&gt;0</formula>
    </cfRule>
  </conditionalFormatting>
  <conditionalFormatting sqref="B50">
    <cfRule type="expression" dxfId="26" priority="30">
      <formula>$S50&gt;0</formula>
    </cfRule>
  </conditionalFormatting>
  <conditionalFormatting sqref="B51">
    <cfRule type="expression" dxfId="25" priority="31">
      <formula>$S51&gt;0</formula>
    </cfRule>
  </conditionalFormatting>
  <conditionalFormatting sqref="B52">
    <cfRule type="expression" dxfId="24" priority="32">
      <formula>$S52&gt;0</formula>
    </cfRule>
  </conditionalFormatting>
  <conditionalFormatting sqref="B53">
    <cfRule type="expression" dxfId="23" priority="33">
      <formula>$S53&gt;0</formula>
    </cfRule>
  </conditionalFormatting>
  <conditionalFormatting sqref="B54">
    <cfRule type="expression" dxfId="22" priority="34">
      <formula>$S54&gt;0</formula>
    </cfRule>
  </conditionalFormatting>
  <conditionalFormatting sqref="B55">
    <cfRule type="expression" dxfId="21" priority="35">
      <formula>$S55&gt;0</formula>
    </cfRule>
  </conditionalFormatting>
  <conditionalFormatting sqref="B56">
    <cfRule type="expression" dxfId="20" priority="36">
      <formula>$S56&gt;0</formula>
    </cfRule>
  </conditionalFormatting>
  <conditionalFormatting sqref="B57">
    <cfRule type="expression" dxfId="19" priority="37">
      <formula>$S57&gt;0</formula>
    </cfRule>
  </conditionalFormatting>
  <conditionalFormatting sqref="B58">
    <cfRule type="expression" dxfId="18" priority="38">
      <formula>$S58&gt;0</formula>
    </cfRule>
  </conditionalFormatting>
  <conditionalFormatting sqref="B59">
    <cfRule type="expression" dxfId="17" priority="39">
      <formula>$S59&gt;0</formula>
    </cfRule>
  </conditionalFormatting>
  <conditionalFormatting sqref="B60">
    <cfRule type="expression" dxfId="16" priority="40">
      <formula>$S60&gt;0</formula>
    </cfRule>
  </conditionalFormatting>
  <conditionalFormatting sqref="B61">
    <cfRule type="expression" dxfId="15" priority="41">
      <formula>$S61&gt;0</formula>
    </cfRule>
  </conditionalFormatting>
  <conditionalFormatting sqref="B62">
    <cfRule type="expression" dxfId="14" priority="42">
      <formula>$S62&gt;0</formula>
    </cfRule>
  </conditionalFormatting>
  <conditionalFormatting sqref="B63">
    <cfRule type="expression" dxfId="13" priority="43">
      <formula>$S63&gt;0</formula>
    </cfRule>
  </conditionalFormatting>
  <conditionalFormatting sqref="B64">
    <cfRule type="expression" dxfId="12" priority="44">
      <formula>$S64&gt;0</formula>
    </cfRule>
  </conditionalFormatting>
  <conditionalFormatting sqref="B65">
    <cfRule type="expression" dxfId="11" priority="45">
      <formula>$S65&gt;0</formula>
    </cfRule>
  </conditionalFormatting>
  <conditionalFormatting sqref="B66">
    <cfRule type="expression" dxfId="10" priority="46">
      <formula>$S66&gt;0</formula>
    </cfRule>
  </conditionalFormatting>
  <conditionalFormatting sqref="B67">
    <cfRule type="expression" dxfId="9" priority="47">
      <formula>$S67&gt;0</formula>
    </cfRule>
  </conditionalFormatting>
  <conditionalFormatting sqref="B68">
    <cfRule type="expression" dxfId="8" priority="48">
      <formula>$S68&gt;0</formula>
    </cfRule>
  </conditionalFormatting>
  <conditionalFormatting sqref="B69">
    <cfRule type="expression" dxfId="7" priority="49">
      <formula>$S69&gt;0</formula>
    </cfRule>
  </conditionalFormatting>
  <conditionalFormatting sqref="B70">
    <cfRule type="expression" dxfId="6" priority="50">
      <formula>$S70&gt;0</formula>
    </cfRule>
  </conditionalFormatting>
  <conditionalFormatting sqref="B71">
    <cfRule type="expression" dxfId="5" priority="51">
      <formula>$S71&gt;0</formula>
    </cfRule>
  </conditionalFormatting>
  <conditionalFormatting sqref="B72">
    <cfRule type="expression" dxfId="4" priority="52">
      <formula>$S72&gt;0</formula>
    </cfRule>
  </conditionalFormatting>
  <conditionalFormatting sqref="B73">
    <cfRule type="expression" dxfId="3" priority="53">
      <formula>$S73&gt;0</formula>
    </cfRule>
  </conditionalFormatting>
  <conditionalFormatting sqref="B74">
    <cfRule type="expression" dxfId="2" priority="54">
      <formula>$S74&gt;0</formula>
    </cfRule>
  </conditionalFormatting>
  <conditionalFormatting sqref="H22:M22 H24:M74 H23:I23 K23:M23">
    <cfRule type="cellIs" dxfId="1" priority="55" operator="greaterThan">
      <formula>0</formula>
    </cfRule>
  </conditionalFormatting>
  <conditionalFormatting sqref="J23">
    <cfRule type="cellIs" dxfId="0" priority="56" operator="greaterThan">
      <formula>0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I11"/>
  <sheetViews>
    <sheetView zoomScale="65" zoomScaleNormal="65" workbookViewId="0">
      <selection activeCell="E13" sqref="E13"/>
    </sheetView>
  </sheetViews>
  <sheetFormatPr baseColWidth="10" defaultColWidth="9.140625" defaultRowHeight="12.75" x14ac:dyDescent="0.2"/>
  <cols>
    <col min="1" max="1025" width="10.7109375" customWidth="1"/>
  </cols>
  <sheetData>
    <row r="2" spans="1:35" x14ac:dyDescent="0.2">
      <c r="A2" s="1"/>
      <c r="B2" s="1"/>
      <c r="C2" s="4" t="s">
        <v>174</v>
      </c>
      <c r="D2" s="4" t="s">
        <v>175</v>
      </c>
      <c r="E2" s="4" t="s">
        <v>176</v>
      </c>
      <c r="F2" s="4" t="s">
        <v>177</v>
      </c>
      <c r="G2" s="4" t="s">
        <v>178</v>
      </c>
      <c r="H2" s="4" t="s">
        <v>179</v>
      </c>
      <c r="I2" s="4" t="s">
        <v>180</v>
      </c>
      <c r="J2" s="4" t="s">
        <v>181</v>
      </c>
      <c r="K2" s="4" t="s">
        <v>182</v>
      </c>
      <c r="L2" s="4" t="s">
        <v>183</v>
      </c>
      <c r="M2" s="4" t="s">
        <v>184</v>
      </c>
      <c r="N2" s="4" t="s">
        <v>185</v>
      </c>
      <c r="O2" s="4" t="s">
        <v>186</v>
      </c>
      <c r="P2" s="4" t="s">
        <v>187</v>
      </c>
      <c r="Q2" s="4" t="s">
        <v>188</v>
      </c>
      <c r="R2" s="4" t="s">
        <v>189</v>
      </c>
      <c r="S2" s="4" t="s">
        <v>190</v>
      </c>
      <c r="T2" s="4" t="s">
        <v>191</v>
      </c>
      <c r="U2" s="4" t="s">
        <v>192</v>
      </c>
      <c r="V2" s="4" t="s">
        <v>193</v>
      </c>
      <c r="W2" s="4" t="s">
        <v>194</v>
      </c>
      <c r="X2" s="4" t="s">
        <v>195</v>
      </c>
      <c r="Y2" s="4" t="s">
        <v>196</v>
      </c>
      <c r="Z2" s="4" t="s">
        <v>197</v>
      </c>
      <c r="AA2" s="4" t="s">
        <v>198</v>
      </c>
      <c r="AB2" s="4" t="s">
        <v>199</v>
      </c>
      <c r="AC2" s="4" t="s">
        <v>200</v>
      </c>
      <c r="AD2" s="4" t="s">
        <v>201</v>
      </c>
      <c r="AE2" s="4" t="s">
        <v>202</v>
      </c>
      <c r="AF2" s="4" t="s">
        <v>203</v>
      </c>
      <c r="AG2" s="4" t="s">
        <v>204</v>
      </c>
      <c r="AH2" s="4" t="s">
        <v>205</v>
      </c>
      <c r="AI2" s="4" t="s">
        <v>206</v>
      </c>
    </row>
    <row r="3" spans="1:35" x14ac:dyDescent="0.2">
      <c r="C3" s="1">
        <f>'cost calculation'!K13</f>
        <v>193</v>
      </c>
      <c r="D3" s="1">
        <f t="shared" ref="D3:AI3" si="0">C3+15</f>
        <v>208</v>
      </c>
      <c r="E3" s="1">
        <f t="shared" si="0"/>
        <v>223</v>
      </c>
      <c r="F3" s="1">
        <f t="shared" si="0"/>
        <v>238</v>
      </c>
      <c r="G3" s="1">
        <f t="shared" si="0"/>
        <v>253</v>
      </c>
      <c r="H3" s="1">
        <f t="shared" si="0"/>
        <v>268</v>
      </c>
      <c r="I3" s="1">
        <f t="shared" si="0"/>
        <v>283</v>
      </c>
      <c r="J3" s="1">
        <f t="shared" si="0"/>
        <v>298</v>
      </c>
      <c r="K3" s="1">
        <f t="shared" si="0"/>
        <v>313</v>
      </c>
      <c r="L3" s="1">
        <f t="shared" si="0"/>
        <v>328</v>
      </c>
      <c r="M3" s="1">
        <f t="shared" si="0"/>
        <v>343</v>
      </c>
      <c r="N3" s="1">
        <f t="shared" si="0"/>
        <v>358</v>
      </c>
      <c r="O3" s="1">
        <f t="shared" si="0"/>
        <v>373</v>
      </c>
      <c r="P3" s="1">
        <f t="shared" si="0"/>
        <v>388</v>
      </c>
      <c r="Q3" s="1">
        <f t="shared" si="0"/>
        <v>403</v>
      </c>
      <c r="R3" s="1">
        <f t="shared" si="0"/>
        <v>418</v>
      </c>
      <c r="S3" s="1">
        <f t="shared" si="0"/>
        <v>433</v>
      </c>
      <c r="T3" s="1">
        <f t="shared" si="0"/>
        <v>448</v>
      </c>
      <c r="U3" s="1">
        <f t="shared" si="0"/>
        <v>463</v>
      </c>
      <c r="V3" s="1">
        <f t="shared" si="0"/>
        <v>478</v>
      </c>
      <c r="W3" s="1">
        <f t="shared" si="0"/>
        <v>493</v>
      </c>
      <c r="X3" s="1">
        <f t="shared" si="0"/>
        <v>508</v>
      </c>
      <c r="Y3" s="1">
        <f t="shared" si="0"/>
        <v>523</v>
      </c>
      <c r="Z3" s="1">
        <f t="shared" si="0"/>
        <v>538</v>
      </c>
      <c r="AA3" s="1">
        <f t="shared" si="0"/>
        <v>553</v>
      </c>
      <c r="AB3" s="1">
        <f t="shared" si="0"/>
        <v>568</v>
      </c>
      <c r="AC3" s="1">
        <f t="shared" si="0"/>
        <v>583</v>
      </c>
      <c r="AD3" s="1">
        <f t="shared" si="0"/>
        <v>598</v>
      </c>
      <c r="AE3" s="1">
        <f t="shared" si="0"/>
        <v>613</v>
      </c>
      <c r="AF3" s="1">
        <f t="shared" si="0"/>
        <v>628</v>
      </c>
      <c r="AG3" s="1">
        <f t="shared" si="0"/>
        <v>643</v>
      </c>
      <c r="AH3" s="1">
        <f t="shared" si="0"/>
        <v>658</v>
      </c>
      <c r="AI3" s="1">
        <f t="shared" si="0"/>
        <v>673</v>
      </c>
    </row>
    <row r="4" spans="1:35" ht="15" x14ac:dyDescent="0.2">
      <c r="A4" s="1"/>
      <c r="B4" s="1"/>
      <c r="C4" s="32">
        <f t="shared" ref="C4:AI4" si="1">IF(B10&lt;C3,$A10,IF(B9&lt;C3,$A9,IF(B8&lt;C3,$A8,IF(B7&lt;C3,$A7,IF(B6&lt;C3,$A6,1)))))</f>
        <v>6</v>
      </c>
      <c r="D4" s="32">
        <f t="shared" si="1"/>
        <v>5</v>
      </c>
      <c r="E4" s="32">
        <f t="shared" si="1"/>
        <v>5</v>
      </c>
      <c r="F4" s="32">
        <f t="shared" si="1"/>
        <v>5</v>
      </c>
      <c r="G4" s="32">
        <f t="shared" si="1"/>
        <v>5</v>
      </c>
      <c r="H4" s="32">
        <f t="shared" si="1"/>
        <v>4</v>
      </c>
      <c r="I4" s="32">
        <f t="shared" si="1"/>
        <v>4</v>
      </c>
      <c r="J4" s="32">
        <f t="shared" si="1"/>
        <v>4</v>
      </c>
      <c r="K4" s="32">
        <f t="shared" si="1"/>
        <v>4</v>
      </c>
      <c r="L4" s="32">
        <f t="shared" si="1"/>
        <v>4</v>
      </c>
      <c r="M4" s="32">
        <f t="shared" si="1"/>
        <v>3</v>
      </c>
      <c r="N4" s="32">
        <f t="shared" si="1"/>
        <v>3</v>
      </c>
      <c r="O4" s="32">
        <f t="shared" si="1"/>
        <v>3</v>
      </c>
      <c r="P4" s="32">
        <f t="shared" si="1"/>
        <v>3</v>
      </c>
      <c r="Q4" s="32">
        <f t="shared" si="1"/>
        <v>3</v>
      </c>
      <c r="R4" s="32">
        <f t="shared" si="1"/>
        <v>3</v>
      </c>
      <c r="S4" s="32">
        <f t="shared" si="1"/>
        <v>3</v>
      </c>
      <c r="T4" s="32">
        <f t="shared" si="1"/>
        <v>3</v>
      </c>
      <c r="U4" s="32">
        <f t="shared" si="1"/>
        <v>3</v>
      </c>
      <c r="V4" s="32">
        <f t="shared" si="1"/>
        <v>3</v>
      </c>
      <c r="W4" s="32">
        <f t="shared" si="1"/>
        <v>3</v>
      </c>
      <c r="X4" s="32">
        <f t="shared" si="1"/>
        <v>3</v>
      </c>
      <c r="Y4" s="32">
        <f t="shared" si="1"/>
        <v>3</v>
      </c>
      <c r="Z4" s="32">
        <f t="shared" si="1"/>
        <v>3</v>
      </c>
      <c r="AA4" s="32">
        <f t="shared" si="1"/>
        <v>3</v>
      </c>
      <c r="AB4" s="32">
        <f t="shared" si="1"/>
        <v>3</v>
      </c>
      <c r="AC4" s="32">
        <f t="shared" si="1"/>
        <v>3</v>
      </c>
      <c r="AD4" s="32">
        <f t="shared" si="1"/>
        <v>3</v>
      </c>
      <c r="AE4" s="32">
        <f t="shared" si="1"/>
        <v>3</v>
      </c>
      <c r="AF4" s="32">
        <f t="shared" si="1"/>
        <v>3</v>
      </c>
      <c r="AG4" s="32">
        <f t="shared" si="1"/>
        <v>3</v>
      </c>
      <c r="AH4" s="32">
        <f t="shared" si="1"/>
        <v>3</v>
      </c>
      <c r="AI4" s="32">
        <f t="shared" si="1"/>
        <v>3</v>
      </c>
    </row>
    <row r="5" spans="1:35" x14ac:dyDescent="0.2">
      <c r="A5" s="1">
        <v>1</v>
      </c>
      <c r="B5" s="1">
        <f>'cost calculation'!J6</f>
        <v>35</v>
      </c>
      <c r="C5" s="1">
        <f t="shared" ref="C5:AI5" si="2">B5+3*C4</f>
        <v>53</v>
      </c>
      <c r="D5" s="1">
        <f t="shared" si="2"/>
        <v>68</v>
      </c>
      <c r="E5" s="1">
        <f t="shared" si="2"/>
        <v>83</v>
      </c>
      <c r="F5" s="1">
        <f t="shared" si="2"/>
        <v>98</v>
      </c>
      <c r="G5" s="1">
        <f t="shared" si="2"/>
        <v>113</v>
      </c>
      <c r="H5" s="1">
        <f t="shared" si="2"/>
        <v>125</v>
      </c>
      <c r="I5" s="1">
        <f t="shared" si="2"/>
        <v>137</v>
      </c>
      <c r="J5" s="1">
        <f t="shared" si="2"/>
        <v>149</v>
      </c>
      <c r="K5" s="1">
        <f t="shared" si="2"/>
        <v>161</v>
      </c>
      <c r="L5" s="1">
        <f t="shared" si="2"/>
        <v>173</v>
      </c>
      <c r="M5" s="1">
        <f t="shared" si="2"/>
        <v>182</v>
      </c>
      <c r="N5" s="1">
        <f t="shared" si="2"/>
        <v>191</v>
      </c>
      <c r="O5" s="1">
        <f t="shared" si="2"/>
        <v>200</v>
      </c>
      <c r="P5" s="1">
        <f t="shared" si="2"/>
        <v>209</v>
      </c>
      <c r="Q5" s="1">
        <f t="shared" si="2"/>
        <v>218</v>
      </c>
      <c r="R5" s="1">
        <f t="shared" si="2"/>
        <v>227</v>
      </c>
      <c r="S5" s="1">
        <f t="shared" si="2"/>
        <v>236</v>
      </c>
      <c r="T5" s="1">
        <f t="shared" si="2"/>
        <v>245</v>
      </c>
      <c r="U5" s="1">
        <f t="shared" si="2"/>
        <v>254</v>
      </c>
      <c r="V5" s="1">
        <f t="shared" si="2"/>
        <v>263</v>
      </c>
      <c r="W5" s="1">
        <f t="shared" si="2"/>
        <v>272</v>
      </c>
      <c r="X5" s="1">
        <f t="shared" si="2"/>
        <v>281</v>
      </c>
      <c r="Y5" s="1">
        <f t="shared" si="2"/>
        <v>290</v>
      </c>
      <c r="Z5" s="1">
        <f t="shared" si="2"/>
        <v>299</v>
      </c>
      <c r="AA5" s="1">
        <f t="shared" si="2"/>
        <v>308</v>
      </c>
      <c r="AB5" s="1">
        <f t="shared" si="2"/>
        <v>317</v>
      </c>
      <c r="AC5" s="1">
        <f t="shared" si="2"/>
        <v>326</v>
      </c>
      <c r="AD5" s="1">
        <f t="shared" si="2"/>
        <v>335</v>
      </c>
      <c r="AE5" s="1">
        <f t="shared" si="2"/>
        <v>344</v>
      </c>
      <c r="AF5" s="1">
        <f t="shared" si="2"/>
        <v>353</v>
      </c>
      <c r="AG5" s="1">
        <f t="shared" si="2"/>
        <v>362</v>
      </c>
      <c r="AH5" s="1">
        <f t="shared" si="2"/>
        <v>371</v>
      </c>
      <c r="AI5" s="1">
        <f t="shared" si="2"/>
        <v>380</v>
      </c>
    </row>
    <row r="6" spans="1:35" x14ac:dyDescent="0.2">
      <c r="A6" s="1">
        <v>2</v>
      </c>
      <c r="B6" s="1">
        <f t="shared" ref="B6:AI6" si="3">B$5+B$5*50%</f>
        <v>52.5</v>
      </c>
      <c r="C6" s="1">
        <f t="shared" si="3"/>
        <v>79.5</v>
      </c>
      <c r="D6" s="1">
        <f t="shared" si="3"/>
        <v>102</v>
      </c>
      <c r="E6" s="1">
        <f t="shared" si="3"/>
        <v>124.5</v>
      </c>
      <c r="F6" s="1">
        <f t="shared" si="3"/>
        <v>147</v>
      </c>
      <c r="G6" s="1">
        <f t="shared" si="3"/>
        <v>169.5</v>
      </c>
      <c r="H6" s="1">
        <f t="shared" si="3"/>
        <v>187.5</v>
      </c>
      <c r="I6" s="1">
        <f t="shared" si="3"/>
        <v>205.5</v>
      </c>
      <c r="J6" s="1">
        <f t="shared" si="3"/>
        <v>223.5</v>
      </c>
      <c r="K6" s="1">
        <f t="shared" si="3"/>
        <v>241.5</v>
      </c>
      <c r="L6" s="1">
        <f t="shared" si="3"/>
        <v>259.5</v>
      </c>
      <c r="M6" s="1">
        <f t="shared" si="3"/>
        <v>273</v>
      </c>
      <c r="N6" s="1">
        <f t="shared" si="3"/>
        <v>286.5</v>
      </c>
      <c r="O6" s="1">
        <f t="shared" si="3"/>
        <v>300</v>
      </c>
      <c r="P6" s="1">
        <f t="shared" si="3"/>
        <v>313.5</v>
      </c>
      <c r="Q6" s="1">
        <f t="shared" si="3"/>
        <v>327</v>
      </c>
      <c r="R6" s="1">
        <f t="shared" si="3"/>
        <v>340.5</v>
      </c>
      <c r="S6" s="1">
        <f t="shared" si="3"/>
        <v>354</v>
      </c>
      <c r="T6" s="1">
        <f t="shared" si="3"/>
        <v>367.5</v>
      </c>
      <c r="U6" s="1">
        <f t="shared" si="3"/>
        <v>381</v>
      </c>
      <c r="V6" s="1">
        <f t="shared" si="3"/>
        <v>394.5</v>
      </c>
      <c r="W6" s="1">
        <f t="shared" si="3"/>
        <v>408</v>
      </c>
      <c r="X6" s="1">
        <f t="shared" si="3"/>
        <v>421.5</v>
      </c>
      <c r="Y6" s="1">
        <f t="shared" si="3"/>
        <v>435</v>
      </c>
      <c r="Z6" s="1">
        <f t="shared" si="3"/>
        <v>448.5</v>
      </c>
      <c r="AA6" s="1">
        <f t="shared" si="3"/>
        <v>462</v>
      </c>
      <c r="AB6" s="1">
        <f t="shared" si="3"/>
        <v>475.5</v>
      </c>
      <c r="AC6" s="1">
        <f t="shared" si="3"/>
        <v>489</v>
      </c>
      <c r="AD6" s="1">
        <f t="shared" si="3"/>
        <v>502.5</v>
      </c>
      <c r="AE6" s="1">
        <f t="shared" si="3"/>
        <v>516</v>
      </c>
      <c r="AF6" s="1">
        <f t="shared" si="3"/>
        <v>529.5</v>
      </c>
      <c r="AG6" s="1">
        <f t="shared" si="3"/>
        <v>543</v>
      </c>
      <c r="AH6" s="1">
        <f t="shared" si="3"/>
        <v>556.5</v>
      </c>
      <c r="AI6" s="1">
        <f t="shared" si="3"/>
        <v>570</v>
      </c>
    </row>
    <row r="7" spans="1:35" x14ac:dyDescent="0.2">
      <c r="A7" s="1">
        <v>3</v>
      </c>
      <c r="B7" s="1">
        <f t="shared" ref="B7:AI7" si="4">B$5+B$5*75%</f>
        <v>61.25</v>
      </c>
      <c r="C7" s="1">
        <f t="shared" si="4"/>
        <v>92.75</v>
      </c>
      <c r="D7" s="1">
        <f t="shared" si="4"/>
        <v>119</v>
      </c>
      <c r="E7" s="1">
        <f t="shared" si="4"/>
        <v>145.25</v>
      </c>
      <c r="F7" s="1">
        <f t="shared" si="4"/>
        <v>171.5</v>
      </c>
      <c r="G7" s="1">
        <f t="shared" si="4"/>
        <v>197.75</v>
      </c>
      <c r="H7" s="1">
        <f t="shared" si="4"/>
        <v>218.75</v>
      </c>
      <c r="I7" s="1">
        <f t="shared" si="4"/>
        <v>239.75</v>
      </c>
      <c r="J7" s="1">
        <f t="shared" si="4"/>
        <v>260.75</v>
      </c>
      <c r="K7" s="1">
        <f t="shared" si="4"/>
        <v>281.75</v>
      </c>
      <c r="L7" s="1">
        <f t="shared" si="4"/>
        <v>302.75</v>
      </c>
      <c r="M7" s="1">
        <f t="shared" si="4"/>
        <v>318.5</v>
      </c>
      <c r="N7" s="1">
        <f t="shared" si="4"/>
        <v>334.25</v>
      </c>
      <c r="O7" s="1">
        <f t="shared" si="4"/>
        <v>350</v>
      </c>
      <c r="P7" s="1">
        <f t="shared" si="4"/>
        <v>365.75</v>
      </c>
      <c r="Q7" s="1">
        <f t="shared" si="4"/>
        <v>381.5</v>
      </c>
      <c r="R7" s="1">
        <f t="shared" si="4"/>
        <v>397.25</v>
      </c>
      <c r="S7" s="1">
        <f t="shared" si="4"/>
        <v>413</v>
      </c>
      <c r="T7" s="1">
        <f t="shared" si="4"/>
        <v>428.75</v>
      </c>
      <c r="U7" s="1">
        <f t="shared" si="4"/>
        <v>444.5</v>
      </c>
      <c r="V7" s="1">
        <f t="shared" si="4"/>
        <v>460.25</v>
      </c>
      <c r="W7" s="1">
        <f t="shared" si="4"/>
        <v>476</v>
      </c>
      <c r="X7" s="1">
        <f t="shared" si="4"/>
        <v>491.75</v>
      </c>
      <c r="Y7" s="1">
        <f t="shared" si="4"/>
        <v>507.5</v>
      </c>
      <c r="Z7" s="1">
        <f t="shared" si="4"/>
        <v>523.25</v>
      </c>
      <c r="AA7" s="1">
        <f t="shared" si="4"/>
        <v>539</v>
      </c>
      <c r="AB7" s="1">
        <f t="shared" si="4"/>
        <v>554.75</v>
      </c>
      <c r="AC7" s="1">
        <f t="shared" si="4"/>
        <v>570.5</v>
      </c>
      <c r="AD7" s="1">
        <f t="shared" si="4"/>
        <v>586.25</v>
      </c>
      <c r="AE7" s="1">
        <f t="shared" si="4"/>
        <v>602</v>
      </c>
      <c r="AF7" s="1">
        <f t="shared" si="4"/>
        <v>617.75</v>
      </c>
      <c r="AG7" s="1">
        <f t="shared" si="4"/>
        <v>633.5</v>
      </c>
      <c r="AH7" s="1">
        <f t="shared" si="4"/>
        <v>649.25</v>
      </c>
      <c r="AI7" s="1">
        <f t="shared" si="4"/>
        <v>665</v>
      </c>
    </row>
    <row r="8" spans="1:35" x14ac:dyDescent="0.2">
      <c r="A8" s="1">
        <v>4</v>
      </c>
      <c r="B8" s="1">
        <f t="shared" ref="B8:AI8" si="5">B$5+B$5*100%</f>
        <v>70</v>
      </c>
      <c r="C8" s="1">
        <f t="shared" si="5"/>
        <v>106</v>
      </c>
      <c r="D8" s="1">
        <f t="shared" si="5"/>
        <v>136</v>
      </c>
      <c r="E8" s="1">
        <f t="shared" si="5"/>
        <v>166</v>
      </c>
      <c r="F8" s="1">
        <f t="shared" si="5"/>
        <v>196</v>
      </c>
      <c r="G8" s="1">
        <f t="shared" si="5"/>
        <v>226</v>
      </c>
      <c r="H8" s="1">
        <f t="shared" si="5"/>
        <v>250</v>
      </c>
      <c r="I8" s="1">
        <f t="shared" si="5"/>
        <v>274</v>
      </c>
      <c r="J8" s="1">
        <f t="shared" si="5"/>
        <v>298</v>
      </c>
      <c r="K8" s="1">
        <f t="shared" si="5"/>
        <v>322</v>
      </c>
      <c r="L8" s="1">
        <f t="shared" si="5"/>
        <v>346</v>
      </c>
      <c r="M8" s="1">
        <f t="shared" si="5"/>
        <v>364</v>
      </c>
      <c r="N8" s="1">
        <f t="shared" si="5"/>
        <v>382</v>
      </c>
      <c r="O8" s="1">
        <f t="shared" si="5"/>
        <v>400</v>
      </c>
      <c r="P8" s="1">
        <f t="shared" si="5"/>
        <v>418</v>
      </c>
      <c r="Q8" s="1">
        <f t="shared" si="5"/>
        <v>436</v>
      </c>
      <c r="R8" s="1">
        <f t="shared" si="5"/>
        <v>454</v>
      </c>
      <c r="S8" s="1">
        <f t="shared" si="5"/>
        <v>472</v>
      </c>
      <c r="T8" s="1">
        <f t="shared" si="5"/>
        <v>490</v>
      </c>
      <c r="U8" s="1">
        <f t="shared" si="5"/>
        <v>508</v>
      </c>
      <c r="V8" s="1">
        <f t="shared" si="5"/>
        <v>526</v>
      </c>
      <c r="W8" s="1">
        <f t="shared" si="5"/>
        <v>544</v>
      </c>
      <c r="X8" s="1">
        <f t="shared" si="5"/>
        <v>562</v>
      </c>
      <c r="Y8" s="1">
        <f t="shared" si="5"/>
        <v>580</v>
      </c>
      <c r="Z8" s="1">
        <f t="shared" si="5"/>
        <v>598</v>
      </c>
      <c r="AA8" s="1">
        <f t="shared" si="5"/>
        <v>616</v>
      </c>
      <c r="AB8" s="1">
        <f t="shared" si="5"/>
        <v>634</v>
      </c>
      <c r="AC8" s="1">
        <f t="shared" si="5"/>
        <v>652</v>
      </c>
      <c r="AD8" s="1">
        <f t="shared" si="5"/>
        <v>670</v>
      </c>
      <c r="AE8" s="1">
        <f t="shared" si="5"/>
        <v>688</v>
      </c>
      <c r="AF8" s="1">
        <f t="shared" si="5"/>
        <v>706</v>
      </c>
      <c r="AG8" s="1">
        <f t="shared" si="5"/>
        <v>724</v>
      </c>
      <c r="AH8" s="1">
        <f t="shared" si="5"/>
        <v>742</v>
      </c>
      <c r="AI8" s="1">
        <f t="shared" si="5"/>
        <v>760</v>
      </c>
    </row>
    <row r="9" spans="1:35" x14ac:dyDescent="0.2">
      <c r="A9" s="1">
        <v>5</v>
      </c>
      <c r="B9" s="1">
        <f t="shared" ref="B9:AI9" si="6">B$5+B$5*150%</f>
        <v>87.5</v>
      </c>
      <c r="C9" s="1">
        <f t="shared" si="6"/>
        <v>132.5</v>
      </c>
      <c r="D9" s="1">
        <f t="shared" si="6"/>
        <v>170</v>
      </c>
      <c r="E9" s="1">
        <f t="shared" si="6"/>
        <v>207.5</v>
      </c>
      <c r="F9" s="1">
        <f t="shared" si="6"/>
        <v>245</v>
      </c>
      <c r="G9" s="1">
        <f t="shared" si="6"/>
        <v>282.5</v>
      </c>
      <c r="H9" s="1">
        <f t="shared" si="6"/>
        <v>312.5</v>
      </c>
      <c r="I9" s="1">
        <f t="shared" si="6"/>
        <v>342.5</v>
      </c>
      <c r="J9" s="1">
        <f t="shared" si="6"/>
        <v>372.5</v>
      </c>
      <c r="K9" s="1">
        <f t="shared" si="6"/>
        <v>402.5</v>
      </c>
      <c r="L9" s="1">
        <f t="shared" si="6"/>
        <v>432.5</v>
      </c>
      <c r="M9" s="1">
        <f t="shared" si="6"/>
        <v>455</v>
      </c>
      <c r="N9" s="1">
        <f t="shared" si="6"/>
        <v>477.5</v>
      </c>
      <c r="O9" s="1">
        <f t="shared" si="6"/>
        <v>500</v>
      </c>
      <c r="P9" s="1">
        <f t="shared" si="6"/>
        <v>522.5</v>
      </c>
      <c r="Q9" s="1">
        <f t="shared" si="6"/>
        <v>545</v>
      </c>
      <c r="R9" s="1">
        <f t="shared" si="6"/>
        <v>567.5</v>
      </c>
      <c r="S9" s="1">
        <f t="shared" si="6"/>
        <v>590</v>
      </c>
      <c r="T9" s="1">
        <f t="shared" si="6"/>
        <v>612.5</v>
      </c>
      <c r="U9" s="1">
        <f t="shared" si="6"/>
        <v>635</v>
      </c>
      <c r="V9" s="1">
        <f t="shared" si="6"/>
        <v>657.5</v>
      </c>
      <c r="W9" s="1">
        <f t="shared" si="6"/>
        <v>680</v>
      </c>
      <c r="X9" s="1">
        <f t="shared" si="6"/>
        <v>702.5</v>
      </c>
      <c r="Y9" s="1">
        <f t="shared" si="6"/>
        <v>725</v>
      </c>
      <c r="Z9" s="1">
        <f t="shared" si="6"/>
        <v>747.5</v>
      </c>
      <c r="AA9" s="1">
        <f t="shared" si="6"/>
        <v>770</v>
      </c>
      <c r="AB9" s="1">
        <f t="shared" si="6"/>
        <v>792.5</v>
      </c>
      <c r="AC9" s="1">
        <f t="shared" si="6"/>
        <v>815</v>
      </c>
      <c r="AD9" s="1">
        <f t="shared" si="6"/>
        <v>837.5</v>
      </c>
      <c r="AE9" s="1">
        <f t="shared" si="6"/>
        <v>860</v>
      </c>
      <c r="AF9" s="1">
        <f t="shared" si="6"/>
        <v>882.5</v>
      </c>
      <c r="AG9" s="1">
        <f t="shared" si="6"/>
        <v>905</v>
      </c>
      <c r="AH9" s="1">
        <f t="shared" si="6"/>
        <v>927.5</v>
      </c>
      <c r="AI9" s="1">
        <f t="shared" si="6"/>
        <v>950</v>
      </c>
    </row>
    <row r="10" spans="1:35" x14ac:dyDescent="0.2">
      <c r="A10" s="1">
        <v>6</v>
      </c>
      <c r="B10" s="1">
        <f t="shared" ref="B10:AI10" si="7">B$5+B$5*300%</f>
        <v>140</v>
      </c>
      <c r="C10" s="1">
        <f t="shared" si="7"/>
        <v>212</v>
      </c>
      <c r="D10" s="1">
        <f t="shared" si="7"/>
        <v>272</v>
      </c>
      <c r="E10" s="1">
        <f t="shared" si="7"/>
        <v>332</v>
      </c>
      <c r="F10" s="1">
        <f t="shared" si="7"/>
        <v>392</v>
      </c>
      <c r="G10" s="1">
        <f t="shared" si="7"/>
        <v>452</v>
      </c>
      <c r="H10" s="1">
        <f t="shared" si="7"/>
        <v>500</v>
      </c>
      <c r="I10" s="1">
        <f t="shared" si="7"/>
        <v>548</v>
      </c>
      <c r="J10" s="1">
        <f t="shared" si="7"/>
        <v>596</v>
      </c>
      <c r="K10" s="1">
        <f t="shared" si="7"/>
        <v>644</v>
      </c>
      <c r="L10" s="1">
        <f t="shared" si="7"/>
        <v>692</v>
      </c>
      <c r="M10" s="1">
        <f t="shared" si="7"/>
        <v>728</v>
      </c>
      <c r="N10" s="1">
        <f t="shared" si="7"/>
        <v>764</v>
      </c>
      <c r="O10" s="1">
        <f t="shared" si="7"/>
        <v>800</v>
      </c>
      <c r="P10" s="1">
        <f t="shared" si="7"/>
        <v>836</v>
      </c>
      <c r="Q10" s="1">
        <f t="shared" si="7"/>
        <v>872</v>
      </c>
      <c r="R10" s="1">
        <f t="shared" si="7"/>
        <v>908</v>
      </c>
      <c r="S10" s="1">
        <f t="shared" si="7"/>
        <v>944</v>
      </c>
      <c r="T10" s="1">
        <f t="shared" si="7"/>
        <v>980</v>
      </c>
      <c r="U10" s="1">
        <f t="shared" si="7"/>
        <v>1016</v>
      </c>
      <c r="V10" s="1">
        <f t="shared" si="7"/>
        <v>1052</v>
      </c>
      <c r="W10" s="1">
        <f t="shared" si="7"/>
        <v>1088</v>
      </c>
      <c r="X10" s="1">
        <f t="shared" si="7"/>
        <v>1124</v>
      </c>
      <c r="Y10" s="1">
        <f t="shared" si="7"/>
        <v>1160</v>
      </c>
      <c r="Z10" s="1">
        <f t="shared" si="7"/>
        <v>1196</v>
      </c>
      <c r="AA10" s="1">
        <f t="shared" si="7"/>
        <v>1232</v>
      </c>
      <c r="AB10" s="1">
        <f t="shared" si="7"/>
        <v>1268</v>
      </c>
      <c r="AC10" s="1">
        <f t="shared" si="7"/>
        <v>1304</v>
      </c>
      <c r="AD10" s="1">
        <f t="shared" si="7"/>
        <v>1340</v>
      </c>
      <c r="AE10" s="1">
        <f t="shared" si="7"/>
        <v>1376</v>
      </c>
      <c r="AF10" s="1">
        <f t="shared" si="7"/>
        <v>1412</v>
      </c>
      <c r="AG10" s="1">
        <f t="shared" si="7"/>
        <v>1448</v>
      </c>
      <c r="AH10" s="1">
        <f t="shared" si="7"/>
        <v>1484</v>
      </c>
      <c r="AI10" s="1">
        <f t="shared" si="7"/>
        <v>1520</v>
      </c>
    </row>
    <row r="11" spans="1:35" ht="15" x14ac:dyDescent="0.2">
      <c r="A11" s="1"/>
      <c r="B11" s="1"/>
      <c r="C11" s="32">
        <f>C4*'cost calculation'!E18</f>
        <v>18</v>
      </c>
      <c r="D11" s="32">
        <f>D4*'cost calculation'!E18</f>
        <v>15</v>
      </c>
      <c r="E11" s="32">
        <f>E4*'cost calculation'!E18</f>
        <v>15</v>
      </c>
      <c r="F11" s="32">
        <f>F4*'cost calculation'!E18</f>
        <v>15</v>
      </c>
      <c r="G11" s="32">
        <f>G4*'cost calculation'!E18</f>
        <v>15</v>
      </c>
      <c r="H11" s="32">
        <f>H4*'cost calculation'!$E18</f>
        <v>12</v>
      </c>
      <c r="I11" s="32">
        <f>I4*'cost calculation'!$E18</f>
        <v>12</v>
      </c>
      <c r="J11" s="32">
        <f>J4*'cost calculation'!$E18</f>
        <v>12</v>
      </c>
      <c r="K11" s="32">
        <f>K4*'cost calculation'!$E18</f>
        <v>12</v>
      </c>
      <c r="L11" s="32">
        <f>L4*'cost calculation'!$E18</f>
        <v>12</v>
      </c>
      <c r="M11" s="32">
        <f>M4*'cost calculation'!$E18</f>
        <v>9</v>
      </c>
      <c r="N11" s="32">
        <f>N4*'cost calculation'!$E18</f>
        <v>9</v>
      </c>
      <c r="O11" s="32">
        <f>O4*'cost calculation'!$E18</f>
        <v>9</v>
      </c>
      <c r="P11" s="32">
        <f>P4*'cost calculation'!$E18</f>
        <v>9</v>
      </c>
      <c r="Q11" s="32">
        <f>Q4*'cost calculation'!$E18</f>
        <v>9</v>
      </c>
      <c r="R11" s="32">
        <f>R4*'cost calculation'!$E18</f>
        <v>9</v>
      </c>
      <c r="S11" s="32">
        <f>S4*'cost calculation'!$E18</f>
        <v>9</v>
      </c>
      <c r="T11" s="32">
        <f>T4*'cost calculation'!$E18</f>
        <v>9</v>
      </c>
      <c r="U11" s="32">
        <f>U4*'cost calculation'!$E18</f>
        <v>9</v>
      </c>
      <c r="V11" s="32">
        <f>V4*'cost calculation'!$E18</f>
        <v>9</v>
      </c>
      <c r="W11" s="32">
        <f>W4*'cost calculation'!$E18</f>
        <v>9</v>
      </c>
      <c r="X11" s="32">
        <f>X4*'cost calculation'!$E18</f>
        <v>9</v>
      </c>
      <c r="Y11" s="32">
        <f>Y4*'cost calculation'!$E18</f>
        <v>9</v>
      </c>
      <c r="Z11" s="32">
        <f>Z4*'cost calculation'!$E18</f>
        <v>9</v>
      </c>
      <c r="AA11" s="32">
        <f>AA4*'cost calculation'!$E18</f>
        <v>9</v>
      </c>
      <c r="AB11" s="32">
        <f>AB4*'cost calculation'!$E18</f>
        <v>9</v>
      </c>
      <c r="AC11" s="32">
        <f>AC4*'cost calculation'!$E18</f>
        <v>9</v>
      </c>
      <c r="AD11" s="32">
        <f>AD4*'cost calculation'!$E18</f>
        <v>9</v>
      </c>
      <c r="AE11" s="32">
        <f>AE4*'cost calculation'!$E18</f>
        <v>9</v>
      </c>
      <c r="AF11" s="32">
        <f>AF4*'cost calculation'!$E18</f>
        <v>9</v>
      </c>
      <c r="AG11" s="32">
        <f>AG4*'cost calculation'!$E18</f>
        <v>9</v>
      </c>
      <c r="AH11" s="32">
        <f>AH4*'cost calculation'!$E18</f>
        <v>9</v>
      </c>
      <c r="AI11" s="32">
        <f>AI4*'cost calculation'!$E18</f>
        <v>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19"/>
  <sheetViews>
    <sheetView zoomScale="65" zoomScaleNormal="65" workbookViewId="0">
      <selection activeCell="C12" sqref="C12"/>
    </sheetView>
  </sheetViews>
  <sheetFormatPr baseColWidth="10" defaultColWidth="9.140625" defaultRowHeight="12.75" x14ac:dyDescent="0.2"/>
  <cols>
    <col min="1" max="1" width="11.5703125"/>
    <col min="2" max="2" width="8.140625" customWidth="1"/>
    <col min="3" max="3" width="22.140625" customWidth="1"/>
    <col min="4" max="4" width="5.140625" customWidth="1"/>
    <col min="5" max="5" width="7.85546875" customWidth="1"/>
    <col min="6" max="6" width="8.5703125" customWidth="1"/>
    <col min="7" max="7" width="10" customWidth="1"/>
    <col min="8" max="8" width="13.140625" customWidth="1"/>
    <col min="9" max="9" width="13.42578125" customWidth="1"/>
    <col min="10" max="10" width="9" customWidth="1"/>
    <col min="11" max="13" width="11.5703125"/>
    <col min="14" max="14" width="14.7109375" customWidth="1"/>
    <col min="15" max="15" width="2.5703125" customWidth="1"/>
    <col min="16" max="1025" width="11.5703125"/>
  </cols>
  <sheetData>
    <row r="2" spans="2:15" x14ac:dyDescent="0.2">
      <c r="B2" s="4" t="s">
        <v>207</v>
      </c>
      <c r="C2" s="4" t="s">
        <v>47</v>
      </c>
      <c r="D2" s="4" t="s">
        <v>53</v>
      </c>
      <c r="E2" s="4" t="s">
        <v>208</v>
      </c>
      <c r="F2" s="4" t="s">
        <v>209</v>
      </c>
      <c r="G2" s="4" t="s">
        <v>210</v>
      </c>
      <c r="H2" s="4" t="s">
        <v>211</v>
      </c>
      <c r="I2" s="4" t="s">
        <v>212</v>
      </c>
      <c r="J2" s="4" t="s">
        <v>213</v>
      </c>
      <c r="K2" s="4" t="s">
        <v>214</v>
      </c>
      <c r="L2" s="60" t="s">
        <v>215</v>
      </c>
      <c r="M2" s="60"/>
      <c r="N2" s="33" t="s">
        <v>216</v>
      </c>
    </row>
    <row r="3" spans="2:15" x14ac:dyDescent="0.2">
      <c r="B3">
        <v>0</v>
      </c>
      <c r="C3" t="s">
        <v>217</v>
      </c>
      <c r="D3">
        <v>90</v>
      </c>
      <c r="E3">
        <v>35</v>
      </c>
      <c r="F3">
        <v>40</v>
      </c>
      <c r="G3">
        <f t="shared" ref="G3:G18" si="0">D3*B3</f>
        <v>0</v>
      </c>
      <c r="H3">
        <f t="shared" ref="H3:H18" si="1">E3*B3</f>
        <v>0</v>
      </c>
      <c r="I3">
        <f t="shared" ref="I3:I18" si="2">F3*B3</f>
        <v>0</v>
      </c>
      <c r="J3" s="34">
        <f t="shared" ref="J3:J18" si="3">F3/D3</f>
        <v>0.44444444444444442</v>
      </c>
      <c r="K3" s="34">
        <f t="shared" ref="K3:K18" si="4">F3/E3</f>
        <v>1.1428571428571428</v>
      </c>
      <c r="L3" s="61" t="s">
        <v>218</v>
      </c>
      <c r="M3" s="61"/>
      <c r="N3">
        <v>5</v>
      </c>
      <c r="O3">
        <f t="shared" ref="O3:O18" si="5">N3*F3*B3</f>
        <v>0</v>
      </c>
    </row>
    <row r="4" spans="2:15" x14ac:dyDescent="0.2">
      <c r="B4">
        <v>0</v>
      </c>
      <c r="C4" t="s">
        <v>219</v>
      </c>
      <c r="D4">
        <v>80</v>
      </c>
      <c r="E4">
        <v>30</v>
      </c>
      <c r="F4">
        <v>25</v>
      </c>
      <c r="G4">
        <f t="shared" si="0"/>
        <v>0</v>
      </c>
      <c r="H4">
        <f t="shared" si="1"/>
        <v>0</v>
      </c>
      <c r="I4">
        <f t="shared" si="2"/>
        <v>0</v>
      </c>
      <c r="J4" s="34">
        <f t="shared" si="3"/>
        <v>0.3125</v>
      </c>
      <c r="K4" s="34">
        <f t="shared" si="4"/>
        <v>0.83333333333333337</v>
      </c>
      <c r="L4" s="61" t="s">
        <v>220</v>
      </c>
      <c r="M4" s="61"/>
      <c r="N4">
        <v>0</v>
      </c>
      <c r="O4">
        <f t="shared" si="5"/>
        <v>0</v>
      </c>
    </row>
    <row r="5" spans="2:15" x14ac:dyDescent="0.2">
      <c r="B5">
        <v>0</v>
      </c>
      <c r="C5" t="s">
        <v>221</v>
      </c>
      <c r="D5">
        <v>40</v>
      </c>
      <c r="E5">
        <v>25</v>
      </c>
      <c r="F5">
        <v>25</v>
      </c>
      <c r="G5">
        <f t="shared" si="0"/>
        <v>0</v>
      </c>
      <c r="H5">
        <f t="shared" si="1"/>
        <v>0</v>
      </c>
      <c r="I5">
        <f t="shared" si="2"/>
        <v>0</v>
      </c>
      <c r="J5" s="34">
        <f t="shared" si="3"/>
        <v>0.625</v>
      </c>
      <c r="K5" s="34">
        <f t="shared" si="4"/>
        <v>1</v>
      </c>
      <c r="L5" s="61" t="s">
        <v>222</v>
      </c>
      <c r="M5" s="61"/>
      <c r="N5">
        <v>4</v>
      </c>
      <c r="O5">
        <f t="shared" si="5"/>
        <v>0</v>
      </c>
    </row>
    <row r="6" spans="2:15" x14ac:dyDescent="0.2">
      <c r="B6">
        <v>0</v>
      </c>
      <c r="C6" t="s">
        <v>223</v>
      </c>
      <c r="D6">
        <v>70</v>
      </c>
      <c r="E6">
        <v>35</v>
      </c>
      <c r="F6">
        <v>25</v>
      </c>
      <c r="G6">
        <f t="shared" si="0"/>
        <v>0</v>
      </c>
      <c r="H6">
        <f t="shared" si="1"/>
        <v>0</v>
      </c>
      <c r="I6">
        <f t="shared" si="2"/>
        <v>0</v>
      </c>
      <c r="J6" s="34">
        <f t="shared" si="3"/>
        <v>0.35714285714285715</v>
      </c>
      <c r="K6" s="34">
        <f t="shared" si="4"/>
        <v>0.7142857142857143</v>
      </c>
      <c r="L6" s="61" t="s">
        <v>224</v>
      </c>
      <c r="M6" s="61"/>
      <c r="N6">
        <v>4</v>
      </c>
      <c r="O6">
        <f t="shared" si="5"/>
        <v>0</v>
      </c>
    </row>
    <row r="7" spans="2:15" x14ac:dyDescent="0.2">
      <c r="B7">
        <v>0</v>
      </c>
      <c r="C7" t="s">
        <v>225</v>
      </c>
      <c r="D7">
        <v>30</v>
      </c>
      <c r="E7">
        <v>15</v>
      </c>
      <c r="F7">
        <v>25</v>
      </c>
      <c r="G7">
        <f t="shared" si="0"/>
        <v>0</v>
      </c>
      <c r="H7">
        <f t="shared" si="1"/>
        <v>0</v>
      </c>
      <c r="I7">
        <f t="shared" si="2"/>
        <v>0</v>
      </c>
      <c r="J7" s="34">
        <f t="shared" si="3"/>
        <v>0.83333333333333337</v>
      </c>
      <c r="K7" s="34">
        <f t="shared" si="4"/>
        <v>1.6666666666666667</v>
      </c>
      <c r="L7" s="61" t="s">
        <v>226</v>
      </c>
      <c r="M7" s="61"/>
      <c r="N7">
        <v>3</v>
      </c>
      <c r="O7">
        <f t="shared" si="5"/>
        <v>0</v>
      </c>
    </row>
    <row r="8" spans="2:15" x14ac:dyDescent="0.2">
      <c r="B8">
        <v>0</v>
      </c>
      <c r="C8" t="s">
        <v>227</v>
      </c>
      <c r="D8">
        <v>70</v>
      </c>
      <c r="E8">
        <v>25</v>
      </c>
      <c r="F8">
        <v>25</v>
      </c>
      <c r="G8">
        <f t="shared" si="0"/>
        <v>0</v>
      </c>
      <c r="H8">
        <f t="shared" si="1"/>
        <v>0</v>
      </c>
      <c r="I8">
        <f t="shared" si="2"/>
        <v>0</v>
      </c>
      <c r="J8" s="34">
        <f t="shared" si="3"/>
        <v>0.35714285714285715</v>
      </c>
      <c r="K8" s="34">
        <f t="shared" si="4"/>
        <v>1</v>
      </c>
      <c r="L8" s="61" t="s">
        <v>228</v>
      </c>
      <c r="M8" s="61"/>
      <c r="N8">
        <v>3</v>
      </c>
      <c r="O8">
        <f t="shared" si="5"/>
        <v>0</v>
      </c>
    </row>
    <row r="9" spans="2:15" x14ac:dyDescent="0.2">
      <c r="B9">
        <v>0</v>
      </c>
      <c r="C9" t="s">
        <v>229</v>
      </c>
      <c r="D9">
        <v>60</v>
      </c>
      <c r="E9">
        <v>25</v>
      </c>
      <c r="F9">
        <v>25</v>
      </c>
      <c r="G9">
        <f t="shared" si="0"/>
        <v>0</v>
      </c>
      <c r="H9">
        <f t="shared" si="1"/>
        <v>0</v>
      </c>
      <c r="I9">
        <f t="shared" si="2"/>
        <v>0</v>
      </c>
      <c r="J9" s="34">
        <f t="shared" si="3"/>
        <v>0.41666666666666669</v>
      </c>
      <c r="K9" s="34">
        <f t="shared" si="4"/>
        <v>1</v>
      </c>
      <c r="L9" s="61" t="s">
        <v>230</v>
      </c>
      <c r="M9" s="61"/>
      <c r="N9">
        <v>3</v>
      </c>
      <c r="O9">
        <f t="shared" si="5"/>
        <v>0</v>
      </c>
    </row>
    <row r="10" spans="2:15" x14ac:dyDescent="0.2">
      <c r="B10">
        <v>0</v>
      </c>
      <c r="C10" t="s">
        <v>231</v>
      </c>
      <c r="D10">
        <v>30</v>
      </c>
      <c r="E10">
        <v>15</v>
      </c>
      <c r="F10">
        <v>22</v>
      </c>
      <c r="G10">
        <f t="shared" si="0"/>
        <v>0</v>
      </c>
      <c r="H10">
        <f t="shared" si="1"/>
        <v>0</v>
      </c>
      <c r="I10">
        <f t="shared" si="2"/>
        <v>0</v>
      </c>
      <c r="J10" s="34">
        <f t="shared" si="3"/>
        <v>0.73333333333333328</v>
      </c>
      <c r="K10" s="34">
        <f t="shared" si="4"/>
        <v>1.4666666666666666</v>
      </c>
      <c r="L10" s="61" t="s">
        <v>232</v>
      </c>
      <c r="M10" s="61"/>
      <c r="N10">
        <v>3</v>
      </c>
      <c r="O10">
        <f t="shared" si="5"/>
        <v>0</v>
      </c>
    </row>
    <row r="11" spans="2:15" x14ac:dyDescent="0.2">
      <c r="B11">
        <v>0</v>
      </c>
      <c r="C11" t="s">
        <v>233</v>
      </c>
      <c r="D11">
        <v>40</v>
      </c>
      <c r="E11">
        <v>20</v>
      </c>
      <c r="F11">
        <v>20</v>
      </c>
      <c r="G11">
        <f t="shared" si="0"/>
        <v>0</v>
      </c>
      <c r="H11">
        <f t="shared" si="1"/>
        <v>0</v>
      </c>
      <c r="I11">
        <f t="shared" si="2"/>
        <v>0</v>
      </c>
      <c r="J11" s="34">
        <f t="shared" si="3"/>
        <v>0.5</v>
      </c>
      <c r="K11" s="34">
        <f t="shared" si="4"/>
        <v>1</v>
      </c>
      <c r="L11" s="61" t="s">
        <v>234</v>
      </c>
      <c r="M11" s="61"/>
      <c r="N11">
        <v>3</v>
      </c>
      <c r="O11">
        <f t="shared" si="5"/>
        <v>0</v>
      </c>
    </row>
    <row r="12" spans="2:15" x14ac:dyDescent="0.2">
      <c r="B12">
        <v>0</v>
      </c>
      <c r="C12" t="s">
        <v>235</v>
      </c>
      <c r="D12">
        <v>40</v>
      </c>
      <c r="E12">
        <v>15</v>
      </c>
      <c r="F12">
        <v>20</v>
      </c>
      <c r="G12">
        <f t="shared" si="0"/>
        <v>0</v>
      </c>
      <c r="H12">
        <f t="shared" si="1"/>
        <v>0</v>
      </c>
      <c r="I12">
        <f t="shared" si="2"/>
        <v>0</v>
      </c>
      <c r="J12" s="34">
        <f t="shared" si="3"/>
        <v>0.5</v>
      </c>
      <c r="K12" s="34">
        <f t="shared" si="4"/>
        <v>1.3333333333333333</v>
      </c>
      <c r="L12" s="61" t="s">
        <v>236</v>
      </c>
      <c r="M12" s="61"/>
      <c r="N12">
        <v>3</v>
      </c>
      <c r="O12">
        <f t="shared" si="5"/>
        <v>0</v>
      </c>
    </row>
    <row r="13" spans="2:15" x14ac:dyDescent="0.2">
      <c r="B13">
        <v>0</v>
      </c>
      <c r="C13" t="s">
        <v>237</v>
      </c>
      <c r="D13">
        <v>35</v>
      </c>
      <c r="E13">
        <v>15</v>
      </c>
      <c r="F13">
        <v>18</v>
      </c>
      <c r="G13">
        <f t="shared" si="0"/>
        <v>0</v>
      </c>
      <c r="H13">
        <f t="shared" si="1"/>
        <v>0</v>
      </c>
      <c r="I13">
        <f t="shared" si="2"/>
        <v>0</v>
      </c>
      <c r="J13" s="34">
        <f t="shared" si="3"/>
        <v>0.51428571428571423</v>
      </c>
      <c r="K13" s="34">
        <f t="shared" si="4"/>
        <v>1.2</v>
      </c>
      <c r="L13" s="61" t="s">
        <v>238</v>
      </c>
      <c r="M13" s="61"/>
      <c r="N13">
        <v>3</v>
      </c>
      <c r="O13">
        <f t="shared" si="5"/>
        <v>0</v>
      </c>
    </row>
    <row r="14" spans="2:15" x14ac:dyDescent="0.2">
      <c r="B14">
        <v>0</v>
      </c>
      <c r="C14" t="s">
        <v>239</v>
      </c>
      <c r="D14">
        <v>30</v>
      </c>
      <c r="E14">
        <v>15</v>
      </c>
      <c r="F14">
        <v>16</v>
      </c>
      <c r="G14">
        <f t="shared" si="0"/>
        <v>0</v>
      </c>
      <c r="H14">
        <f t="shared" si="1"/>
        <v>0</v>
      </c>
      <c r="I14">
        <f t="shared" si="2"/>
        <v>0</v>
      </c>
      <c r="J14" s="34">
        <f t="shared" si="3"/>
        <v>0.53333333333333333</v>
      </c>
      <c r="K14" s="34">
        <f t="shared" si="4"/>
        <v>1.0666666666666667</v>
      </c>
      <c r="L14" s="61" t="s">
        <v>240</v>
      </c>
      <c r="M14" s="61"/>
      <c r="N14">
        <v>2</v>
      </c>
      <c r="O14">
        <f t="shared" si="5"/>
        <v>0</v>
      </c>
    </row>
    <row r="15" spans="2:15" x14ac:dyDescent="0.2">
      <c r="B15">
        <v>0</v>
      </c>
      <c r="C15" t="s">
        <v>241</v>
      </c>
      <c r="D15">
        <v>65</v>
      </c>
      <c r="E15">
        <v>15</v>
      </c>
      <c r="F15">
        <v>15</v>
      </c>
      <c r="G15">
        <f t="shared" si="0"/>
        <v>0</v>
      </c>
      <c r="H15">
        <f t="shared" si="1"/>
        <v>0</v>
      </c>
      <c r="I15">
        <f t="shared" si="2"/>
        <v>0</v>
      </c>
      <c r="J15" s="34">
        <f t="shared" si="3"/>
        <v>0.23076923076923078</v>
      </c>
      <c r="K15" s="34">
        <f t="shared" si="4"/>
        <v>1</v>
      </c>
      <c r="L15" s="61" t="s">
        <v>242</v>
      </c>
      <c r="M15" s="61"/>
      <c r="N15">
        <v>2</v>
      </c>
      <c r="O15">
        <f t="shared" si="5"/>
        <v>0</v>
      </c>
    </row>
    <row r="16" spans="2:15" x14ac:dyDescent="0.2">
      <c r="B16">
        <v>0</v>
      </c>
      <c r="C16" t="s">
        <v>243</v>
      </c>
      <c r="D16">
        <v>50</v>
      </c>
      <c r="E16">
        <v>20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 s="34">
        <f t="shared" si="3"/>
        <v>0.3</v>
      </c>
      <c r="K16" s="34">
        <f t="shared" si="4"/>
        <v>0.75</v>
      </c>
      <c r="L16" s="61" t="s">
        <v>244</v>
      </c>
      <c r="M16" s="61"/>
      <c r="N16">
        <v>3</v>
      </c>
      <c r="O16">
        <f t="shared" si="5"/>
        <v>0</v>
      </c>
    </row>
    <row r="17" spans="2:15" x14ac:dyDescent="0.2">
      <c r="B17">
        <v>0</v>
      </c>
      <c r="C17" t="s">
        <v>245</v>
      </c>
      <c r="D17">
        <v>30</v>
      </c>
      <c r="E17">
        <v>15</v>
      </c>
      <c r="F17">
        <v>14</v>
      </c>
      <c r="G17">
        <f t="shared" si="0"/>
        <v>0</v>
      </c>
      <c r="H17">
        <f t="shared" si="1"/>
        <v>0</v>
      </c>
      <c r="I17">
        <f t="shared" si="2"/>
        <v>0</v>
      </c>
      <c r="J17" s="34">
        <f t="shared" si="3"/>
        <v>0.46666666666666667</v>
      </c>
      <c r="K17" s="34">
        <f t="shared" si="4"/>
        <v>0.93333333333333335</v>
      </c>
      <c r="L17" s="61" t="s">
        <v>246</v>
      </c>
      <c r="M17" s="61"/>
      <c r="N17">
        <v>2</v>
      </c>
      <c r="O17">
        <f t="shared" si="5"/>
        <v>0</v>
      </c>
    </row>
    <row r="18" spans="2:15" x14ac:dyDescent="0.2">
      <c r="B18">
        <v>0</v>
      </c>
      <c r="C18" t="s">
        <v>247</v>
      </c>
      <c r="D18">
        <v>20</v>
      </c>
      <c r="E18">
        <v>15</v>
      </c>
      <c r="F18">
        <v>10</v>
      </c>
      <c r="G18">
        <f t="shared" si="0"/>
        <v>0</v>
      </c>
      <c r="H18">
        <f t="shared" si="1"/>
        <v>0</v>
      </c>
      <c r="I18">
        <f t="shared" si="2"/>
        <v>0</v>
      </c>
      <c r="J18" s="34">
        <f t="shared" si="3"/>
        <v>0.5</v>
      </c>
      <c r="K18" s="34">
        <f t="shared" si="4"/>
        <v>0.66666666666666663</v>
      </c>
      <c r="L18" s="61" t="s">
        <v>248</v>
      </c>
      <c r="M18" s="61"/>
      <c r="N18">
        <v>2</v>
      </c>
      <c r="O18">
        <f t="shared" si="5"/>
        <v>0</v>
      </c>
    </row>
    <row r="19" spans="2:15" x14ac:dyDescent="0.2">
      <c r="B19" s="4">
        <f>SUM(B3:B18)</f>
        <v>0</v>
      </c>
      <c r="G19" s="4">
        <f>SUM(G3:G18)</f>
        <v>0</v>
      </c>
      <c r="H19" s="4">
        <f>SUM(H3:H18)</f>
        <v>0</v>
      </c>
      <c r="I19" s="4">
        <f>SUM(I3:I18)</f>
        <v>0</v>
      </c>
      <c r="O19" s="4">
        <f>SUM(O3:O18)</f>
        <v>0</v>
      </c>
    </row>
  </sheetData>
  <mergeCells count="17">
    <mergeCell ref="L17:M17"/>
    <mergeCell ref="L18:M18"/>
    <mergeCell ref="L12:M12"/>
    <mergeCell ref="L13:M13"/>
    <mergeCell ref="L14:M14"/>
    <mergeCell ref="L15:M15"/>
    <mergeCell ref="L16:M16"/>
    <mergeCell ref="L7:M7"/>
    <mergeCell ref="L8:M8"/>
    <mergeCell ref="L9:M9"/>
    <mergeCell ref="L10:M10"/>
    <mergeCell ref="L11:M11"/>
    <mergeCell ref="L2:M2"/>
    <mergeCell ref="L3:M3"/>
    <mergeCell ref="L4:M4"/>
    <mergeCell ref="L5:M5"/>
    <mergeCell ref="L6:M6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9"/>
  <sheetViews>
    <sheetView topLeftCell="B1" zoomScale="54" zoomScaleNormal="54" workbookViewId="0">
      <selection activeCell="H12" sqref="H12"/>
    </sheetView>
  </sheetViews>
  <sheetFormatPr baseColWidth="10" defaultColWidth="9.140625" defaultRowHeight="12.75" x14ac:dyDescent="0.2"/>
  <cols>
    <col min="1" max="1" width="9.140625" customWidth="1"/>
    <col min="2" max="2" width="26.7109375" customWidth="1"/>
    <col min="3" max="3" width="9" customWidth="1"/>
    <col min="4" max="4" width="14.42578125" customWidth="1"/>
    <col min="5" max="5" width="13.140625" customWidth="1"/>
    <col min="6" max="6" width="10.28515625" customWidth="1"/>
    <col min="7" max="7" width="10.140625" customWidth="1"/>
    <col min="8" max="8" width="10.28515625" customWidth="1"/>
    <col min="9" max="9" width="9.140625" customWidth="1"/>
    <col min="10" max="10" width="7" customWidth="1"/>
    <col min="11" max="11" width="7.5703125" customWidth="1"/>
    <col min="12" max="12" width="10.85546875" customWidth="1"/>
    <col min="13" max="1025" width="9.140625" customWidth="1"/>
  </cols>
  <sheetData>
    <row r="2" spans="2:12" ht="15.75" x14ac:dyDescent="0.25">
      <c r="B2" s="7" t="s">
        <v>249</v>
      </c>
    </row>
    <row r="3" spans="2:12" ht="15.75" x14ac:dyDescent="0.25">
      <c r="C3" s="62" t="s">
        <v>46</v>
      </c>
      <c r="D3" s="62"/>
      <c r="E3" s="62"/>
      <c r="F3" s="62"/>
      <c r="G3" s="62" t="s">
        <v>35</v>
      </c>
      <c r="H3" s="62"/>
      <c r="I3" s="62"/>
      <c r="K3" s="53" t="s">
        <v>250</v>
      </c>
      <c r="L3" s="53"/>
    </row>
    <row r="4" spans="2:12" x14ac:dyDescent="0.2">
      <c r="B4" s="35"/>
      <c r="C4" s="15" t="str">
        <f>'cost calculation'!C11</f>
        <v>Magister</v>
      </c>
      <c r="D4" s="15" t="str">
        <f>'cost calculation'!C12</f>
        <v>Posessed (0-2)</v>
      </c>
      <c r="E4" s="15" t="str">
        <f>'cost calculation'!C13</f>
        <v>Mutants (0-2)</v>
      </c>
      <c r="F4" s="15" t="str">
        <f>'cost calculation'!C14</f>
        <v>Darksouls</v>
      </c>
      <c r="G4" s="15" t="str">
        <f>'cost calculation'!C15</f>
        <v>Bretheren</v>
      </c>
      <c r="H4" s="15" t="str">
        <f>'cost calculation'!C16</f>
        <v>Beastmen</v>
      </c>
      <c r="I4" s="15"/>
      <c r="K4" s="36" t="s">
        <v>46</v>
      </c>
      <c r="L4" s="37" t="s">
        <v>35</v>
      </c>
    </row>
    <row r="5" spans="2:12" x14ac:dyDescent="0.2">
      <c r="B5" s="38" t="s">
        <v>251</v>
      </c>
      <c r="C5">
        <v>4</v>
      </c>
      <c r="D5">
        <v>5</v>
      </c>
      <c r="E5">
        <v>4</v>
      </c>
      <c r="F5">
        <v>4</v>
      </c>
      <c r="G5" s="31">
        <v>4</v>
      </c>
      <c r="H5">
        <v>4</v>
      </c>
      <c r="K5" s="1">
        <v>4</v>
      </c>
      <c r="L5" s="1">
        <v>3</v>
      </c>
    </row>
    <row r="6" spans="2:12" x14ac:dyDescent="0.2">
      <c r="B6" s="38" t="s">
        <v>252</v>
      </c>
      <c r="C6">
        <v>4</v>
      </c>
      <c r="D6">
        <v>4</v>
      </c>
      <c r="E6">
        <v>3</v>
      </c>
      <c r="F6">
        <v>2</v>
      </c>
      <c r="G6">
        <v>3</v>
      </c>
      <c r="H6">
        <v>4</v>
      </c>
      <c r="K6" s="1">
        <v>2</v>
      </c>
      <c r="L6" s="39">
        <v>1</v>
      </c>
    </row>
    <row r="7" spans="2:12" x14ac:dyDescent="0.2">
      <c r="B7" s="38" t="s">
        <v>253</v>
      </c>
      <c r="C7">
        <v>4</v>
      </c>
      <c r="D7">
        <v>0</v>
      </c>
      <c r="E7">
        <v>3</v>
      </c>
      <c r="F7">
        <v>2</v>
      </c>
      <c r="G7">
        <v>3</v>
      </c>
      <c r="H7">
        <v>3</v>
      </c>
      <c r="K7">
        <v>2</v>
      </c>
      <c r="L7" s="39">
        <v>1</v>
      </c>
    </row>
    <row r="8" spans="2:12" x14ac:dyDescent="0.2">
      <c r="B8" s="38" t="s">
        <v>254</v>
      </c>
      <c r="C8">
        <v>3</v>
      </c>
      <c r="D8">
        <v>4</v>
      </c>
      <c r="E8">
        <v>3</v>
      </c>
      <c r="F8">
        <v>4</v>
      </c>
      <c r="G8">
        <v>3</v>
      </c>
      <c r="H8">
        <v>3</v>
      </c>
      <c r="K8">
        <v>6</v>
      </c>
      <c r="L8" s="39">
        <v>6</v>
      </c>
    </row>
    <row r="9" spans="2:12" x14ac:dyDescent="0.2">
      <c r="B9" s="38" t="s">
        <v>255</v>
      </c>
      <c r="C9">
        <v>3</v>
      </c>
      <c r="D9">
        <v>4</v>
      </c>
      <c r="E9">
        <v>3</v>
      </c>
      <c r="F9">
        <v>3</v>
      </c>
      <c r="G9">
        <v>3</v>
      </c>
      <c r="H9">
        <v>4</v>
      </c>
      <c r="K9" s="1">
        <v>4</v>
      </c>
      <c r="L9" s="39">
        <v>2</v>
      </c>
    </row>
    <row r="10" spans="2:12" x14ac:dyDescent="0.2">
      <c r="B10" s="38" t="s">
        <v>256</v>
      </c>
      <c r="C10">
        <v>1</v>
      </c>
      <c r="D10">
        <v>2</v>
      </c>
      <c r="E10">
        <v>1</v>
      </c>
      <c r="F10">
        <v>1</v>
      </c>
      <c r="G10">
        <v>1</v>
      </c>
      <c r="H10">
        <v>2</v>
      </c>
      <c r="K10" s="1">
        <v>6</v>
      </c>
      <c r="L10" s="39">
        <v>6</v>
      </c>
    </row>
    <row r="11" spans="2:12" x14ac:dyDescent="0.2">
      <c r="B11" s="38" t="s">
        <v>257</v>
      </c>
      <c r="C11">
        <v>3</v>
      </c>
      <c r="D11">
        <v>4</v>
      </c>
      <c r="E11">
        <v>3</v>
      </c>
      <c r="F11">
        <v>3</v>
      </c>
      <c r="G11">
        <v>3</v>
      </c>
      <c r="H11">
        <v>3</v>
      </c>
      <c r="K11">
        <v>2</v>
      </c>
      <c r="L11" s="39">
        <v>2</v>
      </c>
    </row>
    <row r="12" spans="2:12" x14ac:dyDescent="0.2">
      <c r="B12" s="38" t="s">
        <v>258</v>
      </c>
      <c r="C12">
        <v>1</v>
      </c>
      <c r="D12">
        <v>2</v>
      </c>
      <c r="E12">
        <v>1</v>
      </c>
      <c r="F12">
        <v>1</v>
      </c>
      <c r="G12">
        <v>1</v>
      </c>
      <c r="H12">
        <v>1</v>
      </c>
      <c r="K12">
        <v>6</v>
      </c>
      <c r="L12" s="39">
        <v>6</v>
      </c>
    </row>
    <row r="13" spans="2:12" x14ac:dyDescent="0.2">
      <c r="B13" s="38" t="s">
        <v>259</v>
      </c>
      <c r="C13">
        <v>8</v>
      </c>
      <c r="D13">
        <v>7</v>
      </c>
      <c r="E13">
        <v>7</v>
      </c>
      <c r="F13">
        <v>6</v>
      </c>
      <c r="G13">
        <v>7</v>
      </c>
      <c r="H13">
        <v>7</v>
      </c>
      <c r="K13">
        <v>2</v>
      </c>
      <c r="L13" s="39">
        <v>1</v>
      </c>
    </row>
    <row r="14" spans="2:12" x14ac:dyDescent="0.2">
      <c r="B14" s="38"/>
      <c r="L14" s="39"/>
    </row>
    <row r="15" spans="2:12" x14ac:dyDescent="0.2">
      <c r="B15" t="s">
        <v>260</v>
      </c>
      <c r="C15" s="40">
        <f t="shared" ref="C15:E23" si="0">$K5*C5/C$25</f>
        <v>0.22857142857142856</v>
      </c>
      <c r="D15" s="40">
        <f t="shared" si="0"/>
        <v>0.22222222222222221</v>
      </c>
      <c r="E15" s="40">
        <f t="shared" si="0"/>
        <v>0.64</v>
      </c>
      <c r="F15" s="40">
        <f t="shared" ref="F15:H23" si="1">$L5*F5/F$25</f>
        <v>0.34285714285714286</v>
      </c>
      <c r="G15" s="40">
        <f t="shared" si="1"/>
        <v>0.48</v>
      </c>
      <c r="H15" s="40">
        <f t="shared" si="1"/>
        <v>0.26666666666666666</v>
      </c>
      <c r="I15" s="40"/>
    </row>
    <row r="16" spans="2:12" x14ac:dyDescent="0.2">
      <c r="B16" s="38" t="s">
        <v>261</v>
      </c>
      <c r="C16" s="40">
        <f t="shared" si="0"/>
        <v>0.11428571428571428</v>
      </c>
      <c r="D16" s="40">
        <f t="shared" si="0"/>
        <v>8.8888888888888892E-2</v>
      </c>
      <c r="E16" s="40">
        <f t="shared" si="0"/>
        <v>0.24</v>
      </c>
      <c r="F16" s="40">
        <f t="shared" si="1"/>
        <v>5.7142857142857141E-2</v>
      </c>
      <c r="G16" s="40">
        <f t="shared" si="1"/>
        <v>0.12</v>
      </c>
      <c r="H16" s="40">
        <f t="shared" si="1"/>
        <v>8.8888888888888892E-2</v>
      </c>
      <c r="I16" s="40"/>
    </row>
    <row r="17" spans="2:10" x14ac:dyDescent="0.2">
      <c r="B17" s="38" t="s">
        <v>262</v>
      </c>
      <c r="C17" s="40">
        <f t="shared" si="0"/>
        <v>0.11428571428571428</v>
      </c>
      <c r="D17" s="40">
        <f t="shared" si="0"/>
        <v>0</v>
      </c>
      <c r="E17" s="40">
        <f t="shared" si="0"/>
        <v>0.24</v>
      </c>
      <c r="F17" s="40">
        <f t="shared" si="1"/>
        <v>5.7142857142857141E-2</v>
      </c>
      <c r="G17" s="40">
        <f t="shared" si="1"/>
        <v>0.12</v>
      </c>
      <c r="H17" s="40">
        <f t="shared" si="1"/>
        <v>6.6666666666666666E-2</v>
      </c>
      <c r="I17" s="40"/>
    </row>
    <row r="18" spans="2:10" x14ac:dyDescent="0.2">
      <c r="B18" s="38" t="s">
        <v>263</v>
      </c>
      <c r="C18" s="40">
        <f t="shared" si="0"/>
        <v>0.25714285714285712</v>
      </c>
      <c r="D18" s="40">
        <f t="shared" si="0"/>
        <v>0.26666666666666666</v>
      </c>
      <c r="E18" s="40">
        <f t="shared" si="0"/>
        <v>0.72</v>
      </c>
      <c r="F18" s="40">
        <f t="shared" si="1"/>
        <v>0.68571428571428572</v>
      </c>
      <c r="G18" s="40">
        <f t="shared" si="1"/>
        <v>0.72</v>
      </c>
      <c r="H18" s="40">
        <f t="shared" si="1"/>
        <v>0.4</v>
      </c>
      <c r="I18" s="40"/>
    </row>
    <row r="19" spans="2:10" x14ac:dyDescent="0.2">
      <c r="B19" s="38" t="s">
        <v>264</v>
      </c>
      <c r="C19" s="40">
        <f t="shared" si="0"/>
        <v>0.17142857142857143</v>
      </c>
      <c r="D19" s="40">
        <f t="shared" si="0"/>
        <v>0.17777777777777778</v>
      </c>
      <c r="E19" s="40">
        <f t="shared" si="0"/>
        <v>0.48</v>
      </c>
      <c r="F19" s="40">
        <f t="shared" si="1"/>
        <v>0.17142857142857143</v>
      </c>
      <c r="G19" s="40">
        <f t="shared" si="1"/>
        <v>0.24</v>
      </c>
      <c r="H19" s="40">
        <f t="shared" si="1"/>
        <v>0.17777777777777778</v>
      </c>
      <c r="I19" s="40"/>
    </row>
    <row r="20" spans="2:10" x14ac:dyDescent="0.2">
      <c r="B20" s="38" t="s">
        <v>265</v>
      </c>
      <c r="C20" s="40">
        <f t="shared" si="0"/>
        <v>8.5714285714285715E-2</v>
      </c>
      <c r="D20" s="40">
        <f t="shared" si="0"/>
        <v>0.13333333333333333</v>
      </c>
      <c r="E20" s="40">
        <f t="shared" si="0"/>
        <v>0.24</v>
      </c>
      <c r="F20" s="40">
        <f t="shared" si="1"/>
        <v>0.17142857142857143</v>
      </c>
      <c r="G20" s="40">
        <f t="shared" si="1"/>
        <v>0.24</v>
      </c>
      <c r="H20" s="40">
        <f t="shared" si="1"/>
        <v>0.26666666666666666</v>
      </c>
      <c r="I20" s="40"/>
    </row>
    <row r="21" spans="2:10" x14ac:dyDescent="0.2">
      <c r="B21" s="38" t="s">
        <v>266</v>
      </c>
      <c r="C21" s="40">
        <f t="shared" si="0"/>
        <v>8.5714285714285715E-2</v>
      </c>
      <c r="D21" s="40">
        <f t="shared" si="0"/>
        <v>8.8888888888888892E-2</v>
      </c>
      <c r="E21" s="40">
        <f t="shared" si="0"/>
        <v>0.24</v>
      </c>
      <c r="F21" s="40">
        <f t="shared" si="1"/>
        <v>0.17142857142857143</v>
      </c>
      <c r="G21" s="40">
        <f t="shared" si="1"/>
        <v>0.24</v>
      </c>
      <c r="H21" s="40">
        <f t="shared" si="1"/>
        <v>0.13333333333333333</v>
      </c>
      <c r="I21" s="40"/>
    </row>
    <row r="22" spans="2:10" x14ac:dyDescent="0.2">
      <c r="B22" s="38" t="s">
        <v>267</v>
      </c>
      <c r="C22" s="40">
        <f t="shared" si="0"/>
        <v>8.5714285714285715E-2</v>
      </c>
      <c r="D22" s="40">
        <f t="shared" si="0"/>
        <v>0.13333333333333333</v>
      </c>
      <c r="E22" s="40">
        <f t="shared" si="0"/>
        <v>0.24</v>
      </c>
      <c r="F22" s="40">
        <f t="shared" si="1"/>
        <v>0.17142857142857143</v>
      </c>
      <c r="G22" s="40">
        <f t="shared" si="1"/>
        <v>0.24</v>
      </c>
      <c r="H22" s="40">
        <f t="shared" si="1"/>
        <v>0.13333333333333333</v>
      </c>
      <c r="I22" s="40"/>
    </row>
    <row r="23" spans="2:10" x14ac:dyDescent="0.2">
      <c r="B23" s="38" t="s">
        <v>268</v>
      </c>
      <c r="C23" s="40">
        <f t="shared" si="0"/>
        <v>0.22857142857142856</v>
      </c>
      <c r="D23" s="40">
        <f t="shared" si="0"/>
        <v>0.15555555555555556</v>
      </c>
      <c r="E23" s="40">
        <f t="shared" si="0"/>
        <v>0.56000000000000005</v>
      </c>
      <c r="F23" s="40">
        <f t="shared" si="1"/>
        <v>0.17142857142857143</v>
      </c>
      <c r="G23" s="40">
        <f t="shared" si="1"/>
        <v>0.28000000000000003</v>
      </c>
      <c r="H23" s="40">
        <f t="shared" si="1"/>
        <v>0.15555555555555556</v>
      </c>
      <c r="I23" s="40"/>
    </row>
    <row r="24" spans="2:10" x14ac:dyDescent="0.2">
      <c r="E24" s="4"/>
    </row>
    <row r="25" spans="2:10" x14ac:dyDescent="0.2">
      <c r="B25" s="21" t="s">
        <v>269</v>
      </c>
      <c r="C25" s="1">
        <f>'cost calculation'!D11</f>
        <v>70</v>
      </c>
      <c r="D25" s="1">
        <f>'cost calculation'!D12</f>
        <v>90</v>
      </c>
      <c r="E25" s="1">
        <f>'cost calculation'!D13</f>
        <v>25</v>
      </c>
      <c r="F25" s="1">
        <f>'cost calculation'!D14</f>
        <v>35</v>
      </c>
      <c r="G25" s="1">
        <f>'cost calculation'!D15</f>
        <v>25</v>
      </c>
      <c r="H25" s="1">
        <f>'cost calculation'!D16</f>
        <v>45</v>
      </c>
      <c r="I25" s="1"/>
    </row>
    <row r="27" spans="2:10" x14ac:dyDescent="0.2">
      <c r="C27" s="40">
        <f t="shared" ref="C27:H27" si="2">SUM(C15:C23)</f>
        <v>1.3714285714285714</v>
      </c>
      <c r="D27" s="40">
        <f t="shared" si="2"/>
        <v>1.2666666666666666</v>
      </c>
      <c r="E27" s="40">
        <f t="shared" si="2"/>
        <v>3.600000000000001</v>
      </c>
      <c r="F27" s="40">
        <f t="shared" si="2"/>
        <v>2</v>
      </c>
      <c r="G27" s="40">
        <f t="shared" si="2"/>
        <v>2.6800000000000006</v>
      </c>
      <c r="H27" s="40">
        <f t="shared" si="2"/>
        <v>1.6888888888888887</v>
      </c>
      <c r="I27" s="40"/>
    </row>
    <row r="28" spans="2:10" x14ac:dyDescent="0.2">
      <c r="C28" s="34">
        <f>'cost calculation'!$E11*'Characteristic analysis'!C27</f>
        <v>1.3714285714285714</v>
      </c>
      <c r="D28" s="34">
        <f>'cost calculation'!$E12*'Characteristic analysis'!D27</f>
        <v>0</v>
      </c>
      <c r="E28" s="34">
        <f>'cost calculation'!$E13*'Characteristic analysis'!E27</f>
        <v>3.600000000000001</v>
      </c>
      <c r="F28" s="34">
        <f>'cost calculation'!$E14*'Characteristic analysis'!F27</f>
        <v>0</v>
      </c>
      <c r="G28" s="34">
        <f>'cost calculation'!$E15*'Characteristic analysis'!G27</f>
        <v>0</v>
      </c>
      <c r="H28" s="34">
        <f>'cost calculation'!$E16*'Characteristic analysis'!H27</f>
        <v>1.6888888888888887</v>
      </c>
      <c r="I28" s="34"/>
      <c r="J28" s="8">
        <f>SUM(C28:I28)</f>
        <v>6.6603174603174615</v>
      </c>
    </row>
    <row r="29" spans="2:10" x14ac:dyDescent="0.2">
      <c r="C29" s="34">
        <f>'cost calculation'!$E11*(C5*K5+C6*K6+C7*K7+C8*K8+C9*K9+C10*K10+C11*K11+C12*K12+C13*K13)</f>
        <v>96</v>
      </c>
      <c r="D29" s="34">
        <f>'cost calculation'!$E12*(D5*$L5+D6*$L6+D7*$L7+D8*$L8+D9*$L9+D10*$L10+D11*$L11+D12*$L12+D13*$L13)</f>
        <v>0</v>
      </c>
      <c r="E29" s="34">
        <f>'cost calculation'!$E13*(E5*$L5+E6*$L6+E7*$L7+E8*$L8+E9*$L9+E10*$L10+E11*$L11+E12*$L12+E13*$L13)</f>
        <v>67</v>
      </c>
      <c r="F29" s="34">
        <f>'cost calculation'!$E14*(F5*$L5+F6*$L6+F7*$L7+F8*$L8+F9*$L9+F10*$L10+F11*$L11+F12*$L12+F13*$L13)</f>
        <v>0</v>
      </c>
      <c r="G29" s="34">
        <f>'cost calculation'!$E15*(G5*$L5+G6*$L6+G7*$L7+G8*$L8+G9*$L9+G10*$L10+G11*$L11+G12*$L12+G13*$L13)</f>
        <v>0</v>
      </c>
      <c r="H29" s="34">
        <f>'cost calculation'!$E16*(H5*$L5+H6*$L6+H7*$L7+H8*$L8+H9*$L9+H10*$L10+H11*$L11+H12*$L12+H13*$L13)</f>
        <v>76</v>
      </c>
      <c r="I29" s="34"/>
      <c r="J29" s="8">
        <f>SUM(C29:I29)</f>
        <v>239</v>
      </c>
    </row>
  </sheetData>
  <mergeCells count="3">
    <mergeCell ref="C3:F3"/>
    <mergeCell ref="G3:I3"/>
    <mergeCell ref="K3:L3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cost calculation</vt:lpstr>
      <vt:lpstr>Underdog Bonus</vt:lpstr>
      <vt:lpstr>Hired swords</vt:lpstr>
      <vt:lpstr>Characteristic analysis</vt:lpstr>
      <vt:lpstr>'cost calculation'!_FilterDatabase_0</vt:lpstr>
      <vt:lpstr>'cost calculation'!_FilterDatenbank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Lauterbach Kai (BEG/ESB2)</dc:creator>
  <dc:description/>
  <cp:lastModifiedBy>klaute</cp:lastModifiedBy>
  <cp:revision>416</cp:revision>
  <dcterms:created xsi:type="dcterms:W3CDTF">2019-06-12T13:39:39Z</dcterms:created>
  <dcterms:modified xsi:type="dcterms:W3CDTF">2019-07-09T08:05:08Z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BOSCH Group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