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0_ncr:8100000_{71DD095A-6B66-464C-A0BA-679F6B6B501B}" xr6:coauthVersionLast="34" xr6:coauthVersionMax="34" xr10:uidLastSave="{00000000-0000-0000-0000-000000000000}"/>
  <bookViews>
    <workbookView xWindow="0" yWindow="0" windowWidth="17205" windowHeight="8640" activeTab="2" xr2:uid="{00000000-000D-0000-FFFF-FFFF00000000}"/>
  </bookViews>
  <sheets>
    <sheet name="Member" sheetId="1" r:id="rId1"/>
    <sheet name="Characteristik analyse" sheetId="2" r:id="rId2"/>
    <sheet name="Boxe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M40" i="1"/>
  <c r="N40" i="1"/>
  <c r="O40" i="1"/>
  <c r="K40" i="1"/>
  <c r="I40" i="1"/>
  <c r="J40" i="1"/>
  <c r="I4" i="1"/>
  <c r="U22" i="1" l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2" i="1" l="1"/>
  <c r="K6" i="1" s="1"/>
  <c r="U41" i="1"/>
  <c r="J6" i="1" s="1"/>
  <c r="U40" i="1"/>
  <c r="I6" i="1" s="1"/>
  <c r="R23" i="1" l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2" i="1"/>
  <c r="P40" i="1" l="1"/>
  <c r="H4" i="4"/>
  <c r="H5" i="4"/>
  <c r="H6" i="4"/>
  <c r="H8" i="4"/>
  <c r="H10" i="4"/>
  <c r="H11" i="4"/>
  <c r="H12" i="4"/>
  <c r="H13" i="4"/>
  <c r="H14" i="4"/>
  <c r="H15" i="4"/>
  <c r="H16" i="4"/>
  <c r="I24" i="2"/>
  <c r="H24" i="2"/>
  <c r="G24" i="2"/>
  <c r="F24" i="2"/>
  <c r="F17" i="2" s="1"/>
  <c r="E24" i="2"/>
  <c r="D24" i="2"/>
  <c r="C24" i="2"/>
  <c r="I4" i="2"/>
  <c r="H4" i="2"/>
  <c r="G4" i="2"/>
  <c r="F4" i="2"/>
  <c r="E4" i="2"/>
  <c r="D4" i="2"/>
  <c r="C4" i="2"/>
  <c r="F18" i="2" l="1"/>
  <c r="F16" i="2"/>
  <c r="F15" i="2"/>
  <c r="F22" i="2"/>
  <c r="F20" i="2"/>
  <c r="F21" i="2"/>
  <c r="F19" i="2"/>
  <c r="F26" i="2" l="1"/>
  <c r="F27" i="2" s="1"/>
  <c r="E7" i="4"/>
  <c r="G7" i="4" s="1"/>
  <c r="H7" i="4" s="1"/>
  <c r="C18" i="4"/>
  <c r="E17" i="4"/>
  <c r="G17" i="4"/>
  <c r="H17" i="4" s="1"/>
  <c r="E16" i="4"/>
  <c r="G16" i="4"/>
  <c r="E15" i="4"/>
  <c r="G15" i="4" s="1"/>
  <c r="E14" i="4"/>
  <c r="G14" i="4"/>
  <c r="E13" i="4"/>
  <c r="G13" i="4"/>
  <c r="E12" i="4"/>
  <c r="G12" i="4"/>
  <c r="E11" i="4"/>
  <c r="G11" i="4" s="1"/>
  <c r="E10" i="4"/>
  <c r="G10" i="4"/>
  <c r="E9" i="4"/>
  <c r="G9" i="4"/>
  <c r="H9" i="4" s="1"/>
  <c r="E8" i="4"/>
  <c r="G8" i="4"/>
  <c r="E6" i="4"/>
  <c r="G6" i="4" s="1"/>
  <c r="E5" i="4"/>
  <c r="G5" i="4"/>
  <c r="E4" i="4"/>
  <c r="G4" i="4"/>
  <c r="H21" i="2"/>
  <c r="G22" i="2"/>
  <c r="E16" i="2"/>
  <c r="D19" i="2"/>
  <c r="C15" i="2"/>
  <c r="L11" i="2"/>
  <c r="L10" i="2"/>
  <c r="L9" i="2"/>
  <c r="L8" i="2"/>
  <c r="L7" i="2"/>
  <c r="L6" i="2"/>
  <c r="E18" i="1"/>
  <c r="G12" i="1"/>
  <c r="G13" i="1"/>
  <c r="G14" i="1"/>
  <c r="G15" i="1"/>
  <c r="G16" i="1"/>
  <c r="G17" i="1"/>
  <c r="G11" i="1"/>
  <c r="I5" i="1" l="1"/>
  <c r="I7" i="1" s="1"/>
  <c r="I19" i="2"/>
  <c r="G18" i="4"/>
  <c r="D18" i="2"/>
  <c r="I16" i="2"/>
  <c r="I22" i="2"/>
  <c r="I15" i="2"/>
  <c r="E15" i="2"/>
  <c r="I21" i="2"/>
  <c r="I17" i="2"/>
  <c r="I20" i="2"/>
  <c r="G18" i="1"/>
  <c r="I18" i="2"/>
  <c r="E20" i="2"/>
  <c r="G15" i="2"/>
  <c r="C16" i="2"/>
  <c r="G17" i="2"/>
  <c r="G16" i="2"/>
  <c r="G20" i="2"/>
  <c r="C20" i="2"/>
  <c r="G21" i="2"/>
  <c r="G19" i="2"/>
  <c r="G18" i="2"/>
  <c r="H17" i="2"/>
  <c r="C17" i="2"/>
  <c r="H15" i="2"/>
  <c r="E18" i="2"/>
  <c r="E17" i="2"/>
  <c r="H19" i="2"/>
  <c r="E21" i="2"/>
  <c r="H20" i="2"/>
  <c r="H18" i="2"/>
  <c r="C19" i="2"/>
  <c r="D16" i="2"/>
  <c r="C21" i="2"/>
  <c r="C18" i="2"/>
  <c r="D15" i="2"/>
  <c r="H16" i="2"/>
  <c r="D17" i="2"/>
  <c r="E22" i="2"/>
  <c r="D21" i="2"/>
  <c r="C22" i="2"/>
  <c r="H22" i="2"/>
  <c r="E19" i="2"/>
  <c r="D20" i="2"/>
  <c r="D22" i="2"/>
  <c r="C26" i="2" l="1"/>
  <c r="C27" i="2" s="1"/>
  <c r="J27" i="2" s="1"/>
  <c r="D26" i="2"/>
  <c r="D27" i="2" s="1"/>
  <c r="H26" i="2"/>
  <c r="H27" i="2" s="1"/>
  <c r="E26" i="2"/>
  <c r="E27" i="2" s="1"/>
  <c r="G26" i="2"/>
  <c r="G27" i="2" s="1"/>
  <c r="I26" i="2"/>
  <c r="I27" i="2" s="1"/>
  <c r="C6" i="1"/>
  <c r="C7" i="1" s="1"/>
  <c r="R40" i="1"/>
</calcChain>
</file>

<file path=xl/sharedStrings.xml><?xml version="1.0" encoding="utf-8"?>
<sst xmlns="http://schemas.openxmlformats.org/spreadsheetml/2006/main" count="193" uniqueCount="151">
  <si>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</si>
  <si>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</si>
  <si>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</si>
  <si>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</si>
  <si>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</si>
  <si>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</si>
  <si>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</si>
  <si>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</si>
  <si>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</si>
  <si>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</si>
  <si>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</si>
  <si>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</si>
  <si>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</si>
  <si>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</si>
  <si>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</si>
  <si>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</si>
  <si>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</si>
  <si>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</si>
  <si>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</si>
  <si>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zweihänder, leichte rüstung</t>
  </si>
  <si>
    <t>2 dolche/schwerter</t>
  </si>
  <si>
    <t>2 dolche/äxte/schwerter</t>
  </si>
  <si>
    <t>Mögliche einheiten</t>
  </si>
  <si>
    <t>Ausrüstung</t>
  </si>
  <si>
    <t>je 1 dolch/schwert</t>
  </si>
  <si>
    <t>je 1 speer 3 schild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</si>
  <si>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</si>
  <si>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</si>
  <si>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</si>
  <si>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</si>
  <si>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</si>
  <si>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</si>
  <si>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</si>
  <si>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</si>
  <si>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</si>
  <si>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</si>
  <si>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</si>
  <si>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</si>
  <si>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</si>
  <si>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</si>
  <si>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</si>
  <si>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</si>
  <si>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</si>
  <si>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</si>
  <si>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</si>
  <si>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</si>
  <si>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</si>
  <si>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</si>
  <si>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</si>
  <si>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</si>
  <si>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</si>
  <si>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</si>
  <si>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</si>
  <si>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</si>
  <si>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Bogen</t>
  </si>
  <si>
    <t>gemischt</t>
  </si>
  <si>
    <t>Äxte (1h/2h/schilde)</t>
  </si>
  <si>
    <t>Schwert/Banner</t>
  </si>
  <si>
    <t>Kosten Warband</t>
  </si>
  <si>
    <t>Genutzte figuren</t>
  </si>
  <si>
    <t>Schwert/Axt</t>
  </si>
  <si>
    <t>Keule/Schwert/Schuld</t>
  </si>
  <si>
    <t>€/Packung</t>
  </si>
  <si>
    <t>2h Äxte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</si>
  <si>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</si>
  <si>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</si>
  <si>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</si>
  <si>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</si>
  <si>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</si>
  <si>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</si>
  <si>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</si>
  <si>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</si>
  <si>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</si>
  <si>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</si>
  <si>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</si>
  <si>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</si>
  <si>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</si>
  <si>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</si>
  <si>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</si>
  <si>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</si>
  <si>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</si>
  <si>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</si>
  <si>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</si>
  <si>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</si>
  <si>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</si>
  <si>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</si>
  <si>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</si>
  <si>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</si>
  <si>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Gemischt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</si>
  <si>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</si>
  <si>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</si>
  <si>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</si>
  <si>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</si>
  <si>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</si>
  <si>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</si>
  <si>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</si>
  <si>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</si>
  <si>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</si>
  <si>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</si>
  <si>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</si>
  <si>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</si>
  <si>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</si>
  <si>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+1 enemy armour save</t>
  </si>
  <si>
    <t>cutting edge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</si>
  <si>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</si>
  <si>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</si>
  <si>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</si>
  <si>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</si>
  <si>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</si>
  <si>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</si>
  <si>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</si>
  <si>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</si>
  <si>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</si>
  <si>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</si>
  <si>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</si>
  <si>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</si>
  <si>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Strike First, Unwiedly, Cavalery Bonus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</si>
  <si>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</si>
  <si>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</si>
  <si>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</si>
  <si>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</si>
  <si>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</si>
  <si>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</si>
  <si>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</si>
  <si>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</si>
  <si>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</si>
  <si>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</si>
  <si>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</si>
  <si>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</si>
  <si>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</si>
  <si>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</si>
  <si>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</si>
  <si>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</si>
  <si>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</si>
  <si>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</si>
  <si>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</si>
  <si>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save 6+ D6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</si>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</sst>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2" headerRowBorderDxfId="21" tableBorderDxfId="20">
  <autoFilter ref="C21:U39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1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18">
      <calculatedColumnFormula>#REF!+#REF!+#REF!+#REF!+#REF!+#REF!+#REF!</calculatedColumnFormula>
    </tableColumn>
    <tableColumn id="17" xr3:uid="{00000000-0010-0000-0000-000011000000}" name="schamane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kosten" dataDxfId="11">
      <calculatedColumnFormula>SUM(Tabelle2[[#This Row],[Boss]:[troll]])*Tabelle2[[#This Row],[gold/stück]]</calculatedColumnFormula>
    </tableColumn>
    <tableColumn id="9" xr3:uid="{00000000-0010-0000-0000-000009000000}" name="wunsch" dataDxfId="10">
      <calculatedColumnFormula>#REF!+#REF!+#REF!+#REF!+#REF!+#REF!+#REF!</calculatedColumnFormula>
    </tableColumn>
    <tableColumn id="10" xr3:uid="{00000000-0010-0000-0000-00000A000000}" name="zusatzkosten" dataDxfId="9">
      <calculatedColumnFormula>Tabelle2[[#This Row],[gold/stück]]*Tabelle2[[#This Row],[wunsch]]</calculatedColumnFormula>
    </tableColumn>
    <tableColumn id="11" xr3:uid="{00000000-0010-0000-0000-00000B000000}" name="Gruppe" dataDxfId="8"/>
    <tableColumn id="18" xr3:uid="{00000000-0010-0000-0000-000012000000}" name="Bewertung" dataDxfId="7"/>
    <tableColumn id="19" xr3:uid="{00000000-0010-0000-0000-000013000000}" name="Warband Equip Rating" dataDxfId="6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H17" totalsRowShown="0" headerRowDxfId="5">
  <autoFilter ref="B3:H17" xr:uid="{00000000-0009-0000-0100-000004000000}"/>
  <tableColumns count="7">
    <tableColumn id="1" xr3:uid="{00000000-0010-0000-0100-000001000000}" name="Mögliche einheiten" dataDxfId="4"/>
    <tableColumn id="2" xr3:uid="{00000000-0010-0000-0100-000002000000}" name="€/Packung" dataDxfId="3"/>
    <tableColumn id="3" xr3:uid="{00000000-0010-0000-0100-000003000000}" name="Ausrüstung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F4*E4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zoomScale="85" zoomScaleNormal="85" workbookViewId="0">
      <selection activeCell="O40" sqref="I40:O40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8.710937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135</v>
      </c>
      <c r="D2" s="20"/>
      <c r="E2" s="20"/>
      <c r="F2" s="22">
        <v>43340</v>
      </c>
    </row>
    <row r="3" spans="2:18" s="6" customFormat="1" ht="18" x14ac:dyDescent="0.25">
      <c r="B3" s="11" t="s">
        <v>146</v>
      </c>
      <c r="E3" s="10"/>
      <c r="F3" s="21"/>
      <c r="H3" s="6" t="s">
        <v>150</v>
      </c>
      <c r="I3" s="1">
        <v>10</v>
      </c>
    </row>
    <row r="4" spans="2:18" x14ac:dyDescent="0.2">
      <c r="H4" s="11" t="s">
        <v>73</v>
      </c>
      <c r="I4" s="10">
        <f>5*SUM(E11:E17)+E11*F11+E12*F12+E13*F13+E14*F14+E15*F15+E16*F16+E17*F17+5</f>
        <v>120</v>
      </c>
    </row>
    <row r="5" spans="2:18" s="6" customFormat="1" ht="15" x14ac:dyDescent="0.2">
      <c r="B5" s="4" t="s">
        <v>0</v>
      </c>
      <c r="C5" s="4">
        <v>500</v>
      </c>
      <c r="H5" t="s">
        <v>137</v>
      </c>
      <c r="I5" s="10">
        <f>E18/4</f>
        <v>2</v>
      </c>
    </row>
    <row r="6" spans="2:18" s="6" customFormat="1" ht="15.75" thickBot="1" x14ac:dyDescent="0.25">
      <c r="B6" s="4" t="s">
        <v>18</v>
      </c>
      <c r="C6" s="4">
        <f>G18+P40</f>
        <v>500</v>
      </c>
      <c r="H6" s="5" t="s">
        <v>142</v>
      </c>
      <c r="I6" s="38">
        <f>U40</f>
        <v>145</v>
      </c>
      <c r="J6" s="6">
        <f>U41</f>
        <v>71</v>
      </c>
      <c r="K6" s="6">
        <f>U42</f>
        <v>74</v>
      </c>
    </row>
    <row r="7" spans="2:18" ht="16.5" thickTop="1" x14ac:dyDescent="0.25">
      <c r="B7" s="26" t="s">
        <v>15</v>
      </c>
      <c r="C7" s="33">
        <f>C5-C6</f>
        <v>0</v>
      </c>
      <c r="I7" s="2">
        <f>I3+(I6+I4)*I5</f>
        <v>540</v>
      </c>
    </row>
    <row r="9" spans="2:18" s="6" customFormat="1" x14ac:dyDescent="0.2"/>
    <row r="10" spans="2:18" x14ac:dyDescent="0.2">
      <c r="C10" s="12" t="s">
        <v>17</v>
      </c>
      <c r="D10" s="12" t="s">
        <v>26</v>
      </c>
      <c r="E10" s="12" t="s">
        <v>13</v>
      </c>
      <c r="F10" s="12" t="s">
        <v>74</v>
      </c>
      <c r="G10" s="12" t="s">
        <v>14</v>
      </c>
      <c r="Q10" s="6" t="s">
        <v>125</v>
      </c>
      <c r="R10" s="6" t="s">
        <v>143</v>
      </c>
    </row>
    <row r="11" spans="2:18" x14ac:dyDescent="0.2">
      <c r="B11" s="39" t="s">
        <v>95</v>
      </c>
      <c r="C11" s="6" t="s">
        <v>96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31</v>
      </c>
      <c r="R11" s="6" t="s">
        <v>144</v>
      </c>
    </row>
    <row r="12" spans="2:18" x14ac:dyDescent="0.2">
      <c r="B12" s="39"/>
      <c r="C12" s="6" t="s">
        <v>97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126</v>
      </c>
      <c r="R12" s="6" t="s">
        <v>145</v>
      </c>
    </row>
    <row r="13" spans="2:18" x14ac:dyDescent="0.2">
      <c r="B13" s="39"/>
      <c r="C13" s="6" t="s">
        <v>98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39" t="s">
        <v>52</v>
      </c>
      <c r="C14" s="6" t="s">
        <v>99</v>
      </c>
      <c r="D14" s="6">
        <v>15</v>
      </c>
      <c r="E14" s="27">
        <v>3</v>
      </c>
      <c r="F14" s="27">
        <v>0</v>
      </c>
      <c r="G14">
        <f t="shared" si="0"/>
        <v>45</v>
      </c>
    </row>
    <row r="15" spans="2:18" x14ac:dyDescent="0.2">
      <c r="B15" s="39"/>
      <c r="C15" s="6" t="s">
        <v>100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39"/>
      <c r="C16" s="6" t="s">
        <v>101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ht="13.5" thickBot="1" x14ac:dyDescent="0.25">
      <c r="B17" s="39"/>
      <c r="C17" s="5" t="s">
        <v>11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6.5" thickTop="1" x14ac:dyDescent="0.25">
      <c r="C18" s="16" t="s">
        <v>49</v>
      </c>
      <c r="E18" s="2">
        <f>SUM(E11:E17)</f>
        <v>8</v>
      </c>
      <c r="F18" s="6"/>
      <c r="G18" s="2">
        <f>SUM(G11:G17)</f>
        <v>285</v>
      </c>
    </row>
    <row r="19" spans="2:21" s="6" customFormat="1" x14ac:dyDescent="0.2">
      <c r="B19" s="17"/>
      <c r="F19" s="1"/>
      <c r="I19" s="40" t="s">
        <v>129</v>
      </c>
      <c r="J19" s="40"/>
      <c r="K19" s="40"/>
      <c r="L19" s="40"/>
      <c r="M19" s="40"/>
      <c r="N19" s="40"/>
      <c r="O19" s="40"/>
    </row>
    <row r="20" spans="2:21" ht="15.75" x14ac:dyDescent="0.25">
      <c r="B20" s="2"/>
      <c r="C20" s="2"/>
      <c r="I20" s="40" t="s">
        <v>51</v>
      </c>
      <c r="J20" s="40"/>
      <c r="K20" s="40"/>
      <c r="L20" s="40" t="s">
        <v>52</v>
      </c>
      <c r="M20" s="40"/>
      <c r="N20" s="40"/>
      <c r="O20" s="40"/>
      <c r="T20" s="6" t="s">
        <v>139</v>
      </c>
    </row>
    <row r="21" spans="2:21" s="6" customFormat="1" x14ac:dyDescent="0.2">
      <c r="B21"/>
      <c r="C21" s="12" t="s">
        <v>90</v>
      </c>
      <c r="D21" s="19" t="s">
        <v>65</v>
      </c>
      <c r="E21" s="19" t="s">
        <v>70</v>
      </c>
      <c r="F21" s="19" t="s">
        <v>31</v>
      </c>
      <c r="G21" s="19" t="s">
        <v>71</v>
      </c>
      <c r="H21" s="12" t="s">
        <v>27</v>
      </c>
      <c r="I21" s="12" t="s">
        <v>37</v>
      </c>
      <c r="J21" s="12" t="s">
        <v>130</v>
      </c>
      <c r="K21" s="12" t="s">
        <v>131</v>
      </c>
      <c r="L21" s="12" t="s">
        <v>132</v>
      </c>
      <c r="M21" s="12" t="s">
        <v>133</v>
      </c>
      <c r="N21" s="12" t="s">
        <v>134</v>
      </c>
      <c r="O21" s="12" t="s">
        <v>11</v>
      </c>
      <c r="P21" s="12" t="s">
        <v>12</v>
      </c>
      <c r="Q21" s="12" t="s">
        <v>92</v>
      </c>
      <c r="R21" s="12" t="s">
        <v>93</v>
      </c>
      <c r="S21" s="12" t="s">
        <v>94</v>
      </c>
      <c r="T21" s="12" t="s">
        <v>140</v>
      </c>
      <c r="U21" s="12" t="s">
        <v>141</v>
      </c>
    </row>
    <row r="22" spans="2:21" s="6" customFormat="1" x14ac:dyDescent="0.2">
      <c r="B22"/>
      <c r="C22" s="6" t="s">
        <v>9</v>
      </c>
      <c r="D22" s="6" t="s">
        <v>66</v>
      </c>
      <c r="F22" s="29"/>
      <c r="G22" s="18" t="s">
        <v>102</v>
      </c>
      <c r="H22" s="6">
        <v>2</v>
      </c>
      <c r="I22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SUM(Tabelle2[[#This Row],[Boss]:[troll]])*Tabelle2[[#This Row],[gold/stück]]</f>
        <v>0</v>
      </c>
      <c r="Q22" s="6">
        <v>0</v>
      </c>
      <c r="R22" s="6">
        <f>Tabelle2[[#This Row],[gold/stück]]*Tabelle2[[#This Row],[wunsch]]</f>
        <v>0</v>
      </c>
      <c r="S22" s="30" t="s">
        <v>128</v>
      </c>
      <c r="T22" s="30">
        <v>1</v>
      </c>
      <c r="U22" s="30">
        <f>Tabelle2[[#This Row],[Bewertung]]*SUM(Tabelle2[[#This Row],[Boss]:[troll]])</f>
        <v>0</v>
      </c>
    </row>
    <row r="23" spans="2:21" s="6" customFormat="1" x14ac:dyDescent="0.2">
      <c r="B23"/>
      <c r="C23" s="6" t="s">
        <v>1</v>
      </c>
      <c r="D23" s="6" t="s">
        <v>66</v>
      </c>
      <c r="F23" s="29"/>
      <c r="G23" s="6" t="s">
        <v>103</v>
      </c>
      <c r="H23" s="6">
        <v>5</v>
      </c>
      <c r="I23" s="6">
        <v>0</v>
      </c>
      <c r="J23" s="6">
        <v>1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Row],[Boss]:[troll]])*Tabelle2[[#This Row],[gold/stück]]</f>
        <v>15</v>
      </c>
      <c r="Q23" s="6">
        <v>0</v>
      </c>
      <c r="R23" s="6">
        <f>Tabelle2[[#This Row],[gold/stück]]*Tabelle2[[#This Row],[wunsch]]</f>
        <v>0</v>
      </c>
      <c r="S23" s="30" t="s">
        <v>127</v>
      </c>
      <c r="T23" s="30">
        <v>4</v>
      </c>
      <c r="U23" s="30">
        <f>Tabelle2[[#This Row],[Bewertung]]*SUM(Tabelle2[[#This Row],[Boss]:[troll]])</f>
        <v>12</v>
      </c>
    </row>
    <row r="24" spans="2:21" s="6" customFormat="1" x14ac:dyDescent="0.2">
      <c r="B24"/>
      <c r="C24" s="6" t="s">
        <v>104</v>
      </c>
      <c r="D24" s="6" t="s">
        <v>66</v>
      </c>
      <c r="F24" s="29" t="s">
        <v>105</v>
      </c>
      <c r="G24" s="6" t="s">
        <v>106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Row],[Boss]:[troll]])*Tabelle2[[#This Row],[gold/stück]]</f>
        <v>0</v>
      </c>
      <c r="Q24" s="6">
        <v>0</v>
      </c>
      <c r="R24" s="6">
        <f>Tabelle2[[#This Row],[gold/stück]]*Tabelle2[[#This Row],[wunsch]]</f>
        <v>0</v>
      </c>
      <c r="S24" s="30" t="s">
        <v>127</v>
      </c>
      <c r="T24" s="30">
        <v>9</v>
      </c>
      <c r="U24" s="30">
        <f>Tabelle2[[#This Row],[Bewertung]]*SUM(Tabelle2[[#This Row],[Boss]:[troll]])</f>
        <v>0</v>
      </c>
    </row>
    <row r="25" spans="2:21" s="6" customFormat="1" x14ac:dyDescent="0.2">
      <c r="B25"/>
      <c r="C25" s="6" t="s">
        <v>2</v>
      </c>
      <c r="D25" s="6" t="s">
        <v>66</v>
      </c>
      <c r="F25" s="29" t="s">
        <v>105</v>
      </c>
      <c r="G25" s="6" t="s">
        <v>107</v>
      </c>
      <c r="H25" s="6">
        <v>10</v>
      </c>
      <c r="I25" s="6">
        <v>0</v>
      </c>
      <c r="J25" s="6">
        <v>0</v>
      </c>
      <c r="K25" s="6">
        <v>2</v>
      </c>
      <c r="L25" s="6">
        <v>0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20</v>
      </c>
      <c r="Q25" s="6">
        <v>0</v>
      </c>
      <c r="R25" s="6">
        <f>Tabelle2[[#This Row],[gold/stück]]*Tabelle2[[#This Row],[wunsch]]</f>
        <v>0</v>
      </c>
      <c r="S25" s="30" t="s">
        <v>128</v>
      </c>
      <c r="T25" s="30">
        <v>5</v>
      </c>
      <c r="U25" s="30">
        <f>Tabelle2[[#This Row],[Bewertung]]*SUM(Tabelle2[[#This Row],[Boss]:[troll]])</f>
        <v>10</v>
      </c>
    </row>
    <row r="26" spans="2:21" s="6" customFormat="1" x14ac:dyDescent="0.2">
      <c r="B26"/>
      <c r="C26" s="6" t="s">
        <v>3</v>
      </c>
      <c r="D26" s="6" t="s">
        <v>66</v>
      </c>
      <c r="F26" s="29" t="s">
        <v>108</v>
      </c>
      <c r="G26" s="6" t="s">
        <v>109</v>
      </c>
      <c r="H26" s="6">
        <v>10</v>
      </c>
      <c r="I26" s="6">
        <v>1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20</v>
      </c>
      <c r="Q26" s="6">
        <v>0</v>
      </c>
      <c r="R26" s="6">
        <f>Tabelle2[[#This Row],[gold/stück]]*Tabelle2[[#This Row],[wunsch]]</f>
        <v>0</v>
      </c>
      <c r="S26" s="30" t="s">
        <v>127</v>
      </c>
      <c r="T26" s="30">
        <v>8</v>
      </c>
      <c r="U26" s="30">
        <f>Tabelle2[[#This Row],[Bewertung]]*SUM(Tabelle2[[#This Row],[Boss]:[troll]])</f>
        <v>16</v>
      </c>
    </row>
    <row r="27" spans="2:21" s="6" customFormat="1" x14ac:dyDescent="0.2">
      <c r="B27"/>
      <c r="C27" s="6" t="s">
        <v>110</v>
      </c>
      <c r="D27" s="6" t="s">
        <v>66</v>
      </c>
      <c r="F27" s="29" t="s">
        <v>111</v>
      </c>
      <c r="G27" s="6" t="s">
        <v>112</v>
      </c>
      <c r="H27" s="6">
        <v>10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0</v>
      </c>
      <c r="Q27" s="6">
        <v>0</v>
      </c>
      <c r="R27" s="6">
        <f>Tabelle2[[#This Row],[gold/stück]]*Tabelle2[[#This Row],[wunsch]]</f>
        <v>0</v>
      </c>
      <c r="S27" s="30" t="s">
        <v>127</v>
      </c>
      <c r="T27" s="30">
        <v>7</v>
      </c>
      <c r="U27" s="30">
        <f>Tabelle2[[#This Row],[Bewertung]]*SUM(Tabelle2[[#This Row],[Boss]:[troll]])</f>
        <v>0</v>
      </c>
    </row>
    <row r="28" spans="2:21" s="6" customFormat="1" x14ac:dyDescent="0.2">
      <c r="B28"/>
      <c r="C28" s="6" t="s">
        <v>113</v>
      </c>
      <c r="D28" s="6" t="s">
        <v>68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128</v>
      </c>
      <c r="T28" s="30">
        <v>2</v>
      </c>
      <c r="U28" s="30">
        <f>Tabelle2[[#This Row],[Bewertung]]*SUM(Tabelle2[[#This Row],[Boss]:[troll]])</f>
        <v>0</v>
      </c>
    </row>
    <row r="29" spans="2:21" s="6" customFormat="1" x14ac:dyDescent="0.2">
      <c r="B29"/>
      <c r="C29" s="6" t="s">
        <v>4</v>
      </c>
      <c r="D29" s="6" t="s">
        <v>68</v>
      </c>
      <c r="E29" s="6" t="s">
        <v>69</v>
      </c>
      <c r="F29" s="29">
        <v>4</v>
      </c>
      <c r="G29" s="6" t="s">
        <v>114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127</v>
      </c>
      <c r="T29" s="30">
        <v>6</v>
      </c>
      <c r="U29" s="30">
        <f>Tabelle2[[#This Row],[Bewertung]]*SUM(Tabelle2[[#This Row],[Boss]:[troll]])</f>
        <v>0</v>
      </c>
    </row>
    <row r="30" spans="2:21" s="6" customFormat="1" x14ac:dyDescent="0.2">
      <c r="B30"/>
      <c r="C30" s="6" t="s">
        <v>5</v>
      </c>
      <c r="D30" s="6" t="s">
        <v>68</v>
      </c>
      <c r="E30" s="6" t="s">
        <v>72</v>
      </c>
      <c r="F30" s="29">
        <v>3</v>
      </c>
      <c r="H30" s="6">
        <v>10</v>
      </c>
      <c r="I30" s="6">
        <v>0</v>
      </c>
      <c r="J30" s="6">
        <v>0</v>
      </c>
      <c r="K30" s="6">
        <v>3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30</v>
      </c>
      <c r="Q30" s="6">
        <v>0</v>
      </c>
      <c r="R30" s="6">
        <f>Tabelle2[[#This Row],[gold/stück]]*Tabelle2[[#This Row],[wunsch]]</f>
        <v>0</v>
      </c>
      <c r="S30" s="30" t="s">
        <v>127</v>
      </c>
      <c r="T30" s="30">
        <v>6</v>
      </c>
      <c r="U30" s="30">
        <f>Tabelle2[[#This Row],[Bewertung]]*SUM(Tabelle2[[#This Row],[Boss]:[troll]])</f>
        <v>18</v>
      </c>
    </row>
    <row r="31" spans="2:21" s="6" customFormat="1" x14ac:dyDescent="0.2">
      <c r="C31" s="6" t="s">
        <v>115</v>
      </c>
      <c r="D31" s="6" t="s">
        <v>66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126</v>
      </c>
      <c r="T31" s="30">
        <v>3</v>
      </c>
      <c r="U31" s="30">
        <f>Tabelle2[[#This Row],[Bewertung]]*SUM(Tabelle2[[#This Row],[Boss]:[troll]])</f>
        <v>0</v>
      </c>
    </row>
    <row r="32" spans="2:21" s="6" customFormat="1" x14ac:dyDescent="0.2">
      <c r="C32" s="6" t="s">
        <v>10</v>
      </c>
      <c r="D32" s="6" t="s">
        <v>66</v>
      </c>
      <c r="F32" s="29" t="s">
        <v>105</v>
      </c>
      <c r="G32" s="6" t="s">
        <v>116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15</v>
      </c>
      <c r="Q32" s="6">
        <v>0</v>
      </c>
      <c r="R32" s="6">
        <f>Tabelle2[[#This Row],[gold/stück]]*Tabelle2[[#This Row],[wunsch]]</f>
        <v>0</v>
      </c>
      <c r="S32" s="30" t="s">
        <v>126</v>
      </c>
      <c r="T32" s="30">
        <v>5</v>
      </c>
      <c r="U32" s="30">
        <f>Tabelle2[[#This Row],[Bewertung]]*SUM(Tabelle2[[#This Row],[Boss]:[troll]])</f>
        <v>15</v>
      </c>
    </row>
    <row r="33" spans="2:21" s="6" customFormat="1" x14ac:dyDescent="0.2">
      <c r="C33" s="6" t="s">
        <v>117</v>
      </c>
      <c r="D33" s="6" t="s">
        <v>68</v>
      </c>
      <c r="E33" s="6" t="s">
        <v>118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0</v>
      </c>
      <c r="Q33" s="6">
        <v>0</v>
      </c>
      <c r="R33" s="6">
        <f>Tabelle2[[#This Row],[gold/stück]]*Tabelle2[[#This Row],[wunsch]]</f>
        <v>0</v>
      </c>
      <c r="S33" s="30" t="s">
        <v>126</v>
      </c>
      <c r="T33" s="30">
        <v>5</v>
      </c>
      <c r="U33" s="30">
        <f>Tabelle2[[#This Row],[Bewertung]]*SUM(Tabelle2[[#This Row],[Boss]:[troll]])</f>
        <v>0</v>
      </c>
    </row>
    <row r="34" spans="2:21" s="6" customFormat="1" x14ac:dyDescent="0.2">
      <c r="C34" s="6" t="s">
        <v>119</v>
      </c>
      <c r="D34" s="6" t="s">
        <v>53</v>
      </c>
      <c r="E34" s="18" t="s">
        <v>120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126</v>
      </c>
      <c r="T34" s="30">
        <v>3</v>
      </c>
      <c r="U34" s="30">
        <f>Tabelle2[[#This Row],[Bewertung]]*SUM(Tabelle2[[#This Row],[Boss]:[troll]])</f>
        <v>0</v>
      </c>
    </row>
    <row r="35" spans="2:21" s="6" customFormat="1" x14ac:dyDescent="0.2">
      <c r="C35" s="6" t="s">
        <v>121</v>
      </c>
      <c r="D35" s="6" t="s">
        <v>66</v>
      </c>
      <c r="F35" s="29" t="s">
        <v>108</v>
      </c>
      <c r="G35" s="6" t="s">
        <v>122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0</v>
      </c>
      <c r="Q35" s="6">
        <v>0</v>
      </c>
      <c r="R35" s="6">
        <f>Tabelle2[[#This Row],[gold/stück]]*Tabelle2[[#This Row],[wunsch]]</f>
        <v>0</v>
      </c>
      <c r="S35" s="30" t="s">
        <v>126</v>
      </c>
      <c r="T35" s="30">
        <v>9</v>
      </c>
      <c r="U35" s="30">
        <f>Tabelle2[[#This Row],[Bewertung]]*SUM(Tabelle2[[#This Row],[Boss]:[troll]])</f>
        <v>0</v>
      </c>
    </row>
    <row r="36" spans="2:21" s="6" customFormat="1" x14ac:dyDescent="0.2">
      <c r="C36" s="34" t="s">
        <v>123</v>
      </c>
      <c r="D36" s="34" t="s">
        <v>53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126</v>
      </c>
      <c r="T36" s="30">
        <v>5</v>
      </c>
      <c r="U36" s="30">
        <f>Tabelle2[[#This Row],[Bewertung]]*SUM(Tabelle2[[#This Row],[Boss]:[troll]])</f>
        <v>0</v>
      </c>
    </row>
    <row r="37" spans="2:21" s="6" customFormat="1" x14ac:dyDescent="0.2">
      <c r="C37" s="6" t="s">
        <v>6</v>
      </c>
      <c r="D37" s="6" t="s">
        <v>67</v>
      </c>
      <c r="F37" s="29"/>
      <c r="G37" s="6" t="s">
        <v>124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80</v>
      </c>
      <c r="Q37" s="6">
        <v>0</v>
      </c>
      <c r="R37" s="6">
        <f>Tabelle2[[#This Row],[gold/stück]]*Tabelle2[[#This Row],[wunsch]]</f>
        <v>0</v>
      </c>
      <c r="S37" s="30" t="s">
        <v>125</v>
      </c>
      <c r="T37" s="30">
        <v>8</v>
      </c>
      <c r="U37" s="30">
        <f>Tabelle2[[#This Row],[Bewertung]]*SUM(Tabelle2[[#This Row],[Boss]:[troll]])</f>
        <v>32</v>
      </c>
    </row>
    <row r="38" spans="2:21" s="6" customFormat="1" x14ac:dyDescent="0.2">
      <c r="C38" s="6" t="s">
        <v>8</v>
      </c>
      <c r="D38" s="34" t="s">
        <v>67</v>
      </c>
      <c r="E38" s="34"/>
      <c r="F38" s="35"/>
      <c r="G38" s="34" t="s">
        <v>136</v>
      </c>
      <c r="H38" s="6">
        <v>5</v>
      </c>
      <c r="I38" s="6">
        <v>1</v>
      </c>
      <c r="J38" s="6">
        <v>0</v>
      </c>
      <c r="K38" s="6">
        <v>1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25</v>
      </c>
      <c r="Q38" s="6">
        <v>0</v>
      </c>
      <c r="R38" s="6">
        <f>Tabelle2[[#This Row],[gold/stück]]*Tabelle2[[#This Row],[wunsch]]</f>
        <v>0</v>
      </c>
      <c r="S38" s="30" t="s">
        <v>138</v>
      </c>
      <c r="T38" s="30">
        <v>7</v>
      </c>
      <c r="U38" s="30">
        <f>Tabelle2[[#This Row],[Bewertung]]*SUM(Tabelle2[[#This Row],[Boss]:[troll]])</f>
        <v>35</v>
      </c>
    </row>
    <row r="39" spans="2:21" s="6" customFormat="1" x14ac:dyDescent="0.2">
      <c r="C39" s="34" t="s">
        <v>7</v>
      </c>
      <c r="D39" s="34" t="s">
        <v>67</v>
      </c>
      <c r="E39" s="34"/>
      <c r="F39" s="35"/>
      <c r="G39" s="34"/>
      <c r="H39" s="34">
        <v>10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10</v>
      </c>
      <c r="Q39" s="6">
        <v>0</v>
      </c>
      <c r="R39" s="6">
        <f>Tabelle2[[#This Row],[gold/stück]]*Tabelle2[[#This Row],[wunsch]]</f>
        <v>0</v>
      </c>
      <c r="S39" s="30" t="s">
        <v>138</v>
      </c>
      <c r="T39" s="30">
        <v>7</v>
      </c>
      <c r="U39" s="30">
        <f>Tabelle2[[#This Row],[Bewertung]]*SUM(Tabelle2[[#This Row],[Boss]:[troll]])</f>
        <v>7</v>
      </c>
    </row>
    <row r="40" spans="2:21" s="6" customFormat="1" ht="15.75" x14ac:dyDescent="0.25">
      <c r="B40"/>
      <c r="C40" s="34"/>
      <c r="D40" s="34"/>
      <c r="E40" s="34"/>
      <c r="F40" s="35"/>
      <c r="G40" s="34"/>
      <c r="H40" s="34"/>
      <c r="I40" s="3">
        <f>I22*$H22+I23*$H23+I24*$H24+I25*$H25+I26*$H26+I27*$H27+I28*$H28+I29*$H29+I30*$H30+I31*$H31+I32*$H32+I33*$H33+I34*$H34+I35*$H35+I36*$H36+I37*$H37+I38*$H38+I39*$H39</f>
        <v>45</v>
      </c>
      <c r="J40" s="3">
        <f>J22*$H22+J23*$H23+J24*$H24+J25*$H25+J26*$H26+J27*$H27+J28*$H28+J29*$H29+J30*$H30+J31*$H31+J32*$H32+J33*$H33+J34*$H34+J35*$H35+J36*$H36+J37*$H37+J38*$H38+J39*$H39</f>
        <v>5</v>
      </c>
      <c r="K40" s="3">
        <f>K22*$H22+K23*$H23+K24*$H24+K25*$H25+K26*$H26+K27*$H27+K28*$H28+K29*$H29+K30*$H30+K31*$H31+K32*$H32+K33*$H33+K34*$H34+K35*$H35+K36*$H36+K37*$H37+K38*$H38+K39*$H39</f>
        <v>135</v>
      </c>
      <c r="L40" s="3">
        <f t="shared" ref="L40:O40" si="1">L22*$H22+L23*$H23+L24*$H24+L25*$H25+L26*$H26+L27*$H27+L28*$H28+L29*$H29+L30*$H30+L31*$H31+L32*$H32+L33*$H33+L34*$H34+L35*$H35+L36*$H36+L37*$H37+L38*$H38+L39*$H39</f>
        <v>30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215</v>
      </c>
      <c r="Q40" s="34"/>
      <c r="R40" s="37">
        <f>SUM(Tabelle2[zusatzkosten])</f>
        <v>0</v>
      </c>
      <c r="S40" s="36"/>
      <c r="T40" s="6" t="s">
        <v>149</v>
      </c>
      <c r="U40" s="2">
        <f>SUM(Tabelle2[Warband Equip Rating])</f>
        <v>145</v>
      </c>
    </row>
    <row r="41" spans="2:21" s="6" customFormat="1" x14ac:dyDescent="0.2">
      <c r="F41" s="29"/>
      <c r="S41" s="30"/>
      <c r="T41" s="6" t="s">
        <v>147</v>
      </c>
      <c r="U41" s="6">
        <f>SUM(U22:U36)</f>
        <v>71</v>
      </c>
    </row>
    <row r="42" spans="2:21" s="6" customFormat="1" x14ac:dyDescent="0.2">
      <c r="F42" s="29"/>
      <c r="S42" s="30"/>
      <c r="T42" s="6" t="s">
        <v>148</v>
      </c>
      <c r="U42" s="6">
        <f>SUM(U37:U39)</f>
        <v>74</v>
      </c>
    </row>
    <row r="43" spans="2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2:21" s="6" customFormat="1" ht="15.75" x14ac:dyDescent="0.25">
      <c r="C44"/>
      <c r="H44"/>
      <c r="I44" s="4"/>
      <c r="J44" s="4"/>
      <c r="K44" s="4"/>
      <c r="L44" s="4"/>
      <c r="M44" s="4"/>
      <c r="N44" s="4"/>
      <c r="O44" s="4"/>
      <c r="P44" s="2"/>
    </row>
    <row r="45" spans="2:21" s="6" customFormat="1" x14ac:dyDescent="0.2">
      <c r="G45"/>
    </row>
    <row r="46" spans="2:21" s="6" customFormat="1" x14ac:dyDescent="0.2"/>
    <row r="47" spans="2:21" s="6" customFormat="1" x14ac:dyDescent="0.2"/>
    <row r="48" spans="2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C58"/>
      <c r="D58"/>
      <c r="F58"/>
      <c r="G58"/>
      <c r="H58"/>
      <c r="I58"/>
      <c r="P58"/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>
      <c r="C110"/>
      <c r="D110"/>
      <c r="F110"/>
      <c r="G110"/>
      <c r="H110"/>
      <c r="I110"/>
      <c r="P110"/>
    </row>
    <row r="111" spans="3:16" s="6" customFormat="1" x14ac:dyDescent="0.2">
      <c r="C111"/>
      <c r="D111"/>
      <c r="F111"/>
      <c r="G111"/>
      <c r="H111"/>
      <c r="I111"/>
      <c r="P111"/>
    </row>
    <row r="112" spans="3:16" s="6" customFormat="1" x14ac:dyDescent="0.2">
      <c r="C112"/>
      <c r="D112"/>
      <c r="F112"/>
      <c r="G112"/>
      <c r="H112"/>
      <c r="I112"/>
      <c r="P112"/>
    </row>
    <row r="113" spans="3:16" s="6" customFormat="1" x14ac:dyDescent="0.2">
      <c r="C113"/>
      <c r="D113"/>
      <c r="F113"/>
      <c r="G113"/>
      <c r="H113"/>
      <c r="I113"/>
      <c r="P113"/>
    </row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20:K20"/>
    <mergeCell ref="L20:O20"/>
    <mergeCell ref="I19:O19"/>
  </mergeCells>
  <conditionalFormatting sqref="C6">
    <cfRule type="cellIs" dxfId="29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28" priority="7" operator="greaterThan">
      <formula>0</formula>
    </cfRule>
  </conditionalFormatting>
  <conditionalFormatting sqref="J22:O22">
    <cfRule type="cellIs" dxfId="27" priority="6" operator="greaterThan">
      <formula>0</formula>
    </cfRule>
  </conditionalFormatting>
  <conditionalFormatting sqref="I23:I39">
    <cfRule type="cellIs" dxfId="26" priority="5" operator="greaterThan">
      <formula>0</formula>
    </cfRule>
  </conditionalFormatting>
  <conditionalFormatting sqref="J23:O39">
    <cfRule type="cellIs" dxfId="25" priority="4" operator="greaterThan">
      <formula>0</formula>
    </cfRule>
  </conditionalFormatting>
  <conditionalFormatting sqref="I22:O39">
    <cfRule type="cellIs" dxfId="24" priority="3" operator="greaterThan">
      <formula>0</formula>
    </cfRule>
  </conditionalFormatting>
  <conditionalFormatting sqref="E11:E17">
    <cfRule type="cellIs" dxfId="23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opLeftCell="B1" workbookViewId="0">
      <selection activeCell="J27" sqref="J27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6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47</v>
      </c>
    </row>
    <row r="3" spans="2:12" ht="15.75" x14ac:dyDescent="0.25">
      <c r="C3" s="41" t="s">
        <v>51</v>
      </c>
      <c r="D3" s="41"/>
      <c r="E3" s="41"/>
      <c r="F3" s="41"/>
      <c r="G3" s="41" t="s">
        <v>52</v>
      </c>
      <c r="H3" s="41"/>
      <c r="I3" s="41"/>
    </row>
    <row r="4" spans="2:12" x14ac:dyDescent="0.2">
      <c r="B4" s="13"/>
      <c r="C4" s="12" t="str">
        <f>Member!C11</f>
        <v>ork boss (1)</v>
      </c>
      <c r="D4" s="12" t="str">
        <f>Member!C12</f>
        <v>schamane (0-1)</v>
      </c>
      <c r="E4" s="12" t="str">
        <f>Member!C13</f>
        <v>big'uns (0-3)</v>
      </c>
      <c r="F4" s="12" t="str">
        <f>Member!C14</f>
        <v>goblin warrior (max 2x anz boyz)</v>
      </c>
      <c r="G4" s="12" t="str">
        <f>Member!C15</f>
        <v>cave squig</v>
      </c>
      <c r="H4" s="12" t="str">
        <f>Member!C16</f>
        <v>ork boy</v>
      </c>
      <c r="I4" s="12" t="str">
        <f>Member!C17</f>
        <v>troll</v>
      </c>
      <c r="K4" s="40" t="s">
        <v>48</v>
      </c>
      <c r="L4" s="40"/>
    </row>
    <row r="5" spans="2:12" x14ac:dyDescent="0.2">
      <c r="B5" s="14" t="s">
        <v>28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51</v>
      </c>
      <c r="L5" s="24" t="s">
        <v>52</v>
      </c>
    </row>
    <row r="6" spans="2:12" x14ac:dyDescent="0.2">
      <c r="B6" s="14" t="s">
        <v>29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30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31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32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33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34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35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36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38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>$L6*F6/F$24</f>
        <v>0.93333333333333335</v>
      </c>
      <c r="G15" s="31">
        <f>$L6*G6/G$24</f>
        <v>1.8666666666666667</v>
      </c>
      <c r="H15" s="31">
        <f>$L6*H6/H$24</f>
        <v>0.84</v>
      </c>
      <c r="I15" s="31">
        <f>$L6*I6/I$24</f>
        <v>0.105</v>
      </c>
    </row>
    <row r="16" spans="2:12" x14ac:dyDescent="0.2">
      <c r="B16" s="15" t="s">
        <v>39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ref="F16:F22" si="2">$L7*F7/F$24</f>
        <v>1.4</v>
      </c>
      <c r="G16" s="31">
        <f t="shared" ref="G16:I22" si="3">$L7*G7/G$24</f>
        <v>0</v>
      </c>
      <c r="H16" s="31">
        <f t="shared" si="3"/>
        <v>0.84</v>
      </c>
      <c r="I16" s="31">
        <f t="shared" si="3"/>
        <v>3.5000000000000003E-2</v>
      </c>
    </row>
    <row r="17" spans="2:10" x14ac:dyDescent="0.2">
      <c r="B17" s="15" t="s">
        <v>40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3"/>
        <v>1.3333333333333333</v>
      </c>
      <c r="H17" s="31">
        <f t="shared" si="3"/>
        <v>0.6</v>
      </c>
      <c r="I17" s="31">
        <f t="shared" si="3"/>
        <v>0.125</v>
      </c>
    </row>
    <row r="18" spans="2:10" x14ac:dyDescent="0.2">
      <c r="B18" s="15" t="s">
        <v>41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3"/>
        <v>1</v>
      </c>
      <c r="H18" s="31">
        <f t="shared" si="3"/>
        <v>0.8</v>
      </c>
      <c r="I18" s="31">
        <f t="shared" si="3"/>
        <v>0.1</v>
      </c>
    </row>
    <row r="19" spans="2:10" x14ac:dyDescent="0.2">
      <c r="B19" s="15" t="s">
        <v>42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3"/>
        <v>0</v>
      </c>
      <c r="H19" s="31">
        <f t="shared" si="3"/>
        <v>0</v>
      </c>
      <c r="I19" s="31">
        <f t="shared" si="3"/>
        <v>0</v>
      </c>
    </row>
    <row r="20" spans="2:10" x14ac:dyDescent="0.2">
      <c r="B20" s="15" t="s">
        <v>43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3"/>
        <v>0.26666666666666666</v>
      </c>
      <c r="H20" s="31">
        <f t="shared" si="3"/>
        <v>0.08</v>
      </c>
      <c r="I20" s="31">
        <f t="shared" si="3"/>
        <v>5.0000000000000001E-3</v>
      </c>
    </row>
    <row r="21" spans="2:10" x14ac:dyDescent="0.2">
      <c r="B21" s="15" t="s">
        <v>44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3.3333333333333333E-2</v>
      </c>
      <c r="G21" s="31">
        <f t="shared" si="3"/>
        <v>3.3333333333333333E-2</v>
      </c>
      <c r="H21" s="31">
        <f t="shared" si="3"/>
        <v>0.02</v>
      </c>
      <c r="I21" s="31">
        <f t="shared" si="3"/>
        <v>7.4999999999999997E-3</v>
      </c>
    </row>
    <row r="22" spans="2:10" x14ac:dyDescent="0.2">
      <c r="B22" s="15" t="s">
        <v>45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0.16666666666666666</v>
      </c>
      <c r="G22" s="31">
        <f t="shared" si="3"/>
        <v>0.16666666666666666</v>
      </c>
      <c r="H22" s="31">
        <f t="shared" si="3"/>
        <v>0.14000000000000001</v>
      </c>
      <c r="I22" s="31">
        <f t="shared" si="3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46</v>
      </c>
      <c r="C24" s="11">
        <f>Member!D11</f>
        <v>80</v>
      </c>
      <c r="D24" s="11">
        <f>Member!D12</f>
        <v>40</v>
      </c>
      <c r="E24" s="11">
        <f>Member!D13</f>
        <v>40</v>
      </c>
      <c r="F24" s="11">
        <f>Member!D14</f>
        <v>15</v>
      </c>
      <c r="G24" s="11">
        <f>Member!D15</f>
        <v>15</v>
      </c>
      <c r="H24" s="11">
        <f>Member!D16</f>
        <v>25</v>
      </c>
      <c r="I24" s="11">
        <f>Member!D17</f>
        <v>200</v>
      </c>
      <c r="J24" s="6"/>
    </row>
    <row r="26" spans="2:10" x14ac:dyDescent="0.2">
      <c r="C26" s="31">
        <f>SUM(C15:C22)</f>
        <v>2.0999999999999996</v>
      </c>
      <c r="D26" s="31">
        <f t="shared" ref="D26:I26" si="4">SUM(D15:D22)</f>
        <v>3.4750000000000001</v>
      </c>
      <c r="E26" s="31">
        <f t="shared" si="4"/>
        <v>3.7250000000000001</v>
      </c>
      <c r="F26" s="31">
        <f t="shared" si="4"/>
        <v>4.7333333333333334</v>
      </c>
      <c r="G26" s="31">
        <f t="shared" si="4"/>
        <v>4.666666666666667</v>
      </c>
      <c r="H26" s="31">
        <f t="shared" si="4"/>
        <v>3.3200000000000003</v>
      </c>
      <c r="I26" s="31">
        <f t="shared" si="4"/>
        <v>0.38750000000000001</v>
      </c>
    </row>
    <row r="27" spans="2:10" x14ac:dyDescent="0.2">
      <c r="C27">
        <f>Member!$E11*'Characteristik analyse'!C26</f>
        <v>2.0999999999999996</v>
      </c>
      <c r="D27" s="6">
        <f>Member!$E12*'Characteristik analyse'!D26</f>
        <v>3.4750000000000001</v>
      </c>
      <c r="E27" s="6">
        <f>Member!$E13*'Characteristik analyse'!E26</f>
        <v>11.175000000000001</v>
      </c>
      <c r="F27" s="6">
        <f>Member!$E14*'Characteristik analyse'!F26</f>
        <v>14.2</v>
      </c>
      <c r="G27" s="6">
        <f>Member!$E15*'Characteristik analyse'!G26</f>
        <v>0</v>
      </c>
      <c r="H27" s="6">
        <f>Member!$E16*'Characteristik analyse'!H26</f>
        <v>0</v>
      </c>
      <c r="I27" s="6">
        <f>Member!$E17*'Characteristik analyse'!I26</f>
        <v>0</v>
      </c>
      <c r="J27" s="1">
        <f>SUM(C27:I27)</f>
        <v>30.95</v>
      </c>
    </row>
  </sheetData>
  <mergeCells count="3">
    <mergeCell ref="K4:L4"/>
    <mergeCell ref="G3:I3"/>
    <mergeCell ref="C3:F3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8"/>
  <sheetViews>
    <sheetView tabSelected="1" workbookViewId="0">
      <selection activeCell="F9" sqref="F9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23.85546875" bestFit="1" customWidth="1"/>
    <col min="5" max="5" width="9.140625" customWidth="1"/>
    <col min="6" max="6" width="17.140625" customWidth="1"/>
    <col min="7" max="7" width="19.140625" customWidth="1"/>
    <col min="8" max="8" width="22.42578125" bestFit="1" customWidth="1"/>
  </cols>
  <sheetData>
    <row r="3" spans="2:8" x14ac:dyDescent="0.2">
      <c r="B3" s="1" t="s">
        <v>22</v>
      </c>
      <c r="C3" s="3" t="s">
        <v>62</v>
      </c>
      <c r="D3" s="1" t="s">
        <v>23</v>
      </c>
      <c r="E3" s="3" t="s">
        <v>50</v>
      </c>
      <c r="F3" s="3" t="s">
        <v>59</v>
      </c>
      <c r="G3" s="3" t="s">
        <v>89</v>
      </c>
      <c r="H3" s="3" t="s">
        <v>91</v>
      </c>
    </row>
    <row r="4" spans="2:8" x14ac:dyDescent="0.2">
      <c r="B4" s="7" t="s">
        <v>86</v>
      </c>
      <c r="C4" s="8">
        <v>6.3</v>
      </c>
      <c r="D4" s="6" t="s">
        <v>21</v>
      </c>
      <c r="E4" s="8">
        <f>C4/1</f>
        <v>6.3</v>
      </c>
      <c r="F4">
        <v>0</v>
      </c>
      <c r="G4" s="8">
        <f t="shared" ref="G4:G17" si="0">F4*E4</f>
        <v>0</v>
      </c>
      <c r="H4" s="32">
        <f>Tabelle4[[#This Row],[€ genutzt/Packung]]/Tabelle4[[#This Row],[€/Packung]]</f>
        <v>0</v>
      </c>
    </row>
    <row r="5" spans="2:8" x14ac:dyDescent="0.2">
      <c r="B5" s="7" t="s">
        <v>85</v>
      </c>
      <c r="C5" s="8">
        <v>10.71</v>
      </c>
      <c r="D5" s="6" t="s">
        <v>20</v>
      </c>
      <c r="E5" s="8">
        <f>C5/1</f>
        <v>10.71</v>
      </c>
      <c r="F5">
        <v>0</v>
      </c>
      <c r="G5" s="8">
        <f t="shared" si="0"/>
        <v>0</v>
      </c>
      <c r="H5" s="32">
        <f>Tabelle4[[#This Row],[€ genutzt/Packung]]/Tabelle4[[#This Row],[€/Packung]]</f>
        <v>0</v>
      </c>
    </row>
    <row r="6" spans="2:8" x14ac:dyDescent="0.2">
      <c r="B6" s="7" t="s">
        <v>84</v>
      </c>
      <c r="C6" s="8">
        <v>8.9499999999999993</v>
      </c>
      <c r="D6" s="6" t="s">
        <v>24</v>
      </c>
      <c r="E6" s="8">
        <f>C6/3</f>
        <v>2.9833333333333329</v>
      </c>
      <c r="F6">
        <v>0</v>
      </c>
      <c r="G6" s="8">
        <f t="shared" si="0"/>
        <v>0</v>
      </c>
      <c r="H6" s="32">
        <f>Tabelle4[[#This Row],[€ genutzt/Packung]]/Tabelle4[[#This Row],[€/Packung]]</f>
        <v>0</v>
      </c>
    </row>
    <row r="7" spans="2:8" x14ac:dyDescent="0.2">
      <c r="B7" s="7" t="s">
        <v>83</v>
      </c>
      <c r="C7" s="8">
        <v>9.4499999999999993</v>
      </c>
      <c r="D7" s="6" t="s">
        <v>25</v>
      </c>
      <c r="E7" s="8">
        <f>C7/3</f>
        <v>3.15</v>
      </c>
      <c r="F7">
        <v>3</v>
      </c>
      <c r="G7" s="8">
        <f t="shared" si="0"/>
        <v>9.4499999999999993</v>
      </c>
      <c r="H7" s="32">
        <f>Tabelle4[[#This Row],[€ genutzt/Packung]]/Tabelle4[[#This Row],[€/Packung]]</f>
        <v>1</v>
      </c>
    </row>
    <row r="8" spans="2:8" x14ac:dyDescent="0.2">
      <c r="B8" s="7" t="s">
        <v>82</v>
      </c>
      <c r="C8" s="8">
        <v>11.99</v>
      </c>
      <c r="D8" s="6" t="s">
        <v>19</v>
      </c>
      <c r="E8" s="8">
        <f>C8/1</f>
        <v>11.99</v>
      </c>
      <c r="F8">
        <v>0</v>
      </c>
      <c r="G8" s="8">
        <f t="shared" si="0"/>
        <v>0</v>
      </c>
      <c r="H8" s="32">
        <f>Tabelle4[[#This Row],[€ genutzt/Packung]]/Tabelle4[[#This Row],[€/Packung]]</f>
        <v>0</v>
      </c>
    </row>
    <row r="9" spans="2:8" x14ac:dyDescent="0.2">
      <c r="B9" s="7" t="s">
        <v>81</v>
      </c>
      <c r="C9" s="8">
        <v>10.36</v>
      </c>
      <c r="D9" t="s">
        <v>53</v>
      </c>
      <c r="E9" s="8">
        <f>C9/1</f>
        <v>10.36</v>
      </c>
      <c r="F9">
        <v>1</v>
      </c>
      <c r="G9" s="8">
        <f t="shared" si="0"/>
        <v>10.36</v>
      </c>
      <c r="H9" s="32">
        <f>Tabelle4[[#This Row],[€ genutzt/Packung]]/Tabelle4[[#This Row],[€/Packung]]</f>
        <v>1</v>
      </c>
    </row>
    <row r="10" spans="2:8" x14ac:dyDescent="0.2">
      <c r="B10" s="7" t="s">
        <v>80</v>
      </c>
      <c r="C10" s="8">
        <v>35.200000000000003</v>
      </c>
      <c r="D10" t="s">
        <v>55</v>
      </c>
      <c r="E10" s="8">
        <f>C10/20</f>
        <v>1.7600000000000002</v>
      </c>
      <c r="F10">
        <v>0</v>
      </c>
      <c r="G10" s="8">
        <f t="shared" si="0"/>
        <v>0</v>
      </c>
      <c r="H10" s="32">
        <f>Tabelle4[[#This Row],[€ genutzt/Packung]]/Tabelle4[[#This Row],[€/Packung]]</f>
        <v>0</v>
      </c>
    </row>
    <row r="11" spans="2:8" x14ac:dyDescent="0.2">
      <c r="B11" s="7" t="s">
        <v>79</v>
      </c>
      <c r="C11" s="8">
        <v>21.49</v>
      </c>
      <c r="D11" t="s">
        <v>54</v>
      </c>
      <c r="E11" s="8">
        <f>C11/10</f>
        <v>2.149</v>
      </c>
      <c r="F11">
        <v>0</v>
      </c>
      <c r="G11" s="8">
        <f t="shared" si="0"/>
        <v>0</v>
      </c>
      <c r="H11" s="32">
        <f>Tabelle4[[#This Row],[€ genutzt/Packung]]/Tabelle4[[#This Row],[€/Packung]]</f>
        <v>0</v>
      </c>
    </row>
    <row r="12" spans="2:8" x14ac:dyDescent="0.2">
      <c r="B12" s="7" t="s">
        <v>78</v>
      </c>
      <c r="C12" s="8">
        <v>19.989999999999998</v>
      </c>
      <c r="D12" s="6" t="s">
        <v>56</v>
      </c>
      <c r="E12" s="8">
        <f>C12/10</f>
        <v>1.9989999999999999</v>
      </c>
      <c r="F12" s="6">
        <v>0</v>
      </c>
      <c r="G12" s="8">
        <f t="shared" si="0"/>
        <v>0</v>
      </c>
      <c r="H12" s="32">
        <f>Tabelle4[[#This Row],[€ genutzt/Packung]]/Tabelle4[[#This Row],[€/Packung]]</f>
        <v>0</v>
      </c>
    </row>
    <row r="13" spans="2:8" x14ac:dyDescent="0.2">
      <c r="B13" s="7" t="s">
        <v>77</v>
      </c>
      <c r="C13" s="8">
        <v>7.99</v>
      </c>
      <c r="D13" s="6" t="s">
        <v>57</v>
      </c>
      <c r="E13" s="8">
        <f>C13/1</f>
        <v>7.99</v>
      </c>
      <c r="F13" s="6">
        <v>0</v>
      </c>
      <c r="G13" s="8">
        <f t="shared" si="0"/>
        <v>0</v>
      </c>
      <c r="H13" s="32">
        <f>Tabelle4[[#This Row],[€ genutzt/Packung]]/Tabelle4[[#This Row],[€/Packung]]</f>
        <v>0</v>
      </c>
    </row>
    <row r="14" spans="2:8" x14ac:dyDescent="0.2">
      <c r="B14" s="7" t="s">
        <v>76</v>
      </c>
      <c r="C14" s="8">
        <v>19.989999999999998</v>
      </c>
      <c r="D14" s="6" t="s">
        <v>60</v>
      </c>
      <c r="E14" s="8">
        <f>C14/3</f>
        <v>6.6633333333333331</v>
      </c>
      <c r="F14" s="6">
        <v>0</v>
      </c>
      <c r="G14" s="8">
        <f t="shared" si="0"/>
        <v>0</v>
      </c>
      <c r="H14" s="32">
        <f>Tabelle4[[#This Row],[€ genutzt/Packung]]/Tabelle4[[#This Row],[€/Packung]]</f>
        <v>0</v>
      </c>
    </row>
    <row r="15" spans="2:8" x14ac:dyDescent="0.2">
      <c r="B15" s="7" t="s">
        <v>75</v>
      </c>
      <c r="C15" s="8">
        <v>11.99</v>
      </c>
      <c r="D15" s="6" t="s">
        <v>61</v>
      </c>
      <c r="E15" s="8">
        <f>C15/2</f>
        <v>5.9950000000000001</v>
      </c>
      <c r="F15" s="6">
        <v>0</v>
      </c>
      <c r="G15" s="8">
        <f t="shared" si="0"/>
        <v>0</v>
      </c>
      <c r="H15" s="32">
        <f>Tabelle4[[#This Row],[€ genutzt/Packung]]/Tabelle4[[#This Row],[€/Packung]]</f>
        <v>0</v>
      </c>
    </row>
    <row r="16" spans="2:8" x14ac:dyDescent="0.2">
      <c r="B16" s="7" t="s">
        <v>64</v>
      </c>
      <c r="C16" s="8">
        <v>19.989999999999998</v>
      </c>
      <c r="D16" s="6" t="s">
        <v>63</v>
      </c>
      <c r="E16" s="8">
        <f>C16/20</f>
        <v>0.99949999999999994</v>
      </c>
      <c r="F16" s="6">
        <v>0</v>
      </c>
      <c r="G16" s="8">
        <f t="shared" si="0"/>
        <v>0</v>
      </c>
      <c r="H16" s="32">
        <f>Tabelle4[[#This Row],[€ genutzt/Packung]]/Tabelle4[[#This Row],[€/Packung]]</f>
        <v>0</v>
      </c>
    </row>
    <row r="17" spans="2:8" s="6" customFormat="1" x14ac:dyDescent="0.2">
      <c r="B17" s="7" t="s">
        <v>87</v>
      </c>
      <c r="C17" s="8">
        <v>22.75</v>
      </c>
      <c r="D17" s="6" t="s">
        <v>88</v>
      </c>
      <c r="E17" s="8">
        <f>C17/10</f>
        <v>2.2749999999999999</v>
      </c>
      <c r="F17" s="6">
        <v>1</v>
      </c>
      <c r="G17" s="8">
        <f t="shared" si="0"/>
        <v>2.2749999999999999</v>
      </c>
      <c r="H17" s="32">
        <f>Tabelle4[[#This Row],[€ genutzt/Packung]]/Tabelle4[[#This Row],[€/Packung]]</f>
        <v>9.9999999999999992E-2</v>
      </c>
    </row>
    <row r="18" spans="2:8" x14ac:dyDescent="0.2">
      <c r="B18" s="1" t="s">
        <v>49</v>
      </c>
      <c r="C18" s="9">
        <f>SUM(C4:C17)</f>
        <v>217.15000000000003</v>
      </c>
      <c r="F18" s="1" t="s">
        <v>58</v>
      </c>
      <c r="G18" s="9">
        <f>SUM(G4:G17)</f>
        <v>22.084999999999997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Member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2018-08-20T13:02:44Z</dcterms:created>
  <dcterms:modified xsi:type="dcterms:W3CDTF">2018-08-29T20:08:41Z</dcterms:modified>
</cp:coreProperties>
</file>