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versité\GitHub\Meta-analyse\"/>
    </mc:Choice>
  </mc:AlternateContent>
  <bookViews>
    <workbookView xWindow="0" yWindow="0" windowWidth="7470" windowHeight="2160"/>
  </bookViews>
  <sheets>
    <sheet name="Metadata" sheetId="3" r:id="rId1"/>
    <sheet name="Data" sheetId="1" r:id="rId2"/>
    <sheet name="Referenc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N39" i="1"/>
  <c r="N38" i="1"/>
  <c r="N37" i="1"/>
  <c r="M40" i="1"/>
  <c r="M37" i="1"/>
  <c r="M30" i="1"/>
  <c r="M39" i="1" l="1"/>
  <c r="M38" i="1"/>
  <c r="M36" i="1"/>
  <c r="P32" i="1"/>
  <c r="P31" i="1"/>
  <c r="P30" i="1"/>
  <c r="P29" i="1"/>
  <c r="O33" i="1"/>
  <c r="O32" i="1"/>
  <c r="O31" i="1"/>
  <c r="O30" i="1"/>
  <c r="O29" i="1"/>
  <c r="N32" i="1"/>
  <c r="N31" i="1"/>
  <c r="N30" i="1"/>
  <c r="N29" i="1"/>
  <c r="M33" i="1"/>
  <c r="M32" i="1"/>
  <c r="M31" i="1"/>
  <c r="M29" i="1"/>
  <c r="L5" i="1" l="1"/>
  <c r="L10" i="1"/>
  <c r="L18" i="1"/>
  <c r="J19" i="1"/>
  <c r="J20" i="1"/>
  <c r="J21" i="1"/>
  <c r="J22" i="1"/>
  <c r="J18" i="1"/>
  <c r="N18" i="1" s="1"/>
  <c r="F19" i="1"/>
  <c r="F20" i="1"/>
  <c r="F21" i="1"/>
  <c r="F22" i="1"/>
  <c r="F18" i="1"/>
  <c r="T12" i="1"/>
  <c r="W12" i="1"/>
  <c r="X13" i="1"/>
  <c r="N23" i="1"/>
  <c r="V23" i="1" s="1"/>
  <c r="V22" i="1"/>
  <c r="N15" i="1"/>
  <c r="V15" i="1" s="1"/>
  <c r="V14" i="1"/>
  <c r="L14" i="1"/>
  <c r="M14" i="1" s="1"/>
  <c r="N13" i="1"/>
  <c r="V13" i="1" s="1"/>
  <c r="M13" i="1"/>
  <c r="L13" i="1"/>
  <c r="N11" i="1"/>
  <c r="V11" i="1" s="1"/>
  <c r="M11" i="1"/>
  <c r="L11" i="1"/>
  <c r="N10" i="1"/>
  <c r="AA6" i="1"/>
  <c r="AA5" i="1"/>
  <c r="AA4" i="1"/>
  <c r="AA3" i="1"/>
  <c r="AA2" i="1"/>
  <c r="Z6" i="1"/>
  <c r="Z5" i="1"/>
  <c r="Z4" i="1"/>
  <c r="Z3" i="1"/>
  <c r="Z2" i="1"/>
  <c r="Y6" i="1"/>
  <c r="Y5" i="1"/>
  <c r="Y4" i="1"/>
  <c r="Y3" i="1"/>
  <c r="Y2" i="1"/>
  <c r="X7" i="1"/>
  <c r="X5" i="1"/>
  <c r="X4" i="1"/>
  <c r="X3" i="1"/>
  <c r="X2" i="1"/>
  <c r="W6" i="1"/>
  <c r="W5" i="1"/>
  <c r="W4" i="1"/>
  <c r="W3" i="1"/>
  <c r="W2" i="1"/>
  <c r="U6" i="1"/>
  <c r="U5" i="1"/>
  <c r="U4" i="1"/>
  <c r="U3" i="1"/>
  <c r="U2" i="1"/>
  <c r="Q7" i="1"/>
  <c r="Q5" i="1"/>
  <c r="Q4" i="1"/>
  <c r="Q3" i="1"/>
  <c r="Q2" i="1"/>
  <c r="P6" i="1"/>
  <c r="P5" i="1"/>
  <c r="P4" i="1"/>
  <c r="P3" i="1"/>
  <c r="O3" i="1"/>
  <c r="O2" i="1"/>
  <c r="P2" i="1"/>
  <c r="O6" i="1"/>
  <c r="O5" i="1"/>
  <c r="O4" i="1"/>
  <c r="J11" i="1"/>
  <c r="J13" i="1"/>
  <c r="J14" i="1"/>
  <c r="J10" i="1"/>
  <c r="F11" i="1"/>
  <c r="F12" i="1"/>
  <c r="F13" i="1"/>
  <c r="F14" i="1"/>
  <c r="F10" i="1"/>
  <c r="L21" i="1"/>
  <c r="L19" i="1"/>
  <c r="D2" i="1"/>
  <c r="E2" i="1" s="1"/>
  <c r="J2" i="1"/>
  <c r="C3" i="1"/>
  <c r="E3" i="1"/>
  <c r="F3" i="1" s="1"/>
  <c r="G3" i="1"/>
  <c r="I3" i="1"/>
  <c r="J3" i="1" s="1"/>
  <c r="K3" i="1"/>
  <c r="D4" i="1"/>
  <c r="C4" i="1" s="1"/>
  <c r="G4" i="1"/>
  <c r="B5" i="1"/>
  <c r="D5" i="1" s="1"/>
  <c r="E5" i="1" s="1"/>
  <c r="F5" i="1" s="1"/>
  <c r="J5" i="1"/>
  <c r="K5" i="1"/>
  <c r="B6" i="1"/>
  <c r="D6" i="1" s="1"/>
  <c r="E6" i="1" s="1"/>
  <c r="F6" i="1" s="1"/>
  <c r="J6" i="1"/>
  <c r="K6" i="1"/>
  <c r="V6" i="1"/>
  <c r="N7" i="1"/>
  <c r="V7" i="1" s="1"/>
  <c r="L22" i="1" l="1"/>
  <c r="M22" i="1" s="1"/>
  <c r="M21" i="1"/>
  <c r="T21" i="1" s="1"/>
  <c r="N21" i="1"/>
  <c r="V21" i="1" s="1"/>
  <c r="N19" i="1"/>
  <c r="V19" i="1" s="1"/>
  <c r="M19" i="1"/>
  <c r="T19" i="1" s="1"/>
  <c r="V18" i="1"/>
  <c r="T22" i="1"/>
  <c r="M18" i="1"/>
  <c r="L20" i="1"/>
  <c r="T14" i="1"/>
  <c r="V10" i="1"/>
  <c r="T11" i="1"/>
  <c r="T13" i="1"/>
  <c r="M10" i="1"/>
  <c r="L12" i="1"/>
  <c r="E4" i="1"/>
  <c r="F2" i="1"/>
  <c r="L2" i="1" s="1"/>
  <c r="M2" i="1" s="1"/>
  <c r="L3" i="1"/>
  <c r="N2" i="1"/>
  <c r="G6" i="1"/>
  <c r="L6" i="1"/>
  <c r="M6" i="1" s="1"/>
  <c r="M3" i="1"/>
  <c r="G5" i="1"/>
  <c r="F4" i="1"/>
  <c r="T18" i="1" l="1"/>
  <c r="N20" i="1"/>
  <c r="M20" i="1"/>
  <c r="N12" i="1"/>
  <c r="M12" i="1"/>
  <c r="T10" i="1"/>
  <c r="O10" i="1"/>
  <c r="N3" i="1"/>
  <c r="L4" i="1"/>
  <c r="M4" i="1" s="1"/>
  <c r="T3" i="1"/>
  <c r="T2" i="1"/>
  <c r="V3" i="1"/>
  <c r="T6" i="1"/>
  <c r="M5" i="1"/>
  <c r="N5" i="1"/>
  <c r="V2" i="1"/>
  <c r="T20" i="1" l="1"/>
  <c r="O20" i="1"/>
  <c r="O19" i="1"/>
  <c r="O21" i="1"/>
  <c r="O22" i="1"/>
  <c r="O18" i="1"/>
  <c r="V20" i="1"/>
  <c r="AA18" i="1" s="1"/>
  <c r="Q19" i="1"/>
  <c r="Q20" i="1"/>
  <c r="P20" i="1"/>
  <c r="P22" i="1"/>
  <c r="Q21" i="1"/>
  <c r="P18" i="1"/>
  <c r="Q18" i="1"/>
  <c r="Q23" i="1"/>
  <c r="P19" i="1"/>
  <c r="P21" i="1"/>
  <c r="U18" i="1"/>
  <c r="O12" i="1"/>
  <c r="O11" i="1"/>
  <c r="O13" i="1"/>
  <c r="O14" i="1"/>
  <c r="Y10" i="1"/>
  <c r="U10" i="1"/>
  <c r="AA10" i="1"/>
  <c r="V12" i="1"/>
  <c r="P12" i="1"/>
  <c r="P14" i="1"/>
  <c r="Q13" i="1"/>
  <c r="Q12" i="1"/>
  <c r="Q11" i="1"/>
  <c r="P11" i="1"/>
  <c r="P10" i="1"/>
  <c r="Q15" i="1"/>
  <c r="P13" i="1"/>
  <c r="Q10" i="1"/>
  <c r="N4" i="1"/>
  <c r="T5" i="1"/>
  <c r="T4" i="1"/>
  <c r="V5" i="1"/>
  <c r="V4" i="1"/>
  <c r="Y18" i="1" l="1"/>
  <c r="X20" i="1"/>
  <c r="Z20" i="1"/>
  <c r="W20" i="1"/>
  <c r="W22" i="1"/>
  <c r="X23" i="1"/>
  <c r="X21" i="1"/>
  <c r="X19" i="1"/>
  <c r="W21" i="1"/>
  <c r="W19" i="1"/>
  <c r="X18" i="1"/>
  <c r="W18" i="1"/>
  <c r="Y20" i="1"/>
  <c r="U20" i="1"/>
  <c r="AA20" i="1"/>
  <c r="Z21" i="1"/>
  <c r="Z19" i="1"/>
  <c r="Y21" i="1"/>
  <c r="U21" i="1"/>
  <c r="Z22" i="1"/>
  <c r="AA21" i="1"/>
  <c r="Z18" i="1"/>
  <c r="Y19" i="1"/>
  <c r="Y22" i="1"/>
  <c r="U19" i="1"/>
  <c r="AA22" i="1"/>
  <c r="AA19" i="1"/>
  <c r="U22" i="1"/>
  <c r="X12" i="1"/>
  <c r="Z12" i="1"/>
  <c r="W14" i="1"/>
  <c r="X11" i="1"/>
  <c r="W13" i="1"/>
  <c r="W11" i="1"/>
  <c r="X15" i="1"/>
  <c r="X10" i="1"/>
  <c r="W10" i="1"/>
  <c r="AA12" i="1"/>
  <c r="Y12" i="1"/>
  <c r="U12" i="1"/>
  <c r="Z11" i="1"/>
  <c r="Z14" i="1"/>
  <c r="Z13" i="1"/>
  <c r="AA11" i="1"/>
  <c r="U13" i="1"/>
  <c r="AA14" i="1"/>
  <c r="Y11" i="1"/>
  <c r="AA13" i="1"/>
  <c r="Y14" i="1"/>
  <c r="U11" i="1"/>
  <c r="Z10" i="1"/>
  <c r="Y13" i="1"/>
  <c r="U14" i="1"/>
</calcChain>
</file>

<file path=xl/comments1.xml><?xml version="1.0" encoding="utf-8"?>
<comments xmlns="http://schemas.openxmlformats.org/spreadsheetml/2006/main">
  <authors>
    <author>Utilisateur</author>
  </authors>
  <commentList>
    <comment ref="R2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  <comment ref="S19" authorId="0" shapeId="0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Same as All Lakes
</t>
        </r>
      </text>
    </comment>
  </commentList>
</comments>
</file>

<file path=xl/sharedStrings.xml><?xml version="1.0" encoding="utf-8"?>
<sst xmlns="http://schemas.openxmlformats.org/spreadsheetml/2006/main" count="204" uniqueCount="96">
  <si>
    <t>Area (km²)</t>
  </si>
  <si>
    <t>Depth (km)</t>
  </si>
  <si>
    <t>Volume (km³)</t>
  </si>
  <si>
    <t>Volume (m³)</t>
  </si>
  <si>
    <t>Volume (L)</t>
  </si>
  <si>
    <t>Concentration (mg/L)</t>
  </si>
  <si>
    <t>Concentration (µM)</t>
  </si>
  <si>
    <t>Concentration (M)</t>
  </si>
  <si>
    <t>Bulk DOC (mol)</t>
  </si>
  <si>
    <t>Bulk LDOC (mol)</t>
  </si>
  <si>
    <t>Bulk SLDOC (mol)</t>
  </si>
  <si>
    <t>%LDOC</t>
  </si>
  <si>
    <t>%SLDOC this study</t>
  </si>
  <si>
    <t>%SLDOC Hansell</t>
  </si>
  <si>
    <t>BGE LDOC</t>
  </si>
  <si>
    <t>Biomass supported (LDOC)</t>
  </si>
  <si>
    <t>%Biomass-LDOC</t>
  </si>
  <si>
    <t>Biomass supported (SLDOC)</t>
  </si>
  <si>
    <t>%Biomass-SLDOC (this study)</t>
  </si>
  <si>
    <t>%Biomass-SLDOC (Hansell 2013)</t>
  </si>
  <si>
    <t>%Biomass LDOC (vs all)</t>
  </si>
  <si>
    <t>%Biomass SLDOC (vs all)</t>
  </si>
  <si>
    <t xml:space="preserve">%Biomass (LDOC + SLDOC) </t>
  </si>
  <si>
    <t>Large lakes</t>
  </si>
  <si>
    <t>Small lakes</t>
  </si>
  <si>
    <t>All lakes</t>
  </si>
  <si>
    <t>Coasts (global) first 30m</t>
  </si>
  <si>
    <t>Open ocean; first 100 m (this study)</t>
  </si>
  <si>
    <t>Open ocean; first 100 m (Hansell 2013)</t>
  </si>
  <si>
    <t>AVERAGE</t>
  </si>
  <si>
    <t>BGE (±)</t>
  </si>
  <si>
    <t>Concentration ( ±)</t>
  </si>
  <si>
    <t>Volume (±)</t>
  </si>
  <si>
    <r>
      <t>Biddanda, B. A., &amp; Cotner, J. B. (2002). Love handles in aquatic ecosystems: the role of dissolved organic carbon drawdown, resuspended sediments, and terrigenous inputs in the carbon balance of Lake Michigan. </t>
    </r>
    <r>
      <rPr>
        <i/>
        <sz val="10"/>
        <color rgb="FF222222"/>
        <rFont val="Arial"/>
        <family val="2"/>
      </rPr>
      <t>Ecosystems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</t>
    </r>
    <r>
      <rPr>
        <sz val="10"/>
        <color rgb="FF222222"/>
        <rFont val="Arial"/>
        <family val="2"/>
      </rPr>
      <t>(5), 431-445.</t>
    </r>
  </si>
  <si>
    <r>
      <t>Bocaniov, S. A., Barton, D. R., Schiff, S. L., &amp; Smith, R. E. (2013). Impact of tributary DOM and nutrient inputs on the nearshore ecology of a large, oligotrophic lake (Georgian Bay, Lake Huron, Canada). </t>
    </r>
    <r>
      <rPr>
        <i/>
        <sz val="10"/>
        <color rgb="FF222222"/>
        <rFont val="Arial"/>
        <family val="2"/>
      </rPr>
      <t>Aquatic sciences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75</t>
    </r>
    <r>
      <rPr>
        <sz val="10"/>
        <color rgb="FF222222"/>
        <rFont val="Arial"/>
        <family val="2"/>
      </rPr>
      <t>(2), 321-332.</t>
    </r>
  </si>
  <si>
    <r>
      <t>Yoshioka, T., Ueda, S., Khodzher, T., Bashenkhaeva, N., Korovyakova, I., Sorokovikova, L., &amp; Gorbunova, L. (2002). Distribution of dissolved organic carbon in Lake Baikal and its watershed. </t>
    </r>
    <r>
      <rPr>
        <i/>
        <sz val="10"/>
        <color rgb="FF222222"/>
        <rFont val="Arial"/>
        <family val="2"/>
      </rPr>
      <t>Limnology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</t>
    </r>
    <r>
      <rPr>
        <sz val="10"/>
        <color rgb="FF222222"/>
        <rFont val="Arial"/>
        <family val="2"/>
      </rPr>
      <t>(3), 0159-0168.</t>
    </r>
  </si>
  <si>
    <r>
      <t>Verburg, P. (2007). The need to correct for the Suess effect in the application of δ 13 C in sediment of autotrophic Lake Tanganyika, as a productivity proxy in the Anthropocene. </t>
    </r>
    <r>
      <rPr>
        <i/>
        <sz val="10"/>
        <color rgb="FF222222"/>
        <rFont val="Arial"/>
        <family val="2"/>
      </rPr>
      <t>Journal of Paleolimnology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37</t>
    </r>
    <r>
      <rPr>
        <sz val="10"/>
        <color rgb="FF222222"/>
        <rFont val="Arial"/>
        <family val="2"/>
      </rPr>
      <t>(4), 591-602.</t>
    </r>
  </si>
  <si>
    <r>
      <t>Ramlal, P. S., Hecky, R. E., Bootsma, H. A., Schiff, S. L., &amp; Kingdon, M. J. (2003). Sources and fluxes of organic carbon in Lake Malawi/Nyasa. </t>
    </r>
    <r>
      <rPr>
        <i/>
        <sz val="10"/>
        <color rgb="FF222222"/>
        <rFont val="Arial"/>
        <family val="2"/>
      </rPr>
      <t>Journal of Great Lakes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29</t>
    </r>
    <r>
      <rPr>
        <sz val="10"/>
        <color rgb="FF222222"/>
        <rFont val="Arial"/>
        <family val="2"/>
      </rPr>
      <t>, 107-120.</t>
    </r>
  </si>
  <si>
    <t>MIN</t>
  </si>
  <si>
    <t>MAX</t>
  </si>
  <si>
    <t>Surface area in km²</t>
  </si>
  <si>
    <t>Depth in km</t>
  </si>
  <si>
    <t>Volume in km³</t>
  </si>
  <si>
    <t>Volume in m³</t>
  </si>
  <si>
    <t>Volume in L</t>
  </si>
  <si>
    <r>
      <t>DOC concentration in mg L</t>
    </r>
    <r>
      <rPr>
        <vertAlign val="superscript"/>
        <sz val="11"/>
        <color theme="1"/>
        <rFont val="Calibri"/>
        <family val="2"/>
        <scheme val="minor"/>
      </rPr>
      <t>-1</t>
    </r>
  </si>
  <si>
    <t>DOC concentration in µM</t>
  </si>
  <si>
    <t>DOC concentration in M</t>
  </si>
  <si>
    <t>Bulk DOC in mols</t>
  </si>
  <si>
    <t>Bulk LDOC in mols based on our estimates</t>
  </si>
  <si>
    <t>Bulk SLDOC in mols based on our estimates and those of Hansell (2013)</t>
  </si>
  <si>
    <t>Proportion of LDOC</t>
  </si>
  <si>
    <t>BGE</t>
  </si>
  <si>
    <t>Bacterial growth efficiency</t>
  </si>
  <si>
    <t>Quantity of energy transfered to the food web in mols based on LDOC</t>
  </si>
  <si>
    <t>Percentage of energy transfered to the food per ecosystem type</t>
  </si>
  <si>
    <t>Quantity of energy transfered to the food web in mols based on SLDOC</t>
  </si>
  <si>
    <t>Proportion of SLDOC</t>
  </si>
  <si>
    <t>Proportion of SLDOC with the estimates of Hansell (2013)</t>
  </si>
  <si>
    <t>Quantity of energy transfered to the food web in mols based on SLDOC with estimates from Hansell (2013)</t>
  </si>
  <si>
    <t>Percentage of energy transfered to the food per ecosystem type from SLDOC alone</t>
  </si>
  <si>
    <t>Parameter</t>
  </si>
  <si>
    <t>Source</t>
  </si>
  <si>
    <t>Lakes volume</t>
  </si>
  <si>
    <r>
      <t xml:space="preserve">Cael, B. B., A. J. Heathcote, and D. A. Seekell. 2017. The volume and mean depth of Earth's lakes. Geophys. Res. Lett. </t>
    </r>
    <r>
      <rPr>
        <b/>
        <sz val="8"/>
        <color theme="1"/>
        <rFont val="Arial"/>
        <family val="2"/>
      </rPr>
      <t xml:space="preserve">44: </t>
    </r>
    <r>
      <rPr>
        <sz val="8"/>
        <color theme="1"/>
        <rFont val="Arial"/>
        <family val="2"/>
      </rPr>
      <t>209-218.</t>
    </r>
  </si>
  <si>
    <r>
      <t xml:space="preserve">Sobek, S., L. J. Tranvik, Y. T. Prairie, P. Kortelainen, and J. J. Cole. 2007. Patterns and regulation of dissolved organic carbon: An analysis of 7,500 widely distributed lakes. Limnol. Oceanogr. </t>
    </r>
    <r>
      <rPr>
        <b/>
        <sz val="8"/>
        <color theme="1"/>
        <rFont val="Arial"/>
        <family val="2"/>
      </rPr>
      <t xml:space="preserve">52: </t>
    </r>
    <r>
      <rPr>
        <sz val="8"/>
        <color theme="1"/>
        <rFont val="Arial"/>
        <family val="2"/>
      </rPr>
      <t>1208-1219.</t>
    </r>
  </si>
  <si>
    <t>BGE LDOC lake</t>
  </si>
  <si>
    <r>
      <t xml:space="preserve">Smith, E. M., and Y. T. Prairie. 2004. Bacterial metabolism and growth efficiency in lakes: the importance of phosphorus availability. Limnol. Oceanogr. </t>
    </r>
    <r>
      <rPr>
        <b/>
        <sz val="8"/>
        <color theme="1"/>
        <rFont val="Arial"/>
        <family val="2"/>
      </rPr>
      <t xml:space="preserve">49: </t>
    </r>
    <r>
      <rPr>
        <sz val="8"/>
        <color theme="1"/>
        <rFont val="Arial"/>
        <family val="2"/>
      </rPr>
      <t>137-147.</t>
    </r>
  </si>
  <si>
    <t>Coasts area</t>
  </si>
  <si>
    <r>
      <t xml:space="preserve">Barrón, C., and C. M. Duarte. 2015. Dissolved organic carbon pools and export from the coastal ocean. Glob. Biogeochem. Cycle </t>
    </r>
    <r>
      <rPr>
        <b/>
        <sz val="8"/>
        <color theme="1"/>
        <rFont val="Arial"/>
        <family val="2"/>
      </rPr>
      <t xml:space="preserve">29: </t>
    </r>
    <r>
      <rPr>
        <sz val="8"/>
        <color theme="1"/>
        <rFont val="Arial"/>
        <family val="2"/>
      </rPr>
      <t>1725-1738.</t>
    </r>
  </si>
  <si>
    <t>Coasts DOC concentration</t>
  </si>
  <si>
    <t>Open ocean DOC concentration</t>
  </si>
  <si>
    <r>
      <t xml:space="preserve">Aristegui, J., C. M. Duarte, S. Agusti, M. Doval, X. A. Alvarez-Salgado, and D. A. Hansell. 2002. Dissolved organic carbon support of respiration in the dark ocean. Science </t>
    </r>
    <r>
      <rPr>
        <b/>
        <sz val="8"/>
        <color theme="1"/>
        <rFont val="Arial"/>
        <family val="2"/>
      </rPr>
      <t xml:space="preserve">298: </t>
    </r>
    <r>
      <rPr>
        <sz val="8"/>
        <color theme="1"/>
        <rFont val="Arial"/>
        <family val="2"/>
      </rPr>
      <t>1967-1967.</t>
    </r>
  </si>
  <si>
    <t>Open ocean bulk SLDOC</t>
  </si>
  <si>
    <r>
      <t xml:space="preserve">Hansell, D. A. 2013. Recalcitrant dissolved organic carbon fractions. Marine Science </t>
    </r>
    <r>
      <rPr>
        <b/>
        <sz val="8"/>
        <color theme="1"/>
        <rFont val="Arial"/>
        <family val="2"/>
      </rPr>
      <t>5</t>
    </r>
    <r>
      <rPr>
        <sz val="8"/>
        <color theme="1"/>
        <rFont val="Arial"/>
        <family val="2"/>
      </rPr>
      <t>.</t>
    </r>
  </si>
  <si>
    <t>Depth for SLDOC (open ocean)</t>
  </si>
  <si>
    <t>BGE LDOC open ocean</t>
  </si>
  <si>
    <r>
      <t xml:space="preserve">López-Urrutia, Á., and X. A. G. Morán. 2007. Resource limitation of bacterial production distorts the temperature dependence of oceanic carbon cycling. Ecology </t>
    </r>
    <r>
      <rPr>
        <b/>
        <sz val="8"/>
        <color theme="1"/>
        <rFont val="Arial"/>
        <family val="2"/>
      </rPr>
      <t xml:space="preserve">88: </t>
    </r>
    <r>
      <rPr>
        <sz val="8"/>
        <color theme="1"/>
        <rFont val="Arial"/>
        <family val="2"/>
      </rPr>
      <t>817-822.</t>
    </r>
  </si>
  <si>
    <t>Open ocean area</t>
  </si>
  <si>
    <t>https://www.ngdc.noaa.gov/mgg/global/etopo1_ocean_volumes.html</t>
  </si>
  <si>
    <t>Depth for all ecosystems</t>
  </si>
  <si>
    <t>de Boyer Montégut, C., G. Madec, A. S. Fischer, A. Lazar, and D. Iudicone. 2004. Mixed layer depth over the global ocean: An examination of profile data and a profile?based climatology. Journal of Geophysical Research: Oceans 109.</t>
  </si>
  <si>
    <t>Small lakes DOC concentration</t>
  </si>
  <si>
    <t>Large Lakes DOC concentration</t>
  </si>
  <si>
    <t>Small</t>
  </si>
  <si>
    <t>Large</t>
  </si>
  <si>
    <t>All</t>
  </si>
  <si>
    <t>Coast</t>
  </si>
  <si>
    <t>Ocean</t>
  </si>
  <si>
    <t>LDOC</t>
  </si>
  <si>
    <t>SLDOC</t>
  </si>
  <si>
    <t>Ave</t>
  </si>
  <si>
    <t>max</t>
  </si>
  <si>
    <t>min</t>
  </si>
  <si>
    <t>Bio L</t>
  </si>
  <si>
    <t>Bio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</si>
</sst>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E+00"/>
    <numFmt numFmtId="165" formatCode="0.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vertAlign val="superscript"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gdc.noaa.gov/mgg/global/etopo1_ocean_volum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1" width="20" bestFit="1" customWidth="1"/>
    <col min="2" max="2" width="38.5703125" bestFit="1" customWidth="1"/>
  </cols>
  <sheetData>
    <row r="1" spans="1:2" x14ac:dyDescent="0.25">
      <c r="A1" t="s">
        <v>0</v>
      </c>
      <c r="B1" t="s">
        <v>40</v>
      </c>
    </row>
    <row r="2" spans="1:2" x14ac:dyDescent="0.25">
      <c r="A2" t="s">
        <v>1</v>
      </c>
      <c r="B2" t="s">
        <v>41</v>
      </c>
    </row>
    <row r="3" spans="1:2" x14ac:dyDescent="0.25">
      <c r="A3" t="s">
        <v>2</v>
      </c>
      <c r="B3" t="s">
        <v>42</v>
      </c>
    </row>
    <row r="4" spans="1:2" x14ac:dyDescent="0.25">
      <c r="A4" t="s">
        <v>3</v>
      </c>
      <c r="B4" t="s">
        <v>43</v>
      </c>
    </row>
    <row r="5" spans="1:2" x14ac:dyDescent="0.25">
      <c r="A5" t="s">
        <v>4</v>
      </c>
      <c r="B5" t="s">
        <v>44</v>
      </c>
    </row>
    <row r="6" spans="1:2" ht="17.25" x14ac:dyDescent="0.25">
      <c r="A6" t="s">
        <v>5</v>
      </c>
      <c r="B6" t="s">
        <v>45</v>
      </c>
    </row>
    <row r="7" spans="1:2" x14ac:dyDescent="0.25">
      <c r="A7" t="s">
        <v>6</v>
      </c>
      <c r="B7" t="s">
        <v>46</v>
      </c>
    </row>
    <row r="8" spans="1:2" x14ac:dyDescent="0.25">
      <c r="A8" t="s">
        <v>7</v>
      </c>
      <c r="B8" t="s">
        <v>47</v>
      </c>
    </row>
    <row r="9" spans="1:2" x14ac:dyDescent="0.25">
      <c r="A9" s="1" t="s">
        <v>8</v>
      </c>
      <c r="B9" t="s">
        <v>48</v>
      </c>
    </row>
    <row r="10" spans="1:2" x14ac:dyDescent="0.25">
      <c r="A10" s="1" t="s">
        <v>9</v>
      </c>
      <c r="B10" t="s">
        <v>49</v>
      </c>
    </row>
    <row r="11" spans="1:2" x14ac:dyDescent="0.25">
      <c r="A11" s="1" t="s">
        <v>10</v>
      </c>
      <c r="B11" t="s">
        <v>50</v>
      </c>
    </row>
    <row r="12" spans="1:2" x14ac:dyDescent="0.25">
      <c r="A12" s="1" t="s">
        <v>11</v>
      </c>
      <c r="B12" t="s">
        <v>51</v>
      </c>
    </row>
    <row r="13" spans="1:2" x14ac:dyDescent="0.25">
      <c r="A13" s="1" t="s">
        <v>52</v>
      </c>
      <c r="B13" t="s">
        <v>53</v>
      </c>
    </row>
    <row r="14" spans="1:2" ht="30" x14ac:dyDescent="0.25">
      <c r="A14" s="1" t="s">
        <v>15</v>
      </c>
      <c r="B14" t="s">
        <v>54</v>
      </c>
    </row>
    <row r="15" spans="1:2" x14ac:dyDescent="0.25">
      <c r="A15" s="1" t="s">
        <v>16</v>
      </c>
      <c r="B15" t="s">
        <v>55</v>
      </c>
    </row>
    <row r="16" spans="1:2" ht="30" x14ac:dyDescent="0.25">
      <c r="A16" s="1" t="s">
        <v>17</v>
      </c>
      <c r="B16" t="s">
        <v>56</v>
      </c>
    </row>
    <row r="17" spans="1:2" x14ac:dyDescent="0.25">
      <c r="A17" s="1" t="s">
        <v>12</v>
      </c>
      <c r="B17" t="s">
        <v>57</v>
      </c>
    </row>
    <row r="18" spans="1:2" x14ac:dyDescent="0.25">
      <c r="A18" s="1" t="s">
        <v>13</v>
      </c>
      <c r="B18" t="s">
        <v>58</v>
      </c>
    </row>
    <row r="19" spans="1:2" ht="30" x14ac:dyDescent="0.25">
      <c r="A19" s="1" t="s">
        <v>18</v>
      </c>
      <c r="B19" t="s">
        <v>56</v>
      </c>
    </row>
    <row r="20" spans="1:2" ht="30" x14ac:dyDescent="0.25">
      <c r="A20" s="1" t="s">
        <v>19</v>
      </c>
      <c r="B20" t="s">
        <v>59</v>
      </c>
    </row>
    <row r="21" spans="1:2" ht="30" x14ac:dyDescent="0.25">
      <c r="A21" s="1" t="s">
        <v>22</v>
      </c>
      <c r="B21" t="s">
        <v>55</v>
      </c>
    </row>
    <row r="22" spans="1:2" ht="30" x14ac:dyDescent="0.25">
      <c r="A22" s="1" t="s">
        <v>21</v>
      </c>
      <c r="B22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"/>
  <sheetViews>
    <sheetView topLeftCell="A7" workbookViewId="0">
      <selection activeCell="F13" sqref="F13"/>
    </sheetView>
  </sheetViews>
  <sheetFormatPr baseColWidth="10" defaultRowHeight="15" x14ac:dyDescent="0.25"/>
  <cols>
    <col min="1" max="6" width="11.42578125" style="8"/>
    <col min="7" max="7" width="12" style="8" bestFit="1" customWidth="1"/>
    <col min="8" max="8" width="14.5703125" style="8" customWidth="1"/>
    <col min="9" max="9" width="13.28515625" style="8" customWidth="1"/>
    <col min="10" max="11" width="13.85546875" style="8" customWidth="1"/>
    <col min="12" max="13" width="11.42578125" style="8"/>
    <col min="14" max="14" width="12" style="8" bestFit="1" customWidth="1"/>
    <col min="15" max="16384" width="11.42578125" style="8"/>
  </cols>
  <sheetData>
    <row r="1" spans="1:27" s="7" customFormat="1" ht="60" x14ac:dyDescent="0.25">
      <c r="A1" s="7" t="s">
        <v>29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32</v>
      </c>
      <c r="H1" s="7" t="s">
        <v>5</v>
      </c>
      <c r="I1" s="7" t="s">
        <v>6</v>
      </c>
      <c r="J1" s="7" t="s">
        <v>7</v>
      </c>
      <c r="K1" s="7" t="s">
        <v>31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30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</row>
    <row r="2" spans="1:27" x14ac:dyDescent="0.25">
      <c r="A2" s="8" t="s">
        <v>23</v>
      </c>
      <c r="B2" s="8">
        <v>1020000</v>
      </c>
      <c r="C2" s="8">
        <v>0.03</v>
      </c>
      <c r="D2" s="8">
        <f>B2*C2</f>
        <v>30600</v>
      </c>
      <c r="E2" s="8">
        <f>D2*1000000000</f>
        <v>30600000000000</v>
      </c>
      <c r="F2" s="8">
        <f>E2*1000</f>
        <v>3.06E+16</v>
      </c>
      <c r="G2" s="8">
        <v>0</v>
      </c>
      <c r="I2" s="8">
        <v>148.05555555555557</v>
      </c>
      <c r="J2" s="8">
        <f>I2/1000000</f>
        <v>1.4805555555555557E-4</v>
      </c>
      <c r="K2" s="8">
        <v>4.7509258356973214E-5</v>
      </c>
      <c r="L2" s="8">
        <f>F2*J2</f>
        <v>4530500000000</v>
      </c>
      <c r="M2" s="10">
        <f>L2*0.06</f>
        <v>271830000000</v>
      </c>
      <c r="N2" s="8">
        <f>L2*0.16</f>
        <v>724880000000</v>
      </c>
      <c r="O2" s="2">
        <f>M2/SUM(M4:M6)*100</f>
        <v>0.20114473620452789</v>
      </c>
      <c r="P2" s="2">
        <f>N2/SUM(N4:N6)*100</f>
        <v>8.5179276007176057</v>
      </c>
      <c r="Q2" s="2">
        <f>N2/SUM(N4,N5,N7)*100</f>
        <v>0.66803028105105167</v>
      </c>
      <c r="R2" s="6">
        <v>0.24890000000000001</v>
      </c>
      <c r="S2" s="6">
        <v>0.1212</v>
      </c>
      <c r="T2" s="4">
        <f>R2*M2</f>
        <v>67658487000</v>
      </c>
      <c r="U2" s="5">
        <f>T2/SUM(T4,T5,T6)*100</f>
        <v>0.45125478371086947</v>
      </c>
      <c r="V2" s="3">
        <f>R2*N2</f>
        <v>180422632000</v>
      </c>
      <c r="W2" s="5">
        <f>V2/SUM(V4:V6)*100</f>
        <v>8.5102063446485001</v>
      </c>
      <c r="X2" s="5">
        <f>V2/SUM(V4,V5,V7)*100</f>
        <v>1.4550125979009101</v>
      </c>
      <c r="Y2" s="11">
        <f>T2/(SUM(T4:T6,V4:V6))*100</f>
        <v>0.3953518910066447</v>
      </c>
      <c r="Z2" s="11">
        <f>V2/(SUM(T4:T6,V4:V6))*100</f>
        <v>1.0542717093510525</v>
      </c>
      <c r="AA2" s="11">
        <f>(T2+V2)/SUM(T4:T6,V4:V6)*100</f>
        <v>1.4496236003576972</v>
      </c>
    </row>
    <row r="3" spans="1:27" x14ac:dyDescent="0.25">
      <c r="A3" s="8" t="s">
        <v>24</v>
      </c>
      <c r="B3" s="8">
        <v>4110000</v>
      </c>
      <c r="C3" s="9">
        <f>D3/B3</f>
        <v>9.4890510948905105E-3</v>
      </c>
      <c r="D3" s="8">
        <v>39000</v>
      </c>
      <c r="E3" s="8">
        <f>D3*1000000000</f>
        <v>39000000000000</v>
      </c>
      <c r="F3" s="8">
        <f>E3*1000</f>
        <v>3.9E+16</v>
      </c>
      <c r="G3" s="8">
        <f>3000*1000000000000</f>
        <v>3000000000000000</v>
      </c>
      <c r="H3" s="8">
        <v>7.58</v>
      </c>
      <c r="I3" s="8">
        <f>H3/12*1000</f>
        <v>631.66666666666674</v>
      </c>
      <c r="J3" s="8">
        <f>I3/1000000</f>
        <v>6.3166666666666677E-4</v>
      </c>
      <c r="K3" s="12">
        <f>0.19*1000/12/1000000</f>
        <v>1.5833333333333333E-5</v>
      </c>
      <c r="L3" s="8">
        <f>F3*J3</f>
        <v>24635000000000.004</v>
      </c>
      <c r="M3" s="12">
        <f>L3*0.06</f>
        <v>1478100000000.0002</v>
      </c>
      <c r="N3" s="8">
        <f>L3*0.16</f>
        <v>3941600000000.0005</v>
      </c>
      <c r="O3" s="2">
        <f>M3/SUM(M4:M6)*100</f>
        <v>1.0937425397635017</v>
      </c>
      <c r="P3" s="2">
        <f>N3/SUM(N4:N6)*100</f>
        <v>46.316995131592151</v>
      </c>
      <c r="Q3" s="2">
        <f>N3/SUM(N4,N5,N7)*100</f>
        <v>3.6324745554999796</v>
      </c>
      <c r="R3" s="6">
        <v>0.24890000000000001</v>
      </c>
      <c r="S3" s="6">
        <v>0.1212</v>
      </c>
      <c r="T3" s="4">
        <f>R3*M3</f>
        <v>367899090000.00006</v>
      </c>
      <c r="U3" s="5">
        <f>T3/SUM(T4,T5,T6)*100</f>
        <v>2.4537383504507826</v>
      </c>
      <c r="V3" s="3">
        <f>R3*N3</f>
        <v>981064240000.00012</v>
      </c>
      <c r="W3" s="5">
        <f>V3/SUM(V4:V6)*100</f>
        <v>46.275010109351257</v>
      </c>
      <c r="X3" s="5">
        <f>V3/SUM(V4,V5,V7)*100</f>
        <v>7.9117614720867282</v>
      </c>
      <c r="Y3" s="11">
        <f>T3/(SUM(T4:T6,V4:V6))*100</f>
        <v>2.1497613585583699</v>
      </c>
      <c r="Z3" s="11">
        <f>V3/(SUM(T4:T6,V4:V6))*100</f>
        <v>5.7326969561556522</v>
      </c>
      <c r="AA3" s="11">
        <f>(T3+V3)/SUM(T4:T6,V4:V6)*100</f>
        <v>7.8824583147140217</v>
      </c>
    </row>
    <row r="4" spans="1:27" x14ac:dyDescent="0.25">
      <c r="A4" s="8" t="s">
        <v>25</v>
      </c>
      <c r="B4" s="8">
        <v>5130000</v>
      </c>
      <c r="C4" s="9">
        <f>D4/B4</f>
        <v>1.3567251461988304E-2</v>
      </c>
      <c r="D4" s="8">
        <f>D2+D3</f>
        <v>69600</v>
      </c>
      <c r="E4" s="8">
        <f>E2+E3</f>
        <v>69600000000000</v>
      </c>
      <c r="F4" s="8">
        <f>F2+F3</f>
        <v>6.96E+16</v>
      </c>
      <c r="G4" s="8">
        <f>3000*1000000000000</f>
        <v>3000000000000000</v>
      </c>
      <c r="L4" s="8">
        <f>L2+L3</f>
        <v>29165500000000.004</v>
      </c>
      <c r="M4" s="10">
        <f>L4*0.06</f>
        <v>1749930000000.0002</v>
      </c>
      <c r="N4" s="8">
        <f>L4*0.16</f>
        <v>4666480000000.001</v>
      </c>
      <c r="O4" s="2">
        <f>M4/SUM(M4:M6)*100</f>
        <v>1.2948872759680297</v>
      </c>
      <c r="P4" s="2">
        <f>N4/SUM(N4:N6)*100</f>
        <v>54.834922732309764</v>
      </c>
      <c r="Q4" s="2">
        <f>N4/SUM(N4,N5,N7)*100</f>
        <v>4.3005048365510321</v>
      </c>
      <c r="R4" s="6">
        <v>0.24890000000000001</v>
      </c>
      <c r="S4" s="6">
        <v>0.1212</v>
      </c>
      <c r="T4" s="3">
        <f>R4*M4</f>
        <v>435557577000.00006</v>
      </c>
      <c r="U4" s="5">
        <f>T4/SUM(T4,T5,T6)*100</f>
        <v>2.9049931341616522</v>
      </c>
      <c r="V4" s="3">
        <f>R4*N4</f>
        <v>1161486872000.0002</v>
      </c>
      <c r="W4" s="5">
        <f>V4/SUM(V4:V6)*100</f>
        <v>54.785216453999766</v>
      </c>
      <c r="X4" s="5">
        <f>V4/SUM(V4,V5,V7)*100</f>
        <v>9.3667740699876401</v>
      </c>
      <c r="Y4" s="11">
        <f>T4/(SUM(T4:T6,V4:V6))*100</f>
        <v>2.5451132495650142</v>
      </c>
      <c r="Z4" s="11">
        <f>V4/(SUM(T4:T6,V4:V6))*100</f>
        <v>6.7869686655067056</v>
      </c>
      <c r="AA4" s="11">
        <f>(T4+V4)/SUM(T4:T6,V4:V6)*100</f>
        <v>9.3320819150717202</v>
      </c>
    </row>
    <row r="5" spans="1:27" x14ac:dyDescent="0.25">
      <c r="A5" s="8" t="s">
        <v>26</v>
      </c>
      <c r="B5" s="8">
        <f>362000000*0.07</f>
        <v>25340000.000000004</v>
      </c>
      <c r="C5" s="8">
        <v>0.03</v>
      </c>
      <c r="D5" s="8">
        <f>B5*C5</f>
        <v>760200.00000000012</v>
      </c>
      <c r="E5" s="8">
        <f t="shared" ref="E5:E6" si="0">D5*1000000000</f>
        <v>760200000000000.12</v>
      </c>
      <c r="F5" s="8">
        <f t="shared" ref="F5:F6" si="1">E5*1000</f>
        <v>7.6020000000000013E+17</v>
      </c>
      <c r="G5" s="8">
        <f>F5/100</f>
        <v>7602000000000001</v>
      </c>
      <c r="I5" s="8">
        <v>126.4</v>
      </c>
      <c r="J5" s="8">
        <f t="shared" ref="J5" si="2">I5/1000000</f>
        <v>1.2640000000000001E-4</v>
      </c>
      <c r="K5" s="12">
        <f>2.6*SQRT(461)/1000000</f>
        <v>5.5824367439318107E-5</v>
      </c>
      <c r="L5" s="8">
        <f>F5*J5</f>
        <v>96089280000000.016</v>
      </c>
      <c r="M5" s="13">
        <f>L5*0.06</f>
        <v>5765356800000.001</v>
      </c>
      <c r="N5" s="8">
        <f>L5*0.04</f>
        <v>3843571200000.0005</v>
      </c>
      <c r="O5" s="2">
        <f>M5/SUM(M4:M6)*100</f>
        <v>4.2661633103814189</v>
      </c>
      <c r="P5" s="2">
        <f>N5/SUM(N4:N6)*100</f>
        <v>45.165077267690229</v>
      </c>
      <c r="Q5" s="2">
        <f>N5/SUM(N4,N5,N7)*100</f>
        <v>3.5421338000437701</v>
      </c>
      <c r="R5" s="6">
        <v>0.24940000000000001</v>
      </c>
      <c r="S5" s="6">
        <v>0.15790000000000001</v>
      </c>
      <c r="T5" s="3">
        <f>R5*M5</f>
        <v>1437879985920.0002</v>
      </c>
      <c r="U5" s="5">
        <f>T5/SUM(T4,T5,T6)*100</f>
        <v>9.590078803395615</v>
      </c>
      <c r="V5" s="3">
        <f>R5*N5</f>
        <v>958586657280.00012</v>
      </c>
      <c r="W5" s="5">
        <f>V5/SUM(V4:V6)*100</f>
        <v>45.214783546000234</v>
      </c>
      <c r="X5" s="5">
        <f>V5/SUM(V4,V5,V7)*100</f>
        <v>7.7304917185895077</v>
      </c>
      <c r="Y5" s="11">
        <f>T5/(SUM(T4:T6,V4:V6))*100</f>
        <v>8.4020290237066604</v>
      </c>
      <c r="Z5" s="11">
        <f>V5/(SUM(T4:T6,V4:V6))*100</f>
        <v>5.6013526824711066</v>
      </c>
      <c r="AA5" s="11">
        <f>(T5+V5)/SUM(T4:T6,V4:V6)*100</f>
        <v>14.003381706177768</v>
      </c>
    </row>
    <row r="6" spans="1:27" x14ac:dyDescent="0.25">
      <c r="A6" s="8" t="s">
        <v>27</v>
      </c>
      <c r="B6" s="8">
        <f>361900000*0.93</f>
        <v>336567000</v>
      </c>
      <c r="C6" s="8">
        <v>0.1</v>
      </c>
      <c r="D6" s="8">
        <f>B6*C6</f>
        <v>33656700</v>
      </c>
      <c r="E6" s="8">
        <f t="shared" si="0"/>
        <v>3.36567E+16</v>
      </c>
      <c r="F6" s="8">
        <f t="shared" si="1"/>
        <v>3.36567E+19</v>
      </c>
      <c r="G6" s="8">
        <f>F6/100</f>
        <v>3.36567E+17</v>
      </c>
      <c r="I6" s="8">
        <v>63.2</v>
      </c>
      <c r="J6" s="8">
        <f>I6/1000000</f>
        <v>6.3200000000000005E-5</v>
      </c>
      <c r="K6" s="8">
        <f>0.2/1000000</f>
        <v>2.0000000000000002E-7</v>
      </c>
      <c r="L6" s="8">
        <f>F6*J6</f>
        <v>2127103440000000.2</v>
      </c>
      <c r="M6" s="13">
        <f>L6*0.06</f>
        <v>127626206400000.02</v>
      </c>
      <c r="N6" s="8">
        <v>0</v>
      </c>
      <c r="O6" s="2">
        <f>M6/SUM(M4:M6)*100</f>
        <v>94.438949413650548</v>
      </c>
      <c r="P6" s="2">
        <f>N6/SUM(N4:N6)*100</f>
        <v>0</v>
      </c>
      <c r="Q6" s="2"/>
      <c r="R6" s="6">
        <v>0.1028</v>
      </c>
      <c r="S6" s="6">
        <v>8.0500000000000002E-2</v>
      </c>
      <c r="T6" s="3">
        <f>R6*M6</f>
        <v>13119974017920.002</v>
      </c>
      <c r="U6" s="5">
        <f>T6/SUM(T4,T5,T6)*100</f>
        <v>87.50492806244273</v>
      </c>
      <c r="V6" s="3">
        <f>R6*N6</f>
        <v>0</v>
      </c>
      <c r="W6" s="5">
        <f>V6/SUM(V4:V6)*100</f>
        <v>0</v>
      </c>
      <c r="X6" s="5"/>
      <c r="Y6" s="11">
        <f>T6/(SUM(T4:T6,V4:V6))*100</f>
        <v>76.664536378750512</v>
      </c>
      <c r="Z6" s="11">
        <f>V6/(SUM(T4:T6,V4:V6))*100</f>
        <v>0</v>
      </c>
      <c r="AA6" s="11">
        <f>(T6+V6)/SUM(T4:T6,V4:V6)*100</f>
        <v>76.664536378750512</v>
      </c>
    </row>
    <row r="7" spans="1:27" x14ac:dyDescent="0.25">
      <c r="A7" s="8" t="s">
        <v>28</v>
      </c>
      <c r="N7" s="13">
        <f>6*10^15/12/500*100</f>
        <v>100000000000000</v>
      </c>
      <c r="O7" s="2"/>
      <c r="P7" s="2"/>
      <c r="Q7" s="2">
        <f>N7/SUM(N4,N5,N7)*100</f>
        <v>92.157361363405201</v>
      </c>
      <c r="R7" s="3"/>
      <c r="S7" s="3"/>
      <c r="T7" s="4"/>
      <c r="U7" s="5"/>
      <c r="V7" s="3">
        <f>R6*N7</f>
        <v>10280000000000</v>
      </c>
      <c r="W7" s="5"/>
      <c r="X7" s="5">
        <f>V7/SUM(V4,V5,V7)*100</f>
        <v>82.902734211422853</v>
      </c>
    </row>
    <row r="9" spans="1:27" s="7" customFormat="1" ht="60" x14ac:dyDescent="0.25">
      <c r="A9" s="7" t="s">
        <v>38</v>
      </c>
      <c r="B9" s="7" t="s">
        <v>0</v>
      </c>
      <c r="C9" s="7" t="s">
        <v>1</v>
      </c>
      <c r="D9" s="7" t="s">
        <v>2</v>
      </c>
      <c r="E9" s="7" t="s">
        <v>3</v>
      </c>
      <c r="F9" s="7" t="s">
        <v>4</v>
      </c>
      <c r="G9" s="7" t="s">
        <v>32</v>
      </c>
      <c r="H9" s="7" t="s">
        <v>5</v>
      </c>
      <c r="I9" s="7" t="s">
        <v>6</v>
      </c>
      <c r="J9" s="7" t="s">
        <v>7</v>
      </c>
      <c r="K9" s="7" t="s">
        <v>31</v>
      </c>
      <c r="L9" s="7" t="s">
        <v>8</v>
      </c>
      <c r="M9" s="7" t="s">
        <v>9</v>
      </c>
      <c r="N9" s="7" t="s">
        <v>10</v>
      </c>
      <c r="O9" s="7" t="s">
        <v>11</v>
      </c>
      <c r="P9" s="7" t="s">
        <v>12</v>
      </c>
      <c r="Q9" s="7" t="s">
        <v>13</v>
      </c>
      <c r="R9" s="7" t="s">
        <v>14</v>
      </c>
      <c r="S9" s="7" t="s">
        <v>30</v>
      </c>
      <c r="T9" s="7" t="s">
        <v>15</v>
      </c>
      <c r="U9" s="7" t="s">
        <v>16</v>
      </c>
      <c r="V9" s="7" t="s">
        <v>17</v>
      </c>
      <c r="W9" s="7" t="s">
        <v>18</v>
      </c>
      <c r="X9" s="7" t="s">
        <v>19</v>
      </c>
      <c r="Y9" s="7" t="s">
        <v>20</v>
      </c>
      <c r="Z9" s="7" t="s">
        <v>21</v>
      </c>
      <c r="AA9" s="7" t="s">
        <v>22</v>
      </c>
    </row>
    <row r="10" spans="1:27" x14ac:dyDescent="0.25">
      <c r="A10" s="8" t="s">
        <v>23</v>
      </c>
      <c r="F10" s="8">
        <f>F2-G2</f>
        <v>3.06E+16</v>
      </c>
      <c r="J10" s="8">
        <f>J2-K2</f>
        <v>1.0054629719858236E-4</v>
      </c>
      <c r="L10" s="8">
        <f>F10*J10</f>
        <v>3076716694276.6201</v>
      </c>
      <c r="M10" s="10">
        <f>L10*0.06</f>
        <v>184603001656.5972</v>
      </c>
      <c r="N10" s="8">
        <f>L10*0.16</f>
        <v>492274671084.25922</v>
      </c>
      <c r="O10" s="2">
        <f>M10/SUM(M12:M14)*100</f>
        <v>0.14129387177917282</v>
      </c>
      <c r="P10" s="2">
        <f>N10/SUM(N12:N14)*100</f>
        <v>7.9861851465010663</v>
      </c>
      <c r="Q10" s="2">
        <f>N10/SUM(N12,N13,N15)*100</f>
        <v>0.46369231567950919</v>
      </c>
      <c r="R10" s="6">
        <v>0.24890000000000001</v>
      </c>
      <c r="S10" s="6">
        <v>0.1212</v>
      </c>
      <c r="T10" s="4">
        <f>R10*M10</f>
        <v>45947687112.327042</v>
      </c>
      <c r="U10" s="5">
        <f>T10/SUM(T12,T13,T14)*100</f>
        <v>0.32541963247451988</v>
      </c>
      <c r="V10" s="3">
        <f>R10*N10</f>
        <v>122527165632.87213</v>
      </c>
      <c r="W10" s="5">
        <f>V10/SUM(V12:V14)*100</f>
        <v>7.9806593664212748</v>
      </c>
      <c r="X10" s="5">
        <f>V10/SUM(V12,V13,V15)*100</f>
        <v>1.0370210856212356</v>
      </c>
      <c r="Y10" s="11">
        <f>T10/(SUM(T12:T14,V12:V14))*100</f>
        <v>0.29350504211344591</v>
      </c>
      <c r="Z10" s="11">
        <f>V10/(SUM(T12:T14,V12:V14))*100</f>
        <v>0.78268011230252266</v>
      </c>
      <c r="AA10" s="11">
        <f>(T10+V10)/SUM(T12:T14,V12:V14)*100</f>
        <v>1.0761851544159684</v>
      </c>
    </row>
    <row r="11" spans="1:27" x14ac:dyDescent="0.25">
      <c r="A11" s="8" t="s">
        <v>24</v>
      </c>
      <c r="C11" s="9"/>
      <c r="F11" s="8">
        <f t="shared" ref="F11:F14" si="3">F3-G3</f>
        <v>3.6E+16</v>
      </c>
      <c r="J11" s="8">
        <f t="shared" ref="J11:J14" si="4">J3-K3</f>
        <v>6.1583333333333347E-4</v>
      </c>
      <c r="K11" s="12"/>
      <c r="L11" s="8">
        <f>F11*J11</f>
        <v>22170000000000.004</v>
      </c>
      <c r="M11" s="12">
        <f>L11*0.06</f>
        <v>1330200000000.0002</v>
      </c>
      <c r="N11" s="8">
        <f>L11*0.16</f>
        <v>3547200000000.0005</v>
      </c>
      <c r="O11" s="2">
        <f>M11/SUM(M12:M14)*100</f>
        <v>1.0181259597841374</v>
      </c>
      <c r="P11" s="2">
        <f>N11/SUM(N12:N14)*100</f>
        <v>57.546320409444306</v>
      </c>
      <c r="Q11" s="2">
        <f>N11/SUM(N12,N13,N15)*100</f>
        <v>3.3412431692972984</v>
      </c>
      <c r="R11" s="6">
        <v>0.24890000000000001</v>
      </c>
      <c r="S11" s="6">
        <v>0.1212</v>
      </c>
      <c r="T11" s="4">
        <f>R11*M11</f>
        <v>331086780000.00006</v>
      </c>
      <c r="U11" s="5">
        <f>T11/SUM(T12,T13,T14)*100</f>
        <v>2.344887088688012</v>
      </c>
      <c r="V11" s="3">
        <f>R11*N11</f>
        <v>882898080000.00012</v>
      </c>
      <c r="W11" s="5">
        <f>V11/SUM(V12:V14)*100</f>
        <v>57.506503111804619</v>
      </c>
      <c r="X11" s="5">
        <f>V11/SUM(V12,V13,V15)*100</f>
        <v>7.4724973901531904</v>
      </c>
      <c r="Y11" s="11">
        <f>T11/(SUM(T12:T14,V12:V14))*100</f>
        <v>2.1149190615306188</v>
      </c>
      <c r="Z11" s="11">
        <f>V11/(SUM(T12:T14,V12:V14))*100</f>
        <v>5.6397841640816502</v>
      </c>
      <c r="AA11" s="11">
        <f>(T11+V11)/SUM(T12:T14,V12:V14)*100</f>
        <v>7.7547032256122694</v>
      </c>
    </row>
    <row r="12" spans="1:27" x14ac:dyDescent="0.25">
      <c r="A12" s="8" t="s">
        <v>25</v>
      </c>
      <c r="C12" s="9"/>
      <c r="F12" s="8">
        <f t="shared" si="3"/>
        <v>6.66E+16</v>
      </c>
      <c r="L12" s="8">
        <f>L10+L11</f>
        <v>25246716694276.625</v>
      </c>
      <c r="M12" s="10">
        <f>L12*0.06</f>
        <v>1514803001656.5974</v>
      </c>
      <c r="N12" s="8">
        <f>L12*0.16</f>
        <v>4039474671084.2603</v>
      </c>
      <c r="O12" s="2">
        <f>M12/SUM(M12:M14)*100</f>
        <v>1.1594198315633104</v>
      </c>
      <c r="P12" s="2">
        <f>N12/SUM(N12:N14)*100</f>
        <v>65.532505555945377</v>
      </c>
      <c r="Q12" s="2">
        <f>N12/SUM(N12,N13,N15)*100</f>
        <v>3.8049354849768084</v>
      </c>
      <c r="R12" s="6">
        <v>0.24890000000000001</v>
      </c>
      <c r="S12" s="6">
        <v>0.1212</v>
      </c>
      <c r="T12" s="3">
        <f>R12*M12</f>
        <v>377034467112.32709</v>
      </c>
      <c r="U12" s="5">
        <f>T12/SUM(T12,T13,T14)*100</f>
        <v>2.6703067211625315</v>
      </c>
      <c r="V12" s="3">
        <f>R12*N12</f>
        <v>1005425245632.8724</v>
      </c>
      <c r="W12" s="5">
        <f>V12/SUM(V12:V14)*100</f>
        <v>65.487162478225912</v>
      </c>
      <c r="X12" s="5">
        <f>V12/SUM(V12,V13,V15)*100</f>
        <v>8.5095184757744278</v>
      </c>
      <c r="Y12" s="11">
        <f>T12/(SUM(T12:T14,V12:V14))*100</f>
        <v>2.408424103644065</v>
      </c>
      <c r="Z12" s="11">
        <f>V12/(SUM(T12:T14,V12:V14))*100</f>
        <v>6.4224642763841739</v>
      </c>
      <c r="AA12" s="11">
        <f>(T12+V12)/SUM(T12:T14,V12:V14)*100</f>
        <v>8.8308883800282381</v>
      </c>
    </row>
    <row r="13" spans="1:27" x14ac:dyDescent="0.25">
      <c r="A13" s="8" t="s">
        <v>26</v>
      </c>
      <c r="F13" s="8">
        <f t="shared" si="3"/>
        <v>7.5259800000000013E+17</v>
      </c>
      <c r="J13" s="8">
        <f t="shared" si="4"/>
        <v>7.0575632560681902E-5</v>
      </c>
      <c r="K13" s="12"/>
      <c r="L13" s="8">
        <f>F13*J13</f>
        <v>53115079913904.086</v>
      </c>
      <c r="M13" s="13">
        <f>L13*0.06</f>
        <v>3186904794834.2451</v>
      </c>
      <c r="N13" s="8">
        <f>L13*0.04</f>
        <v>2124603196556.1636</v>
      </c>
      <c r="O13" s="2">
        <f>M13/SUM(M12:M14)*100</f>
        <v>2.4392350796731956</v>
      </c>
      <c r="P13" s="2">
        <f>N13/SUM(N12:N14)*100</f>
        <v>34.467494444054623</v>
      </c>
      <c r="Q13" s="2">
        <f>N13/SUM(N12,N13,N15)*100</f>
        <v>2.0012449024471373</v>
      </c>
      <c r="R13" s="6">
        <v>0.24940000000000001</v>
      </c>
      <c r="S13" s="6">
        <v>0.15790000000000001</v>
      </c>
      <c r="T13" s="3">
        <f>R13*M13</f>
        <v>794814055831.66077</v>
      </c>
      <c r="U13" s="5">
        <f>T13/SUM(T12,T13,T14)*100</f>
        <v>5.62918645506599</v>
      </c>
      <c r="V13" s="3">
        <f>R13*N13</f>
        <v>529876037221.10724</v>
      </c>
      <c r="W13" s="5">
        <f>V13/SUM(V12:V14)*100</f>
        <v>34.512837521774088</v>
      </c>
      <c r="X13" s="5">
        <f>V13/SUM(V12,V13,V15)*100</f>
        <v>4.4846595489701802</v>
      </c>
      <c r="Y13" s="11">
        <f>T13/(SUM(T12:T14,V12:V14))*100</f>
        <v>5.0771202554533916</v>
      </c>
      <c r="Z13" s="11">
        <f>V13/(SUM(T12:T14,V12:V14))*100</f>
        <v>3.3847468369689278</v>
      </c>
      <c r="AA13" s="11">
        <f>(T13+V13)/SUM(T12:T14,V12:V14)*100</f>
        <v>8.4618670924223185</v>
      </c>
    </row>
    <row r="14" spans="1:27" x14ac:dyDescent="0.25">
      <c r="A14" s="8" t="s">
        <v>27</v>
      </c>
      <c r="F14" s="8">
        <f t="shared" si="3"/>
        <v>3.3320133E+19</v>
      </c>
      <c r="J14" s="8">
        <f t="shared" si="4"/>
        <v>6.3E-5</v>
      </c>
      <c r="L14" s="8">
        <f>F14*J14</f>
        <v>2099168379000000</v>
      </c>
      <c r="M14" s="13">
        <f>L14*0.06</f>
        <v>125950102740000</v>
      </c>
      <c r="N14" s="8">
        <v>0</v>
      </c>
      <c r="O14" s="2">
        <f>M14/SUM(M12:M14)*100</f>
        <v>96.401345088763492</v>
      </c>
      <c r="P14" s="2">
        <f>N14/SUM(N12:N14)*100</f>
        <v>0</v>
      </c>
      <c r="Q14" s="2"/>
      <c r="R14" s="6">
        <v>0.1028</v>
      </c>
      <c r="S14" s="6">
        <v>8.0500000000000002E-2</v>
      </c>
      <c r="T14" s="3">
        <f>R14*M14</f>
        <v>12947670561672</v>
      </c>
      <c r="U14" s="5">
        <f>T14/SUM(T12,T13,T14)*100</f>
        <v>91.700506823771477</v>
      </c>
      <c r="V14" s="3">
        <f>R14*N14</f>
        <v>0</v>
      </c>
      <c r="W14" s="5">
        <f>V14/SUM(V12:V14)*100</f>
        <v>0</v>
      </c>
      <c r="X14" s="5"/>
      <c r="Y14" s="11">
        <f>T14/(SUM(T12:T14,V12:V14))*100</f>
        <v>82.707244527549435</v>
      </c>
      <c r="Z14" s="11">
        <f>V14/(SUM(T12:T14,V12:V14))*100</f>
        <v>0</v>
      </c>
      <c r="AA14" s="11">
        <f>(T14+V14)/SUM(T12:T14,V12:V14)*100</f>
        <v>82.707244527549435</v>
      </c>
    </row>
    <row r="15" spans="1:27" x14ac:dyDescent="0.25">
      <c r="A15" s="8" t="s">
        <v>28</v>
      </c>
      <c r="N15" s="13">
        <f>6*10^15/12/500*100</f>
        <v>100000000000000</v>
      </c>
      <c r="O15" s="2"/>
      <c r="P15" s="2"/>
      <c r="Q15" s="2">
        <f>N15/SUM(N12,N13,N15)*100</f>
        <v>94.193819612576064</v>
      </c>
      <c r="R15" s="3"/>
      <c r="S15" s="3"/>
      <c r="T15" s="4"/>
      <c r="U15" s="5"/>
      <c r="V15" s="3">
        <f>R14*N15</f>
        <v>10280000000000</v>
      </c>
      <c r="W15" s="5"/>
      <c r="X15" s="5">
        <f>V15/SUM(V12,V13,V15)*100</f>
        <v>87.005821975255387</v>
      </c>
    </row>
    <row r="16" spans="1:27" x14ac:dyDescent="0.25">
      <c r="E16" s="15"/>
      <c r="I16" s="14"/>
      <c r="J16" s="14"/>
      <c r="K16" s="14"/>
    </row>
    <row r="17" spans="1:27" s="7" customFormat="1" ht="60" x14ac:dyDescent="0.25">
      <c r="A17" s="7" t="s">
        <v>39</v>
      </c>
      <c r="B17" s="7" t="s">
        <v>0</v>
      </c>
      <c r="C17" s="7" t="s">
        <v>1</v>
      </c>
      <c r="D17" s="7" t="s">
        <v>2</v>
      </c>
      <c r="E17" s="7" t="s">
        <v>3</v>
      </c>
      <c r="F17" s="7" t="s">
        <v>4</v>
      </c>
      <c r="G17" s="7" t="s">
        <v>32</v>
      </c>
      <c r="H17" s="7" t="s">
        <v>5</v>
      </c>
      <c r="I17" s="7" t="s">
        <v>6</v>
      </c>
      <c r="J17" s="7" t="s">
        <v>7</v>
      </c>
      <c r="K17" s="7" t="s">
        <v>31</v>
      </c>
      <c r="L17" s="7" t="s">
        <v>8</v>
      </c>
      <c r="M17" s="7" t="s">
        <v>9</v>
      </c>
      <c r="N17" s="7" t="s">
        <v>10</v>
      </c>
      <c r="O17" s="7" t="s">
        <v>11</v>
      </c>
      <c r="P17" s="7" t="s">
        <v>12</v>
      </c>
      <c r="Q17" s="7" t="s">
        <v>13</v>
      </c>
      <c r="R17" s="7" t="s">
        <v>14</v>
      </c>
      <c r="S17" s="7" t="s">
        <v>30</v>
      </c>
      <c r="T17" s="7" t="s">
        <v>15</v>
      </c>
      <c r="U17" s="7" t="s">
        <v>16</v>
      </c>
      <c r="V17" s="7" t="s">
        <v>17</v>
      </c>
      <c r="W17" s="7" t="s">
        <v>18</v>
      </c>
      <c r="X17" s="7" t="s">
        <v>19</v>
      </c>
      <c r="Y17" s="7" t="s">
        <v>20</v>
      </c>
      <c r="Z17" s="7" t="s">
        <v>21</v>
      </c>
      <c r="AA17" s="7" t="s">
        <v>22</v>
      </c>
    </row>
    <row r="18" spans="1:27" x14ac:dyDescent="0.25">
      <c r="A18" s="8" t="s">
        <v>23</v>
      </c>
      <c r="F18" s="8">
        <f>F2+G2</f>
        <v>3.06E+16</v>
      </c>
      <c r="J18" s="8">
        <f>J2+K2</f>
        <v>1.9556481391252878E-4</v>
      </c>
      <c r="L18" s="8">
        <f>F18*J18</f>
        <v>5984283305723.3809</v>
      </c>
      <c r="M18" s="10">
        <f>L18*0.06</f>
        <v>359056998343.40283</v>
      </c>
      <c r="N18" s="8">
        <f>L18*0.16</f>
        <v>957485328915.74097</v>
      </c>
      <c r="O18" s="2">
        <f>M18/SUM(M20:M22)*100</f>
        <v>0.25702762436811782</v>
      </c>
      <c r="P18" s="2">
        <f>N18/SUM(N20:N22)*100</f>
        <v>8.7801007965648097</v>
      </c>
      <c r="Q18" s="2">
        <f>N18/SUM(N20,N21,N23)*100</f>
        <v>0.86333692876039525</v>
      </c>
      <c r="R18" s="6">
        <v>0.24890000000000001</v>
      </c>
      <c r="S18" s="6">
        <v>0.1212</v>
      </c>
      <c r="T18" s="4">
        <f>R18*M18</f>
        <v>89369286887.672974</v>
      </c>
      <c r="U18" s="5">
        <f>T18/SUM(T20,T21,T22)*100</f>
        <v>0.56269901773322906</v>
      </c>
      <c r="V18" s="3">
        <f>R18*N18</f>
        <v>238318098367.12793</v>
      </c>
      <c r="W18" s="5">
        <f>V18/SUM(V20:V22)*100</f>
        <v>8.7710584703857464</v>
      </c>
      <c r="X18" s="5">
        <f>V18/SUM(V20,V21,V23)*100</f>
        <v>1.8336257136852248</v>
      </c>
      <c r="Y18" s="11">
        <f>T18/(SUM(T20:T22,V20:V22))*100</f>
        <v>0.48049682451191356</v>
      </c>
      <c r="Z18" s="11">
        <f>V18/(SUM(T20:T22,V20:V22))*100</f>
        <v>1.2813248653651028</v>
      </c>
      <c r="AA18" s="11">
        <f>(T18+V18)/SUM(T20:T22,V20:V22)*100</f>
        <v>1.7618216898770165</v>
      </c>
    </row>
    <row r="19" spans="1:27" x14ac:dyDescent="0.25">
      <c r="A19" s="8" t="s">
        <v>24</v>
      </c>
      <c r="C19" s="9"/>
      <c r="F19" s="8">
        <f t="shared" ref="F19:F22" si="5">F3+G3</f>
        <v>4.2E+16</v>
      </c>
      <c r="J19" s="8">
        <f t="shared" ref="J19:J22" si="6">J3+K3</f>
        <v>6.4750000000000007E-4</v>
      </c>
      <c r="K19" s="12"/>
      <c r="L19" s="8">
        <f>F19*J19</f>
        <v>27195000000000.004</v>
      </c>
      <c r="M19" s="12">
        <f>L19*0.06</f>
        <v>1631700000000.0002</v>
      </c>
      <c r="N19" s="8">
        <f>L19*0.16</f>
        <v>4351200000000.0005</v>
      </c>
      <c r="O19" s="2">
        <f>M19/SUM(M20:M22)*100</f>
        <v>1.1680373216966256</v>
      </c>
      <c r="P19" s="2">
        <f>N19/SUM(N20:N22)*100</f>
        <v>39.900323725351576</v>
      </c>
      <c r="Q19" s="2">
        <f>N19/SUM(N20,N21,N23)*100</f>
        <v>3.9233516493418885</v>
      </c>
      <c r="R19" s="6">
        <v>0.24890000000000001</v>
      </c>
      <c r="S19" s="6">
        <v>0.1212</v>
      </c>
      <c r="T19" s="4">
        <f>R19*M19</f>
        <v>406130130000.00006</v>
      </c>
      <c r="U19" s="5">
        <f>T19/SUM(T20,T21,T22)*100</f>
        <v>2.5571315737374483</v>
      </c>
      <c r="V19" s="3">
        <f>R19*N19</f>
        <v>1083013680000.0001</v>
      </c>
      <c r="W19" s="5">
        <f>V19/SUM(V20:V22)*100</f>
        <v>39.859231743592559</v>
      </c>
      <c r="X19" s="5">
        <f>V19/SUM(V20,V21,V23)*100</f>
        <v>8.3327357239217381</v>
      </c>
      <c r="Y19" s="11">
        <f>T19/(SUM(T20:T22,V20:V22))*100</f>
        <v>2.1835716116755504</v>
      </c>
      <c r="Z19" s="11">
        <f>V19/(SUM(T20:T22,V20:V22))*100</f>
        <v>5.8228576311348004</v>
      </c>
      <c r="AA19" s="11">
        <f>(T19+V19)/SUM(T20:T22,V20:V22)*100</f>
        <v>8.0064292428103503</v>
      </c>
    </row>
    <row r="20" spans="1:27" x14ac:dyDescent="0.25">
      <c r="A20" s="8" t="s">
        <v>25</v>
      </c>
      <c r="C20" s="9"/>
      <c r="F20" s="8">
        <f t="shared" si="5"/>
        <v>7.26E+16</v>
      </c>
      <c r="J20" s="8">
        <f t="shared" si="6"/>
        <v>0</v>
      </c>
      <c r="L20" s="8">
        <f>L18+L19</f>
        <v>33179283305723.383</v>
      </c>
      <c r="M20" s="10">
        <f>L20*0.06</f>
        <v>1990756998343.4028</v>
      </c>
      <c r="N20" s="8">
        <f>L20*0.16</f>
        <v>5308685328915.7412</v>
      </c>
      <c r="O20" s="2">
        <f>M20/SUM(M20:M22)*100</f>
        <v>1.4250649460647431</v>
      </c>
      <c r="P20" s="2">
        <f>N20/SUM(N20:N22)*100</f>
        <v>48.680424521916386</v>
      </c>
      <c r="Q20" s="2">
        <f>N20/SUM(N20,N21,N23)*100</f>
        <v>4.7866885781022832</v>
      </c>
      <c r="R20" s="6">
        <v>0.24890000000000001</v>
      </c>
      <c r="S20" s="6">
        <v>0.1212</v>
      </c>
      <c r="T20" s="3">
        <f>R20*M20</f>
        <v>495499416887.67297</v>
      </c>
      <c r="U20" s="5">
        <f>T20/SUM(T20,T21,T22)*100</f>
        <v>3.1198305914706768</v>
      </c>
      <c r="V20" s="3">
        <f>R20*N20</f>
        <v>1321331778367.1279</v>
      </c>
      <c r="W20" s="5">
        <f>V20/SUM(V20:V22)*100</f>
        <v>48.630290213978299</v>
      </c>
      <c r="X20" s="5">
        <f>V20/SUM(V20,V21,V23)*100</f>
        <v>10.166361437606962</v>
      </c>
      <c r="Y20" s="11">
        <f>T20/(SUM(T20:T22,V20:V22))*100</f>
        <v>2.6640684361874634</v>
      </c>
      <c r="Z20" s="11">
        <f>V20/(SUM(T20:T22,V20:V22))*100</f>
        <v>7.1041824964999032</v>
      </c>
      <c r="AA20" s="11">
        <f>(T20+V20)/SUM(T20:T22,V20:V22)*100</f>
        <v>9.7682509326873657</v>
      </c>
    </row>
    <row r="21" spans="1:27" x14ac:dyDescent="0.25">
      <c r="A21" s="8" t="s">
        <v>26</v>
      </c>
      <c r="F21" s="8">
        <f t="shared" si="5"/>
        <v>7.6780200000000013E+17</v>
      </c>
      <c r="J21" s="8">
        <f t="shared" si="6"/>
        <v>1.822243674393181E-4</v>
      </c>
      <c r="K21" s="12"/>
      <c r="L21" s="8">
        <f>F21*J21</f>
        <v>139912233768643.34</v>
      </c>
      <c r="M21" s="13">
        <f>L21*0.06</f>
        <v>8394734026118.6006</v>
      </c>
      <c r="N21" s="8">
        <f>L21*0.04</f>
        <v>5596489350745.7334</v>
      </c>
      <c r="O21" s="2">
        <f>M21/SUM(M20:M22)*100</f>
        <v>6.0092925465607028</v>
      </c>
      <c r="P21" s="2">
        <f>N21/SUM(N20:N22)*100</f>
        <v>51.319575478083614</v>
      </c>
      <c r="Q21" s="2">
        <f>N21/SUM(N20,N21,N23)*100</f>
        <v>5.0461931707971557</v>
      </c>
      <c r="R21" s="6">
        <v>0.24940000000000001</v>
      </c>
      <c r="S21" s="6">
        <v>0.15790000000000001</v>
      </c>
      <c r="T21" s="3">
        <f>R21*M21</f>
        <v>2093646666113.979</v>
      </c>
      <c r="U21" s="5">
        <f>T21/SUM(T20,T21,T22)*100</f>
        <v>13.182301924189174</v>
      </c>
      <c r="V21" s="3">
        <f>R21*N21</f>
        <v>1395764444075.9861</v>
      </c>
      <c r="W21" s="5">
        <f>V21/SUM(V20:V22)*100</f>
        <v>51.369709786021687</v>
      </c>
      <c r="X21" s="5">
        <f>V21/SUM(V20,V21,V23)*100</f>
        <v>10.739048324238835</v>
      </c>
      <c r="Y21" s="11">
        <f>T21/(SUM(T20:T22,V20:V22))*100</f>
        <v>11.256558150476653</v>
      </c>
      <c r="Z21" s="11">
        <f>V21/(SUM(T20:T22,V20:V22))*100</f>
        <v>7.5043721003177684</v>
      </c>
      <c r="AA21" s="11">
        <f>(T21+V21)/SUM(T20:T22,V20:V22)*100</f>
        <v>18.760930250794424</v>
      </c>
    </row>
    <row r="22" spans="1:27" x14ac:dyDescent="0.25">
      <c r="A22" s="8" t="s">
        <v>27</v>
      </c>
      <c r="F22" s="8">
        <f t="shared" si="5"/>
        <v>3.3993267E+19</v>
      </c>
      <c r="J22" s="8">
        <f t="shared" si="6"/>
        <v>6.340000000000001E-5</v>
      </c>
      <c r="L22" s="8">
        <f>F22*J22</f>
        <v>2155173127800000.2</v>
      </c>
      <c r="M22" s="13">
        <f>L22*0.06</f>
        <v>129310387668000.02</v>
      </c>
      <c r="N22" s="8">
        <v>0</v>
      </c>
      <c r="O22" s="2">
        <f>M22/SUM(M20:M22)*100</f>
        <v>92.565642507374562</v>
      </c>
      <c r="P22" s="2">
        <f>N22/SUM(N20:N22)*100</f>
        <v>0</v>
      </c>
      <c r="Q22" s="2"/>
      <c r="R22" s="6">
        <v>0.1028</v>
      </c>
      <c r="S22" s="6">
        <v>8.0500000000000002E-2</v>
      </c>
      <c r="T22" s="3">
        <f>R22*M22</f>
        <v>13293107852270.402</v>
      </c>
      <c r="U22" s="5">
        <f>T22/SUM(T20,T21,T22)*100</f>
        <v>83.697867484340151</v>
      </c>
      <c r="V22" s="3">
        <f>R22*N22</f>
        <v>0</v>
      </c>
      <c r="W22" s="5">
        <f>V22/SUM(V20:V22)*100</f>
        <v>0</v>
      </c>
      <c r="X22" s="5"/>
      <c r="Y22" s="11">
        <f>T22/(SUM(T20:T22,V20:V22))*100</f>
        <v>71.470818816518218</v>
      </c>
      <c r="Z22" s="11">
        <f>V22/(SUM(T20:T22,V20:V22))*100</f>
        <v>0</v>
      </c>
      <c r="AA22" s="11">
        <f>(T22+V22)/SUM(T20:T22,V20:V22)*100</f>
        <v>71.470818816518218</v>
      </c>
    </row>
    <row r="23" spans="1:27" x14ac:dyDescent="0.25">
      <c r="A23" s="8" t="s">
        <v>28</v>
      </c>
      <c r="N23" s="13">
        <f>6*10^15/12/500*100</f>
        <v>100000000000000</v>
      </c>
      <c r="O23" s="2"/>
      <c r="P23" s="2"/>
      <c r="Q23" s="2">
        <f>N23/SUM(N20,N21,N23)*100</f>
        <v>90.167118251100561</v>
      </c>
      <c r="R23" s="3"/>
      <c r="S23" s="3"/>
      <c r="T23" s="4"/>
      <c r="U23" s="5"/>
      <c r="V23" s="3">
        <f>R22*N23</f>
        <v>10280000000000</v>
      </c>
      <c r="W23" s="5"/>
      <c r="X23" s="5">
        <f>V23/SUM(V20,V21,V23)*100</f>
        <v>79.094590238154211</v>
      </c>
    </row>
    <row r="25" spans="1:27" x14ac:dyDescent="0.25">
      <c r="T25" s="10"/>
    </row>
    <row r="26" spans="1:27" x14ac:dyDescent="0.25">
      <c r="T26" s="10"/>
    </row>
    <row r="28" spans="1:27" x14ac:dyDescent="0.25">
      <c r="L28" s="8" t="s">
        <v>91</v>
      </c>
      <c r="M28" s="8" t="s">
        <v>89</v>
      </c>
      <c r="N28" s="8" t="s">
        <v>90</v>
      </c>
      <c r="O28" s="8" t="s">
        <v>94</v>
      </c>
      <c r="P28" s="8" t="s">
        <v>95</v>
      </c>
    </row>
    <row r="29" spans="1:27" x14ac:dyDescent="0.25">
      <c r="L29" s="8" t="s">
        <v>84</v>
      </c>
      <c r="M29" s="12">
        <f>M3</f>
        <v>1478100000000.0002</v>
      </c>
      <c r="N29" s="8">
        <f>N3</f>
        <v>3941600000000.0005</v>
      </c>
      <c r="O29" s="10">
        <f>T3</f>
        <v>367899090000.00006</v>
      </c>
      <c r="P29" s="12">
        <f>V3</f>
        <v>981064240000.00012</v>
      </c>
    </row>
    <row r="30" spans="1:27" x14ac:dyDescent="0.25">
      <c r="L30" s="8" t="s">
        <v>85</v>
      </c>
      <c r="M30" s="10">
        <f>M2</f>
        <v>271830000000</v>
      </c>
      <c r="N30" s="8">
        <f>N2</f>
        <v>724880000000</v>
      </c>
      <c r="O30" s="10">
        <f>T2</f>
        <v>67658487000</v>
      </c>
      <c r="P30" s="12">
        <f>V2</f>
        <v>180422632000</v>
      </c>
    </row>
    <row r="31" spans="1:27" x14ac:dyDescent="0.25">
      <c r="L31" s="8" t="s">
        <v>86</v>
      </c>
      <c r="M31" s="10">
        <f>M4</f>
        <v>1749930000000.0002</v>
      </c>
      <c r="N31" s="8">
        <f>N4</f>
        <v>4666480000000.001</v>
      </c>
      <c r="O31" s="12">
        <f>T4</f>
        <v>435557577000.00006</v>
      </c>
      <c r="P31" s="12">
        <f>V4</f>
        <v>1161486872000.0002</v>
      </c>
    </row>
    <row r="32" spans="1:27" x14ac:dyDescent="0.25">
      <c r="L32" s="8" t="s">
        <v>87</v>
      </c>
      <c r="M32" s="13">
        <f>M5</f>
        <v>5765356800000.001</v>
      </c>
      <c r="N32" s="8">
        <f>N5</f>
        <v>3843571200000.0005</v>
      </c>
      <c r="O32" s="12">
        <f>T5</f>
        <v>1437879985920.0002</v>
      </c>
      <c r="P32" s="12">
        <f>V5</f>
        <v>958586657280.00012</v>
      </c>
    </row>
    <row r="33" spans="12:22" x14ac:dyDescent="0.25">
      <c r="L33" s="8" t="s">
        <v>88</v>
      </c>
      <c r="M33" s="13">
        <f>M6</f>
        <v>127626206400000.02</v>
      </c>
      <c r="N33" s="8">
        <v>0</v>
      </c>
      <c r="O33" s="12">
        <f>T6</f>
        <v>13119974017920.002</v>
      </c>
      <c r="P33" s="8">
        <v>0</v>
      </c>
    </row>
    <row r="35" spans="12:22" x14ac:dyDescent="0.25">
      <c r="L35" s="8" t="s">
        <v>93</v>
      </c>
      <c r="M35" s="8" t="s">
        <v>89</v>
      </c>
      <c r="N35" s="8" t="s">
        <v>90</v>
      </c>
      <c r="O35" s="8" t="s">
        <v>94</v>
      </c>
      <c r="P35" s="8" t="s">
        <v>95</v>
      </c>
      <c r="R35" s="8" t="s">
        <v>92</v>
      </c>
      <c r="S35" s="8" t="s">
        <v>89</v>
      </c>
      <c r="T35" s="8" t="s">
        <v>90</v>
      </c>
      <c r="U35" s="8" t="s">
        <v>94</v>
      </c>
      <c r="V35" s="8" t="s">
        <v>95</v>
      </c>
    </row>
    <row r="36" spans="12:22" x14ac:dyDescent="0.25">
      <c r="L36" s="8" t="s">
        <v>84</v>
      </c>
      <c r="M36" s="12">
        <f>M11</f>
        <v>1330200000000.0002</v>
      </c>
      <c r="N36" s="8">
        <f>N11</f>
        <v>3547200000000.0005</v>
      </c>
      <c r="O36" s="8">
        <v>331086780000.00006</v>
      </c>
      <c r="P36" s="8">
        <v>882898080000.00012</v>
      </c>
      <c r="R36" s="8" t="s">
        <v>84</v>
      </c>
      <c r="S36" s="12">
        <v>1631700000000.0002</v>
      </c>
      <c r="T36" s="8">
        <v>4351200000000.0005</v>
      </c>
      <c r="U36" s="8">
        <v>406130130000.00006</v>
      </c>
      <c r="V36" s="8">
        <v>1083013680000.0001</v>
      </c>
    </row>
    <row r="37" spans="12:22" x14ac:dyDescent="0.25">
      <c r="L37" s="8" t="s">
        <v>85</v>
      </c>
      <c r="M37" s="10">
        <f>M10</f>
        <v>184603001656.5972</v>
      </c>
      <c r="N37" s="8">
        <f>N10</f>
        <v>492274671084.25922</v>
      </c>
      <c r="O37" s="8">
        <v>45947687112.327042</v>
      </c>
      <c r="P37" s="8">
        <v>122527165632.87213</v>
      </c>
      <c r="R37" s="8" t="s">
        <v>85</v>
      </c>
      <c r="S37" s="10">
        <v>359056998343.40283</v>
      </c>
      <c r="T37" s="8">
        <v>957485328915.74097</v>
      </c>
      <c r="U37" s="8">
        <v>89369286887.672974</v>
      </c>
      <c r="V37" s="8">
        <v>238318098367.12793</v>
      </c>
    </row>
    <row r="38" spans="12:22" x14ac:dyDescent="0.25">
      <c r="L38" s="8" t="s">
        <v>86</v>
      </c>
      <c r="M38" s="10">
        <f>M12</f>
        <v>1514803001656.5974</v>
      </c>
      <c r="N38" s="8">
        <f>N12</f>
        <v>4039474671084.2603</v>
      </c>
      <c r="O38" s="8">
        <v>377034467112.32709</v>
      </c>
      <c r="P38" s="8">
        <v>1005425245632.8724</v>
      </c>
      <c r="R38" s="8" t="s">
        <v>86</v>
      </c>
      <c r="S38" s="10">
        <v>1990756998343.4028</v>
      </c>
      <c r="T38" s="8">
        <v>5308685328915.7412</v>
      </c>
      <c r="U38" s="8">
        <v>495499416887.67297</v>
      </c>
      <c r="V38" s="8">
        <v>1321331778367.1279</v>
      </c>
    </row>
    <row r="39" spans="12:22" x14ac:dyDescent="0.25">
      <c r="L39" s="8" t="s">
        <v>87</v>
      </c>
      <c r="M39" s="13">
        <f>M13</f>
        <v>3186904794834.2451</v>
      </c>
      <c r="N39" s="8">
        <f>N13</f>
        <v>2124603196556.1636</v>
      </c>
      <c r="O39" s="8">
        <v>794814055831.66077</v>
      </c>
      <c r="P39" s="8">
        <v>529876037221.10724</v>
      </c>
      <c r="R39" s="8" t="s">
        <v>87</v>
      </c>
      <c r="S39" s="13">
        <v>8394734026118.6006</v>
      </c>
      <c r="T39" s="8">
        <v>5596489350745.7334</v>
      </c>
      <c r="U39" s="8">
        <v>2093646666113.979</v>
      </c>
      <c r="V39" s="8">
        <v>1395764444075.9861</v>
      </c>
    </row>
    <row r="40" spans="12:22" x14ac:dyDescent="0.25">
      <c r="L40" s="8" t="s">
        <v>88</v>
      </c>
      <c r="M40" s="13">
        <f>M14</f>
        <v>125950102740000</v>
      </c>
      <c r="N40" s="8">
        <v>0</v>
      </c>
      <c r="O40" s="8">
        <v>12947670561672</v>
      </c>
      <c r="P40" s="8">
        <v>0</v>
      </c>
      <c r="R40" s="8" t="s">
        <v>88</v>
      </c>
      <c r="S40" s="13">
        <v>129310387668000.02</v>
      </c>
      <c r="T40" s="8">
        <v>0</v>
      </c>
      <c r="U40" s="8">
        <v>13293107852270.402</v>
      </c>
      <c r="V40" s="8">
        <v>0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9" sqref="B9"/>
    </sheetView>
  </sheetViews>
  <sheetFormatPr baseColWidth="10" defaultRowHeight="15" x14ac:dyDescent="0.25"/>
  <cols>
    <col min="1" max="1" width="30.85546875" bestFit="1" customWidth="1"/>
    <col min="2" max="2" width="22.28515625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63</v>
      </c>
      <c r="B2" s="16" t="s">
        <v>64</v>
      </c>
    </row>
    <row r="3" spans="1:2" x14ac:dyDescent="0.25">
      <c r="A3" t="s">
        <v>82</v>
      </c>
      <c r="B3" s="16" t="s">
        <v>65</v>
      </c>
    </row>
    <row r="4" spans="1:2" x14ac:dyDescent="0.25">
      <c r="A4" t="s">
        <v>83</v>
      </c>
      <c r="B4" s="16" t="s">
        <v>65</v>
      </c>
    </row>
    <row r="5" spans="1:2" x14ac:dyDescent="0.25">
      <c r="B5" s="16" t="s">
        <v>33</v>
      </c>
    </row>
    <row r="6" spans="1:2" x14ac:dyDescent="0.25">
      <c r="B6" s="16" t="s">
        <v>34</v>
      </c>
    </row>
    <row r="7" spans="1:2" x14ac:dyDescent="0.25">
      <c r="B7" s="16" t="s">
        <v>35</v>
      </c>
    </row>
    <row r="8" spans="1:2" x14ac:dyDescent="0.25">
      <c r="B8" s="16" t="s">
        <v>36</v>
      </c>
    </row>
    <row r="9" spans="1:2" x14ac:dyDescent="0.25">
      <c r="B9" s="16" t="s">
        <v>37</v>
      </c>
    </row>
    <row r="10" spans="1:2" x14ac:dyDescent="0.25">
      <c r="A10" t="s">
        <v>66</v>
      </c>
      <c r="B10" s="16" t="s">
        <v>67</v>
      </c>
    </row>
    <row r="11" spans="1:2" x14ac:dyDescent="0.25">
      <c r="A11" t="s">
        <v>68</v>
      </c>
      <c r="B11" s="16" t="s">
        <v>69</v>
      </c>
    </row>
    <row r="12" spans="1:2" x14ac:dyDescent="0.25">
      <c r="A12" t="s">
        <v>70</v>
      </c>
      <c r="B12" s="16" t="s">
        <v>69</v>
      </c>
    </row>
    <row r="13" spans="1:2" x14ac:dyDescent="0.25">
      <c r="A13" t="s">
        <v>71</v>
      </c>
      <c r="B13" s="16" t="s">
        <v>72</v>
      </c>
    </row>
    <row r="14" spans="1:2" x14ac:dyDescent="0.25">
      <c r="A14" t="s">
        <v>73</v>
      </c>
      <c r="B14" s="16" t="s">
        <v>74</v>
      </c>
    </row>
    <row r="15" spans="1:2" x14ac:dyDescent="0.25">
      <c r="A15" t="s">
        <v>75</v>
      </c>
      <c r="B15" s="16" t="s">
        <v>74</v>
      </c>
    </row>
    <row r="16" spans="1:2" x14ac:dyDescent="0.25">
      <c r="A16" t="s">
        <v>76</v>
      </c>
      <c r="B16" s="16" t="s">
        <v>77</v>
      </c>
    </row>
    <row r="17" spans="1:2" x14ac:dyDescent="0.25">
      <c r="A17" t="s">
        <v>78</v>
      </c>
      <c r="B17" s="17" t="s">
        <v>79</v>
      </c>
    </row>
    <row r="18" spans="1:2" x14ac:dyDescent="0.25">
      <c r="A18" t="s">
        <v>80</v>
      </c>
      <c r="B18" s="16" t="s">
        <v>81</v>
      </c>
    </row>
  </sheetData>
  <hyperlinks>
    <hyperlink ref="B1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Metadata</vt:lpstr>
      <vt:lpstr>Data</vt:lpstr>
      <vt:lpstr>References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2019-05-29T13:06:43Z</dcterms:created>
  <dcterms:modified xsi:type="dcterms:W3CDTF">2019-06-26T14:54:42Z</dcterms:modified>
</cp:coreProperties>
</file>