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é\GitHub\Meta-analyse\"/>
    </mc:Choice>
  </mc:AlternateContent>
  <bookViews>
    <workbookView xWindow="0" yWindow="0" windowWidth="7470" windowHeight="21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M21" i="1"/>
  <c r="T21" i="1"/>
  <c r="T5" i="1"/>
  <c r="T13" i="1"/>
  <c r="T20" i="1"/>
  <c r="R20" i="1"/>
  <c r="R12" i="1"/>
  <c r="T12" i="1"/>
  <c r="L4" i="1"/>
  <c r="L12" i="1"/>
  <c r="L20" i="1"/>
  <c r="M20" i="1"/>
  <c r="M19" i="1"/>
  <c r="M11" i="1"/>
  <c r="M3" i="1"/>
  <c r="T3" i="1"/>
  <c r="T10" i="1"/>
  <c r="T11" i="1"/>
  <c r="T18" i="1"/>
  <c r="T19" i="1"/>
  <c r="T4" i="1"/>
  <c r="T2" i="1"/>
  <c r="M10" i="1"/>
  <c r="U20" i="1" l="1"/>
  <c r="U13" i="1"/>
  <c r="U12" i="1"/>
  <c r="U6" i="1"/>
  <c r="U5" i="1"/>
  <c r="U4" i="1"/>
  <c r="U3" i="1"/>
  <c r="U22" i="1"/>
  <c r="V18" i="1"/>
  <c r="V12" i="1"/>
  <c r="R19" i="1"/>
  <c r="R21" i="1"/>
  <c r="R22" i="1"/>
  <c r="V22" i="1" s="1"/>
  <c r="R18" i="1"/>
  <c r="J21" i="1"/>
  <c r="J22" i="1"/>
  <c r="J19" i="1"/>
  <c r="F20" i="1"/>
  <c r="F21" i="1"/>
  <c r="F22" i="1"/>
  <c r="F19" i="1"/>
  <c r="R11" i="1"/>
  <c r="R13" i="1"/>
  <c r="R14" i="1"/>
  <c r="V14" i="1" s="1"/>
  <c r="W14" i="1" s="1"/>
  <c r="R10" i="1"/>
  <c r="J13" i="1"/>
  <c r="J14" i="1"/>
  <c r="J11" i="1"/>
  <c r="F14" i="1"/>
  <c r="F12" i="1"/>
  <c r="F13" i="1"/>
  <c r="F11" i="1"/>
  <c r="N23" i="1"/>
  <c r="P22" i="1"/>
  <c r="E22" i="1"/>
  <c r="D22" i="1"/>
  <c r="B22" i="1"/>
  <c r="E21" i="1"/>
  <c r="D21" i="1"/>
  <c r="B21" i="1"/>
  <c r="E20" i="1"/>
  <c r="I19" i="1"/>
  <c r="E19" i="1"/>
  <c r="C19" i="1"/>
  <c r="J18" i="1"/>
  <c r="I18" i="1"/>
  <c r="F18" i="1"/>
  <c r="L18" i="1" s="1"/>
  <c r="E18" i="1"/>
  <c r="D18" i="1"/>
  <c r="D20" i="1" s="1"/>
  <c r="C20" i="1" s="1"/>
  <c r="N15" i="1"/>
  <c r="P14" i="1"/>
  <c r="E14" i="1"/>
  <c r="D14" i="1"/>
  <c r="B14" i="1"/>
  <c r="B13" i="1"/>
  <c r="D13" i="1" s="1"/>
  <c r="E13" i="1" s="1"/>
  <c r="E12" i="1"/>
  <c r="I11" i="1"/>
  <c r="L11" i="1" s="1"/>
  <c r="E11" i="1"/>
  <c r="C11" i="1"/>
  <c r="I10" i="1"/>
  <c r="J10" i="1" s="1"/>
  <c r="F10" i="1"/>
  <c r="E10" i="1"/>
  <c r="D10" i="1"/>
  <c r="D12" i="1" s="1"/>
  <c r="C12" i="1" s="1"/>
  <c r="V23" i="1" l="1"/>
  <c r="L19" i="1"/>
  <c r="N19" i="1" s="1"/>
  <c r="V15" i="1"/>
  <c r="N21" i="1"/>
  <c r="L22" i="1"/>
  <c r="M22" i="1" s="1"/>
  <c r="M18" i="1"/>
  <c r="N18" i="1"/>
  <c r="V19" i="1"/>
  <c r="Q19" i="1"/>
  <c r="P19" i="1"/>
  <c r="Q23" i="1"/>
  <c r="N11" i="1"/>
  <c r="L14" i="1"/>
  <c r="M14" i="1" s="1"/>
  <c r="L10" i="1"/>
  <c r="L13" i="1"/>
  <c r="Q15" i="1"/>
  <c r="J6" i="1"/>
  <c r="K6" i="1"/>
  <c r="B6" i="1"/>
  <c r="K5" i="1"/>
  <c r="K3" i="1"/>
  <c r="G4" i="1"/>
  <c r="G3" i="1"/>
  <c r="E3" i="1"/>
  <c r="F3" i="1" s="1"/>
  <c r="C3" i="1"/>
  <c r="N7" i="1"/>
  <c r="V7" i="1" s="1"/>
  <c r="V6" i="1"/>
  <c r="D6" i="1"/>
  <c r="E6" i="1" s="1"/>
  <c r="F6" i="1" s="1"/>
  <c r="G6" i="1" s="1"/>
  <c r="J5" i="1"/>
  <c r="B5" i="1"/>
  <c r="D5" i="1" s="1"/>
  <c r="E5" i="1" s="1"/>
  <c r="F5" i="1" s="1"/>
  <c r="I3" i="1"/>
  <c r="J3" i="1" s="1"/>
  <c r="I2" i="1"/>
  <c r="J2" i="1" s="1"/>
  <c r="D2" i="1"/>
  <c r="E2" i="1" s="1"/>
  <c r="O22" i="1" l="1"/>
  <c r="T22" i="1"/>
  <c r="O19" i="1"/>
  <c r="P18" i="1"/>
  <c r="Q18" i="1"/>
  <c r="O18" i="1"/>
  <c r="O21" i="1"/>
  <c r="N20" i="1"/>
  <c r="Q21" i="1"/>
  <c r="V21" i="1"/>
  <c r="P21" i="1"/>
  <c r="O14" i="1"/>
  <c r="T14" i="1"/>
  <c r="O11" i="1"/>
  <c r="N13" i="1"/>
  <c r="M13" i="1"/>
  <c r="N10" i="1"/>
  <c r="P11" i="1"/>
  <c r="Q11" i="1"/>
  <c r="V11" i="1"/>
  <c r="L5" i="1"/>
  <c r="M5" i="1" s="1"/>
  <c r="G5" i="1"/>
  <c r="L3" i="1"/>
  <c r="D4" i="1"/>
  <c r="C4" i="1" s="1"/>
  <c r="L6" i="1"/>
  <c r="M6" i="1" s="1"/>
  <c r="T6" i="1" s="1"/>
  <c r="N5" i="1"/>
  <c r="E4" i="1"/>
  <c r="F2" i="1"/>
  <c r="U19" i="1" l="1"/>
  <c r="U21" i="1"/>
  <c r="AA22" i="1"/>
  <c r="Y18" i="1"/>
  <c r="U11" i="1"/>
  <c r="Y11" i="1"/>
  <c r="Z11" i="1"/>
  <c r="Y14" i="1"/>
  <c r="U14" i="1"/>
  <c r="O20" i="1"/>
  <c r="AA19" i="1"/>
  <c r="V20" i="1"/>
  <c r="P20" i="1"/>
  <c r="Q20" i="1"/>
  <c r="V10" i="1"/>
  <c r="P10" i="1"/>
  <c r="Q10" i="1"/>
  <c r="AA11" i="1"/>
  <c r="O13" i="1"/>
  <c r="N12" i="1"/>
  <c r="M12" i="1"/>
  <c r="O10" i="1"/>
  <c r="V13" i="1"/>
  <c r="P13" i="1"/>
  <c r="Q13" i="1"/>
  <c r="N3" i="1"/>
  <c r="V3" i="1" s="1"/>
  <c r="F4" i="1"/>
  <c r="L2" i="1"/>
  <c r="V5" i="1"/>
  <c r="Z20" i="1" l="1"/>
  <c r="X20" i="1"/>
  <c r="W20" i="1"/>
  <c r="W22" i="1"/>
  <c r="X18" i="1"/>
  <c r="W18" i="1"/>
  <c r="X23" i="1"/>
  <c r="X19" i="1"/>
  <c r="W19" i="1"/>
  <c r="W21" i="1"/>
  <c r="Y22" i="1"/>
  <c r="X21" i="1"/>
  <c r="U18" i="1"/>
  <c r="Y21" i="1"/>
  <c r="AA18" i="1"/>
  <c r="AA20" i="1"/>
  <c r="Z18" i="1"/>
  <c r="Y20" i="1"/>
  <c r="Z22" i="1"/>
  <c r="Z19" i="1"/>
  <c r="Z21" i="1"/>
  <c r="AA21" i="1"/>
  <c r="Y19" i="1"/>
  <c r="X10" i="1"/>
  <c r="W10" i="1"/>
  <c r="Z10" i="1"/>
  <c r="Z13" i="1"/>
  <c r="W12" i="1"/>
  <c r="X13" i="1"/>
  <c r="X12" i="1"/>
  <c r="W13" i="1"/>
  <c r="X15" i="1"/>
  <c r="W11" i="1"/>
  <c r="Y10" i="1"/>
  <c r="AA10" i="1"/>
  <c r="U10" i="1"/>
  <c r="AA13" i="1"/>
  <c r="Z12" i="1"/>
  <c r="Y13" i="1"/>
  <c r="AA12" i="1"/>
  <c r="Z14" i="1"/>
  <c r="Y12" i="1"/>
  <c r="AA14" i="1"/>
  <c r="X11" i="1"/>
  <c r="P12" i="1"/>
  <c r="Q12" i="1"/>
  <c r="O12" i="1"/>
  <c r="N2" i="1"/>
  <c r="M2" i="1"/>
  <c r="N4" i="1" l="1"/>
  <c r="P2" i="1" s="1"/>
  <c r="M4" i="1"/>
  <c r="O2" i="1" s="1"/>
  <c r="V2" i="1"/>
  <c r="Q2" i="1"/>
  <c r="O4" i="1" l="1"/>
  <c r="O6" i="1"/>
  <c r="O3" i="1"/>
  <c r="O5" i="1"/>
  <c r="Q4" i="1"/>
  <c r="V4" i="1"/>
  <c r="X2" i="1" s="1"/>
  <c r="P6" i="1"/>
  <c r="P4" i="1"/>
  <c r="Q7" i="1"/>
  <c r="Q5" i="1"/>
  <c r="Q3" i="1"/>
  <c r="P3" i="1"/>
  <c r="P5" i="1"/>
  <c r="Y2" i="1"/>
  <c r="U2" i="1"/>
  <c r="W2" i="1" l="1"/>
  <c r="AA2" i="1"/>
  <c r="Z2" i="1"/>
  <c r="X4" i="1"/>
  <c r="W4" i="1"/>
  <c r="Z4" i="1"/>
  <c r="X7" i="1"/>
  <c r="W6" i="1"/>
  <c r="W3" i="1"/>
  <c r="X5" i="1"/>
  <c r="X3" i="1"/>
  <c r="W5" i="1"/>
  <c r="Y4" i="1"/>
  <c r="AA4" i="1"/>
  <c r="Z6" i="1"/>
  <c r="AA6" i="1"/>
  <c r="Y6" i="1"/>
  <c r="Z5" i="1"/>
  <c r="AA3" i="1"/>
  <c r="Z3" i="1"/>
  <c r="Y3" i="1"/>
  <c r="AA5" i="1"/>
  <c r="Y5" i="1"/>
</calcChain>
</file>

<file path=xl/comments1.xml><?xml version="1.0" encoding="utf-8"?>
<comments xmlns="http://schemas.openxmlformats.org/spreadsheetml/2006/main">
  <authors>
    <author>Utilisateur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</commentList>
</comments>
</file>

<file path=xl/sharedStrings.xml><?xml version="1.0" encoding="utf-8"?>
<sst xmlns="http://schemas.openxmlformats.org/spreadsheetml/2006/main" count="95" uniqueCount="34">
  <si>
    <t>Area (km²)</t>
  </si>
  <si>
    <t>Depth (km)</t>
  </si>
  <si>
    <t>Volume (km³)</t>
  </si>
  <si>
    <t>Volume (m³)</t>
  </si>
  <si>
    <t>Volume (L)</t>
  </si>
  <si>
    <t>Concentration (mg/L)</t>
  </si>
  <si>
    <t>Concentration (µM)</t>
  </si>
  <si>
    <t>Concentration (M)</t>
  </si>
  <si>
    <t>Bulk DOC (mol)</t>
  </si>
  <si>
    <t>Bulk LDOC (mol)</t>
  </si>
  <si>
    <t>Bulk SLDOC (mol)</t>
  </si>
  <si>
    <t>%LDOC</t>
  </si>
  <si>
    <t>%SLDOC this study</t>
  </si>
  <si>
    <t>%SLDOC Hansell</t>
  </si>
  <si>
    <t>BGE LDOC</t>
  </si>
  <si>
    <t>Biomass supported (LDOC)</t>
  </si>
  <si>
    <t>%Biomass-LDOC</t>
  </si>
  <si>
    <t>Biomass supported (SLDOC)</t>
  </si>
  <si>
    <t>%Biomass-SLDOC (this study)</t>
  </si>
  <si>
    <t>%Biomass-SLDOC (Hansell 2013)</t>
  </si>
  <si>
    <t>%Biomass LDOC (vs all)</t>
  </si>
  <si>
    <t>%Biomass SLDOC (vs all)</t>
  </si>
  <si>
    <t xml:space="preserve">%Biomass (LDOC + SLDOC) </t>
  </si>
  <si>
    <t>Large lakes</t>
  </si>
  <si>
    <t>Small lakes</t>
  </si>
  <si>
    <t>All lakes</t>
  </si>
  <si>
    <t>Coasts (global) first 30m</t>
  </si>
  <si>
    <t>Open ocean; first 100 m (this study)</t>
  </si>
  <si>
    <t>Open ocean; first 100 m (Hansell 2013)</t>
  </si>
  <si>
    <t>±</t>
  </si>
  <si>
    <t>NA</t>
  </si>
  <si>
    <t>AVERAGE</t>
  </si>
  <si>
    <t>- std dev</t>
  </si>
  <si>
    <t>+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</si>
</sst>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"/>
    <numFmt numFmtId="166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6"/>
  <sheetViews>
    <sheetView tabSelected="1" workbookViewId="0">
      <selection activeCell="A18" sqref="A18"/>
    </sheetView>
  </sheetViews>
  <sheetFormatPr baseColWidth="10" defaultRowHeight="15" x14ac:dyDescent="0.25"/>
  <cols>
    <col min="7" max="7" width="12" bestFit="1" customWidth="1"/>
    <col min="11" max="11" width="12" bestFit="1" customWidth="1"/>
  </cols>
  <sheetData>
    <row r="1" spans="1:27" ht="60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29</v>
      </c>
      <c r="H1" t="s">
        <v>5</v>
      </c>
      <c r="I1" t="s">
        <v>6</v>
      </c>
      <c r="J1" t="s">
        <v>7</v>
      </c>
      <c r="K1" t="s">
        <v>29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29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x14ac:dyDescent="0.25">
      <c r="A2" t="s">
        <v>23</v>
      </c>
      <c r="B2">
        <v>1020000</v>
      </c>
      <c r="C2">
        <v>0.03</v>
      </c>
      <c r="D2">
        <f>B2*C2</f>
        <v>30600</v>
      </c>
      <c r="E2">
        <f>D2*1000000000</f>
        <v>30600000000000</v>
      </c>
      <c r="F2">
        <f>E2*1000</f>
        <v>3.06E+16</v>
      </c>
      <c r="G2">
        <v>0</v>
      </c>
      <c r="H2">
        <v>2</v>
      </c>
      <c r="I2">
        <f>H2/12*1000</f>
        <v>166.66666666666666</v>
      </c>
      <c r="J2">
        <f>I2/1000000</f>
        <v>1.6666666666666666E-4</v>
      </c>
      <c r="K2" t="s">
        <v>30</v>
      </c>
      <c r="L2">
        <f>F2*J2</f>
        <v>5100000000000</v>
      </c>
      <c r="M2" s="2">
        <f t="shared" ref="M2" si="0">L2*0.06</f>
        <v>306000000000</v>
      </c>
      <c r="N2">
        <f t="shared" ref="N2:N3" si="1">L2*0.16</f>
        <v>816000000000</v>
      </c>
      <c r="O2" s="3">
        <f t="shared" ref="O2:O3" si="2">M2/SUM(M$4:M$6)*100</f>
        <v>0.22637210926589332</v>
      </c>
      <c r="P2" s="3">
        <f>N2/SUM(N$4:N$6)*100</f>
        <v>9.4870800850935257</v>
      </c>
      <c r="Q2" s="3">
        <f>N2/SUM(N$4,N$5,N$7)*100</f>
        <v>0.75137311226345227</v>
      </c>
      <c r="R2" s="11">
        <v>0.24890000000000001</v>
      </c>
      <c r="S2" s="11">
        <v>0.1212</v>
      </c>
      <c r="T2" s="5">
        <f>R2*M2</f>
        <v>76163400000</v>
      </c>
      <c r="U2" s="6">
        <f t="shared" ref="U2" si="3">T2/SUM(T$4,T$5,T$6)*100</f>
        <v>0.50769113420457823</v>
      </c>
      <c r="V2" s="4">
        <f>R2*N2</f>
        <v>203102400000</v>
      </c>
      <c r="W2" s="6">
        <f>V2/SUM(V$4:V$6)*100</f>
        <v>9.4785713435987748</v>
      </c>
      <c r="X2" s="6">
        <f t="shared" ref="X2:X3" si="4">V2/SUM(V$4,V$5,V$7)*100</f>
        <v>1.6349225903445244</v>
      </c>
      <c r="Y2" s="7">
        <f>T2/(SUM(T$4:T$6,V$4:V$6))*100</f>
        <v>0.44423952708292147</v>
      </c>
      <c r="Z2" s="7">
        <f>V2/(SUM(T$4:T$6,V$4:V$6))*100</f>
        <v>1.1846387388877908</v>
      </c>
      <c r="AA2" s="7">
        <f>(T2+V2)/SUM(T$4:T$6,V$4:V$6)*100</f>
        <v>1.6288782659707119</v>
      </c>
    </row>
    <row r="3" spans="1:27" x14ac:dyDescent="0.25">
      <c r="A3" t="s">
        <v>24</v>
      </c>
      <c r="B3">
        <v>4110000</v>
      </c>
      <c r="C3" s="8">
        <f>D3/B3</f>
        <v>9.4890510948905105E-3</v>
      </c>
      <c r="D3">
        <v>39000</v>
      </c>
      <c r="E3">
        <f>D3*1000000000</f>
        <v>39000000000000</v>
      </c>
      <c r="F3">
        <f>E3*1000</f>
        <v>3.9E+16</v>
      </c>
      <c r="G3">
        <f>3000*1000000000000</f>
        <v>3000000000000000</v>
      </c>
      <c r="H3">
        <v>7.58</v>
      </c>
      <c r="I3">
        <f>H3/12*1000</f>
        <v>631.66666666666674</v>
      </c>
      <c r="J3">
        <f>I3/1000000</f>
        <v>6.3166666666666677E-4</v>
      </c>
      <c r="K3" s="10">
        <f>0.19*1000/12/1000000</f>
        <v>1.5833333333333333E-5</v>
      </c>
      <c r="L3">
        <f>F3*J3</f>
        <v>24635000000000.004</v>
      </c>
      <c r="M3" s="10">
        <f>L3*0.06</f>
        <v>1478100000000.0002</v>
      </c>
      <c r="N3">
        <f t="shared" si="1"/>
        <v>3941600000000.0005</v>
      </c>
      <c r="O3" s="3">
        <f t="shared" si="2"/>
        <v>1.0934660611304476</v>
      </c>
      <c r="P3" s="3">
        <f>N3/SUM(N$4:N$6)*100</f>
        <v>45.82631723456452</v>
      </c>
      <c r="Q3" s="3">
        <f>N3/SUM(N$4,N$5,N$7)*100</f>
        <v>3.6294267883549316</v>
      </c>
      <c r="R3" s="11">
        <v>0.24890000000000001</v>
      </c>
      <c r="S3" s="11">
        <v>0.1212</v>
      </c>
      <c r="T3" s="5">
        <f>R3*M3</f>
        <v>367899090000.00006</v>
      </c>
      <c r="U3" s="6">
        <f>T3/SUM(T$4,T$5,T$6)*100</f>
        <v>2.4523472727705462</v>
      </c>
      <c r="V3" s="4">
        <f>R3*N3</f>
        <v>981064240000.00012</v>
      </c>
      <c r="W3" s="6">
        <f>V3/SUM(V$4:V$6)*100</f>
        <v>45.785216676383499</v>
      </c>
      <c r="X3" s="6">
        <f t="shared" si="4"/>
        <v>7.8973172574779147</v>
      </c>
      <c r="Y3" s="7">
        <f t="shared" ref="Y3:Y5" si="5">T3/(SUM(T$4:T$6,V$4:V$6))*100</f>
        <v>2.1458511273897596</v>
      </c>
      <c r="Z3" s="7">
        <f t="shared" ref="Z3" si="6">V3/(SUM(T$4:T$6,V$4:V$6))*100</f>
        <v>5.7222696730393583</v>
      </c>
      <c r="AA3" s="7">
        <f>(T3+V3)/SUM(T$4:T$6,V$4:V$6)*100</f>
        <v>7.8681208004291179</v>
      </c>
    </row>
    <row r="4" spans="1:27" x14ac:dyDescent="0.25">
      <c r="A4" t="s">
        <v>25</v>
      </c>
      <c r="B4">
        <v>5130000</v>
      </c>
      <c r="C4" s="8">
        <f>D4/B4</f>
        <v>1.3567251461988304E-2</v>
      </c>
      <c r="D4">
        <f>D2+D3</f>
        <v>69600</v>
      </c>
      <c r="E4">
        <f>E2+E3</f>
        <v>69600000000000</v>
      </c>
      <c r="F4">
        <f>F2+F3</f>
        <v>6.96E+16</v>
      </c>
      <c r="G4">
        <f>3000*1000000000000</f>
        <v>3000000000000000</v>
      </c>
      <c r="L4">
        <f>L2+L3</f>
        <v>29735000000000.004</v>
      </c>
      <c r="M4" s="2">
        <f>L4*0.06</f>
        <v>1784100000000.0002</v>
      </c>
      <c r="N4">
        <f>L4*0.16</f>
        <v>4757600000000.001</v>
      </c>
      <c r="O4" s="3">
        <f>M4/SUM(M$4:M$6)*100</f>
        <v>1.3198381703963411</v>
      </c>
      <c r="P4" s="3">
        <f>N4/SUM(N$4:N$6)*100</f>
        <v>55.313397319658044</v>
      </c>
      <c r="Q4" s="3">
        <f>N4/SUM(N$4,N$5,N$7)*100</f>
        <v>4.380799900618384</v>
      </c>
      <c r="R4" s="11">
        <v>0.24890000000000001</v>
      </c>
      <c r="S4" s="11">
        <v>0.1212</v>
      </c>
      <c r="T4" s="4">
        <f>R4*M4</f>
        <v>444062490000.00006</v>
      </c>
      <c r="U4" s="6">
        <f>T4/SUM(T$4,T$5,T$6)*100</f>
        <v>2.9600384069751247</v>
      </c>
      <c r="V4" s="4">
        <f>R4*N4</f>
        <v>1184166640000.0002</v>
      </c>
      <c r="W4" s="6">
        <f>V4/SUM(V$4:V$6)*100</f>
        <v>55.263788019982286</v>
      </c>
      <c r="X4" s="6">
        <f>V4/SUM(V$4,V$5,V$7)*100</f>
        <v>9.5322398478224404</v>
      </c>
      <c r="Y4" s="7">
        <f t="shared" si="5"/>
        <v>2.5900906544726805</v>
      </c>
      <c r="Z4" s="7">
        <f>V4/(SUM(T$4:T$6,V$4:V$6))*100</f>
        <v>6.9069084119271498</v>
      </c>
      <c r="AA4" s="7">
        <f>(T4+V4)/SUM(T$4:T$6,V$4:V$6)*100</f>
        <v>9.4969990663998303</v>
      </c>
    </row>
    <row r="5" spans="1:27" x14ac:dyDescent="0.25">
      <c r="A5" t="s">
        <v>26</v>
      </c>
      <c r="B5">
        <f>362000000*0.07</f>
        <v>25340000.000000004</v>
      </c>
      <c r="C5">
        <v>0.03</v>
      </c>
      <c r="D5">
        <f>B5*C5</f>
        <v>760200.00000000012</v>
      </c>
      <c r="E5">
        <f t="shared" ref="E5:E6" si="7">D5*1000000000</f>
        <v>760200000000000.12</v>
      </c>
      <c r="F5">
        <f t="shared" ref="F5:F6" si="8">E5*1000</f>
        <v>7.6020000000000013E+17</v>
      </c>
      <c r="G5">
        <f>F5/100</f>
        <v>7602000000000001</v>
      </c>
      <c r="I5">
        <v>126.4</v>
      </c>
      <c r="J5">
        <f t="shared" ref="J5" si="9">I5/1000000</f>
        <v>1.2640000000000001E-4</v>
      </c>
      <c r="K5" s="10">
        <f>2.6*SQRT(461)/1000000</f>
        <v>5.5824367439318107E-5</v>
      </c>
      <c r="L5">
        <f>F5*J5</f>
        <v>96089280000000.016</v>
      </c>
      <c r="M5" s="9">
        <f>L5*0.06</f>
        <v>5765356800000.001</v>
      </c>
      <c r="N5">
        <f>L5*0.04</f>
        <v>3843571200000.0005</v>
      </c>
      <c r="O5" s="3">
        <f t="shared" ref="O5:O6" si="10">M5/SUM(M$4:M$6)*100</f>
        <v>4.2650849002825533</v>
      </c>
      <c r="P5" s="3">
        <f>N5/SUM(N$4:N$6)*100</f>
        <v>44.686602680341949</v>
      </c>
      <c r="Q5" s="3">
        <f>N5/SUM(N$4,N$5,N$7)*100</f>
        <v>3.5391618318016822</v>
      </c>
      <c r="R5" s="11">
        <v>0.24940000000000001</v>
      </c>
      <c r="S5" s="11">
        <v>0.15790000000000001</v>
      </c>
      <c r="T5" s="4">
        <f>R5*M5</f>
        <v>1437879985920.0002</v>
      </c>
      <c r="U5" s="6">
        <f>T5/SUM(T$4,T$5,T$6)*100</f>
        <v>9.5846419789792456</v>
      </c>
      <c r="V5" s="4">
        <f>R5*N5</f>
        <v>958586657280.00012</v>
      </c>
      <c r="W5" s="6">
        <f>V5/SUM(V$4:V$6)*100</f>
        <v>44.736211980017714</v>
      </c>
      <c r="X5" s="6">
        <f t="shared" ref="X5:X7" si="11">V5/SUM(V$4,V$5,V$7)*100</f>
        <v>7.7163784415640428</v>
      </c>
      <c r="Y5" s="7">
        <f t="shared" si="5"/>
        <v>8.3867464549520996</v>
      </c>
      <c r="Z5" s="7">
        <f>V5/(SUM(T$4:T$6,V$4:V$6))*100</f>
        <v>5.5911643033013991</v>
      </c>
      <c r="AA5" s="7">
        <f>(T5+V5)/SUM(T$4:T$6,V$4:V$6)*100</f>
        <v>13.9779107582535</v>
      </c>
    </row>
    <row r="6" spans="1:27" x14ac:dyDescent="0.25">
      <c r="A6" t="s">
        <v>27</v>
      </c>
      <c r="B6">
        <f>361900000*0.93</f>
        <v>336567000</v>
      </c>
      <c r="C6">
        <v>0.1</v>
      </c>
      <c r="D6">
        <f>B6*C6</f>
        <v>33656700</v>
      </c>
      <c r="E6">
        <f t="shared" si="7"/>
        <v>3.36567E+16</v>
      </c>
      <c r="F6">
        <f t="shared" si="8"/>
        <v>3.36567E+19</v>
      </c>
      <c r="G6">
        <f>F6/100</f>
        <v>3.36567E+17</v>
      </c>
      <c r="I6">
        <v>63.2</v>
      </c>
      <c r="J6">
        <f>I6/1000000</f>
        <v>6.3200000000000005E-5</v>
      </c>
      <c r="K6">
        <f>0.2/1000000</f>
        <v>2.0000000000000002E-7</v>
      </c>
      <c r="L6">
        <f>F6*J6</f>
        <v>2127103440000000.2</v>
      </c>
      <c r="M6" s="9">
        <f>L6*0.06</f>
        <v>127626206400000.02</v>
      </c>
      <c r="N6">
        <v>0</v>
      </c>
      <c r="O6" s="3">
        <f t="shared" si="10"/>
        <v>94.415076929321103</v>
      </c>
      <c r="P6" s="3">
        <f>N6/SUM(N$4:N$6)*100</f>
        <v>0</v>
      </c>
      <c r="Q6" s="3"/>
      <c r="R6" s="11">
        <v>0.1028</v>
      </c>
      <c r="S6" s="11">
        <v>8.0500000000000002E-2</v>
      </c>
      <c r="T6" s="4">
        <f>R6*M6</f>
        <v>13119974017920.002</v>
      </c>
      <c r="U6" s="6">
        <f>T6/SUM(T$4,T$5,T$6)*100</f>
        <v>87.455319614045635</v>
      </c>
      <c r="V6" s="4">
        <f>R6*N6</f>
        <v>0</v>
      </c>
      <c r="W6" s="6">
        <f>V6/SUM(V$4:V$6)*100</f>
        <v>0</v>
      </c>
      <c r="X6" s="6"/>
      <c r="Y6" s="7">
        <f>T6/(SUM(T$4:T$6,V$4:V$6))*100</f>
        <v>76.525090175346676</v>
      </c>
      <c r="Z6" s="7">
        <f>V6/(SUM(T$4:T$6,V$4:V$6))*100</f>
        <v>0</v>
      </c>
      <c r="AA6" s="7">
        <f>(T6+V6)/SUM(T$4:T$6,V$4:V$6)*100</f>
        <v>76.525090175346676</v>
      </c>
    </row>
    <row r="7" spans="1:27" x14ac:dyDescent="0.25">
      <c r="A7" t="s">
        <v>28</v>
      </c>
      <c r="N7" s="9">
        <f>6*10^15/12/500*100</f>
        <v>100000000000000</v>
      </c>
      <c r="O7" s="3"/>
      <c r="P7" s="3"/>
      <c r="Q7" s="3">
        <f>N7/SUM(N$4,N$5,N$7)*100</f>
        <v>92.080038267579937</v>
      </c>
      <c r="R7" s="4"/>
      <c r="S7" s="4"/>
      <c r="T7" s="5"/>
      <c r="U7" s="6"/>
      <c r="V7" s="4">
        <f>R6*N7</f>
        <v>10280000000000</v>
      </c>
      <c r="W7" s="6"/>
      <c r="X7" s="6">
        <f t="shared" si="11"/>
        <v>82.751381710613529</v>
      </c>
    </row>
    <row r="9" spans="1:27" ht="60" x14ac:dyDescent="0.25">
      <c r="A9" s="13" t="s">
        <v>32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5</v>
      </c>
      <c r="I9" t="s">
        <v>6</v>
      </c>
      <c r="J9" t="s">
        <v>7</v>
      </c>
      <c r="L9" s="1" t="s">
        <v>8</v>
      </c>
      <c r="M9" s="1" t="s">
        <v>9</v>
      </c>
      <c r="N9" s="1" t="s">
        <v>10</v>
      </c>
      <c r="O9" s="1" t="s">
        <v>11</v>
      </c>
      <c r="P9" s="1" t="s">
        <v>12</v>
      </c>
      <c r="Q9" s="1" t="s">
        <v>13</v>
      </c>
      <c r="R9" s="1" t="s">
        <v>14</v>
      </c>
      <c r="S9" s="1"/>
      <c r="T9" s="1" t="s">
        <v>15</v>
      </c>
      <c r="U9" s="1" t="s">
        <v>16</v>
      </c>
      <c r="V9" s="1" t="s">
        <v>17</v>
      </c>
      <c r="W9" s="1" t="s">
        <v>18</v>
      </c>
      <c r="X9" s="1" t="s">
        <v>19</v>
      </c>
      <c r="Y9" s="1" t="s">
        <v>20</v>
      </c>
      <c r="Z9" s="1" t="s">
        <v>21</v>
      </c>
      <c r="AA9" s="1" t="s">
        <v>22</v>
      </c>
    </row>
    <row r="10" spans="1:27" x14ac:dyDescent="0.25">
      <c r="A10" t="s">
        <v>23</v>
      </c>
      <c r="B10">
        <v>1020000</v>
      </c>
      <c r="C10">
        <v>0.03</v>
      </c>
      <c r="D10">
        <f>B10*C10</f>
        <v>30600</v>
      </c>
      <c r="E10">
        <f>D10*1000000000</f>
        <v>30600000000000</v>
      </c>
      <c r="F10">
        <f>E10*1000</f>
        <v>3.06E+16</v>
      </c>
      <c r="H10">
        <v>2</v>
      </c>
      <c r="I10">
        <f>H10/12*1000</f>
        <v>166.66666666666666</v>
      </c>
      <c r="J10" s="12">
        <f>I10/1000000</f>
        <v>1.6666666666666666E-4</v>
      </c>
      <c r="L10">
        <f>F10*J10</f>
        <v>5100000000000</v>
      </c>
      <c r="M10" s="2">
        <f>L10*0.06</f>
        <v>306000000000</v>
      </c>
      <c r="N10">
        <f t="shared" ref="N10:N11" si="12">L10*0.16</f>
        <v>816000000000</v>
      </c>
      <c r="O10" s="3">
        <f t="shared" ref="O10:O11" si="13">M10/SUM(M$4:M$6)*100</f>
        <v>0.22637210926589332</v>
      </c>
      <c r="P10" s="3">
        <f>N10/SUM(N$4:N$6)*100</f>
        <v>9.4870800850935257</v>
      </c>
      <c r="Q10" s="3">
        <f>N10/SUM(N$4,N$5,N$7)*100</f>
        <v>0.75137311226345227</v>
      </c>
      <c r="R10" s="11">
        <f>R2-S2</f>
        <v>0.12770000000000001</v>
      </c>
      <c r="S10" s="4"/>
      <c r="T10" s="5">
        <f>R10*M10</f>
        <v>39076200000</v>
      </c>
      <c r="U10" s="6">
        <f>T10/SUM(T$12,T$13,T$14)*100</f>
        <v>1.1808238929001738</v>
      </c>
      <c r="V10" s="4">
        <f>R10*N10</f>
        <v>104203200000</v>
      </c>
      <c r="W10" s="6">
        <f>V10/SUM(V$12:V$14)*100</f>
        <v>13.864518206285281</v>
      </c>
      <c r="X10" s="6">
        <f>V10/SUM(V$12,V$13,V$15)*100</f>
        <v>3.4948965299119656</v>
      </c>
      <c r="Y10" s="7">
        <f>T10/(SUM(T$12:T$14,V$12:V$14))*100</f>
        <v>0.96227513364792827</v>
      </c>
      <c r="Z10" s="7">
        <f>V10/(SUM(T$12:T$14,V$12:V$14))*100</f>
        <v>2.5660670230611418</v>
      </c>
      <c r="AA10" s="7">
        <f>(T10+V10)/SUM(T$12:T$14,V$12:V$14)*100</f>
        <v>3.5283421567090705</v>
      </c>
    </row>
    <row r="11" spans="1:27" x14ac:dyDescent="0.25">
      <c r="A11" t="s">
        <v>24</v>
      </c>
      <c r="B11">
        <v>4110000</v>
      </c>
      <c r="C11" s="8">
        <f>D11/B11</f>
        <v>9.4890510948905105E-3</v>
      </c>
      <c r="D11">
        <v>39000</v>
      </c>
      <c r="E11">
        <f>D11*1000000000</f>
        <v>39000000000000</v>
      </c>
      <c r="F11">
        <f>F3-G3</f>
        <v>3.6E+16</v>
      </c>
      <c r="H11">
        <v>7.58</v>
      </c>
      <c r="I11">
        <f>H11/12*1000</f>
        <v>631.66666666666674</v>
      </c>
      <c r="J11" s="10">
        <f>J3-K3</f>
        <v>6.1583333333333347E-4</v>
      </c>
      <c r="K11" s="10"/>
      <c r="L11">
        <f>F11*J11</f>
        <v>22170000000000.004</v>
      </c>
      <c r="M11" s="10">
        <f>L11*0.06</f>
        <v>1330200000000.0002</v>
      </c>
      <c r="N11">
        <f t="shared" si="12"/>
        <v>3547200000000.0005</v>
      </c>
      <c r="O11" s="3">
        <f t="shared" si="13"/>
        <v>0.98405287498526584</v>
      </c>
      <c r="P11" s="3">
        <f>N11/SUM(N$4:N$6)*100</f>
        <v>41.240895193435975</v>
      </c>
      <c r="Q11" s="3">
        <f>N11/SUM(N$4,N$5,N$7)*100</f>
        <v>3.266263117427596</v>
      </c>
      <c r="R11" s="11">
        <f t="shared" ref="R11:R14" si="14">R3-S3</f>
        <v>0.12770000000000001</v>
      </c>
      <c r="S11" s="4"/>
      <c r="T11" s="5">
        <f>R11*M11</f>
        <v>169866540000.00003</v>
      </c>
      <c r="U11" s="6">
        <f>T11/SUM(T$12,T$13,T$14)*100</f>
        <v>5.1331109226660505</v>
      </c>
      <c r="V11" s="4">
        <f>R11*N11</f>
        <v>452977440000.00006</v>
      </c>
      <c r="W11" s="6">
        <f>V11/SUM(V$12:V$14)*100</f>
        <v>60.269876202616615</v>
      </c>
      <c r="X11" s="6">
        <f>V11/SUM(V$12,V$13,V$15)*100</f>
        <v>15.192520797676137</v>
      </c>
      <c r="Y11" s="7">
        <f>T11/(SUM(T$12:T$14,V$12:V$14))*100</f>
        <v>4.1830666103871712</v>
      </c>
      <c r="Z11" s="7">
        <f>V11/(SUM(T$12:T$14,V$12:V$14))*100</f>
        <v>11.154844294365789</v>
      </c>
      <c r="AA11" s="7">
        <f>(T11+V11)/SUM(T$4:T$6,V$4:V$6)*100</f>
        <v>3.6328724180071355</v>
      </c>
    </row>
    <row r="12" spans="1:27" x14ac:dyDescent="0.25">
      <c r="A12" t="s">
        <v>25</v>
      </c>
      <c r="B12">
        <v>5130000</v>
      </c>
      <c r="C12" s="8">
        <f>D12/B12</f>
        <v>1.3567251461988304E-2</v>
      </c>
      <c r="D12">
        <f>D10+D11</f>
        <v>69600</v>
      </c>
      <c r="E12">
        <f>E10+E11</f>
        <v>69600000000000</v>
      </c>
      <c r="F12">
        <f t="shared" ref="F12:F13" si="15">F4-G4</f>
        <v>6.66E+16</v>
      </c>
      <c r="J12" s="10"/>
      <c r="L12">
        <f>L10+L11</f>
        <v>27270000000000.004</v>
      </c>
      <c r="M12" s="2">
        <f>L12*0.06</f>
        <v>1636200000000.0002</v>
      </c>
      <c r="N12">
        <f>L12*0.16</f>
        <v>4363200000000.0005</v>
      </c>
      <c r="O12" s="3">
        <f>M12/SUM(M$4:M$6)*100</f>
        <v>1.2104249842511592</v>
      </c>
      <c r="P12" s="3">
        <f>N12/SUM(N$4:N$6)*100</f>
        <v>50.727975278529499</v>
      </c>
      <c r="Q12" s="3">
        <f>N12/SUM(N$4,N$5,N$7)*100</f>
        <v>4.0176362296910479</v>
      </c>
      <c r="R12" s="11">
        <f>R4-S4</f>
        <v>0.12770000000000001</v>
      </c>
      <c r="S12" s="4"/>
      <c r="T12" s="4">
        <f>R12*M12</f>
        <v>208942740000.00003</v>
      </c>
      <c r="U12" s="6">
        <f>T12/SUM(T$12,T$13,T$14)*100</f>
        <v>6.313934815566224</v>
      </c>
      <c r="V12" s="4">
        <f>R12*N12</f>
        <v>557180640000.00012</v>
      </c>
      <c r="W12" s="6">
        <f>V12/SUM(V$12:V$14)*100</f>
        <v>74.134394408901898</v>
      </c>
      <c r="X12" s="6">
        <f>V12/SUM(V$12,V$13,V$15)*100</f>
        <v>18.687417327588104</v>
      </c>
      <c r="Y12" s="7">
        <f>T12/(SUM(T$12:T$14,V$12:V$14))*100</f>
        <v>5.1453417440350995</v>
      </c>
      <c r="Z12" s="7">
        <f>V12/(SUM(T$12:T$14,V$12:V$14))*100</f>
        <v>13.720911317426932</v>
      </c>
      <c r="AA12" s="7">
        <f>(T12+V12)/SUM(T$12:T$14,V$12:V$14)*100</f>
        <v>18.866253061462029</v>
      </c>
    </row>
    <row r="13" spans="1:27" x14ac:dyDescent="0.25">
      <c r="A13" t="s">
        <v>26</v>
      </c>
      <c r="B13">
        <f>362000000*0.07</f>
        <v>25340000.000000004</v>
      </c>
      <c r="C13">
        <v>0.03</v>
      </c>
      <c r="D13">
        <f>B13*C13</f>
        <v>760200.00000000012</v>
      </c>
      <c r="E13">
        <f t="shared" ref="E13:E14" si="16">D13*1000000000</f>
        <v>760200000000000.12</v>
      </c>
      <c r="F13">
        <f t="shared" si="15"/>
        <v>7.5259800000000013E+17</v>
      </c>
      <c r="I13">
        <v>126.4</v>
      </c>
      <c r="J13" s="10">
        <f t="shared" ref="J13:J14" si="17">J5-K5</f>
        <v>7.0575632560681902E-5</v>
      </c>
      <c r="K13" s="10"/>
      <c r="L13">
        <f>F13*J13</f>
        <v>53115079913904.086</v>
      </c>
      <c r="M13" s="9">
        <f>L13*0.06</f>
        <v>3186904794834.2451</v>
      </c>
      <c r="N13">
        <f>L13*0.04</f>
        <v>2124603196556.1636</v>
      </c>
      <c r="O13" s="3">
        <f t="shared" ref="O13:O14" si="18">M13/SUM(M$4:M$6)*100</f>
        <v>2.3576024850856769</v>
      </c>
      <c r="P13" s="3">
        <f>N13/SUM(N$4:N$6)*100</f>
        <v>24.701324356340717</v>
      </c>
      <c r="Q13" s="3">
        <f>N13/SUM(N$4,N$5,N$7)*100</f>
        <v>1.956335436423142</v>
      </c>
      <c r="R13" s="11">
        <f t="shared" si="14"/>
        <v>9.1499999999999998E-2</v>
      </c>
      <c r="S13" s="4"/>
      <c r="T13" s="4">
        <f>R13*M13</f>
        <v>291601788727.33344</v>
      </c>
      <c r="U13" s="6">
        <f>T13/SUM(T$12,T$13,T$14)*100</f>
        <v>8.8117667363168337</v>
      </c>
      <c r="V13" s="4">
        <f>R13*N13</f>
        <v>194401192484.88898</v>
      </c>
      <c r="W13" s="6">
        <f>V13/SUM(V$12:V$14)*100</f>
        <v>25.865605591098088</v>
      </c>
      <c r="X13" s="6">
        <f>V13/SUM(V$12,V$13,V$15)*100</f>
        <v>6.5200689904550595</v>
      </c>
      <c r="Y13" s="7">
        <f>T13/(SUM(T$12:T$14,V$12:V$14))*100</f>
        <v>7.1808709705541913</v>
      </c>
      <c r="Z13" s="7">
        <f>V13/(SUM(T$12:T$14,V$12:V$14))*100</f>
        <v>4.7872473137027951</v>
      </c>
      <c r="AA13" s="7">
        <f>(T13+V13)/SUM(T$12:T$14,V$12:V$14)*100</f>
        <v>11.968118284256986</v>
      </c>
    </row>
    <row r="14" spans="1:27" x14ac:dyDescent="0.25">
      <c r="A14" t="s">
        <v>27</v>
      </c>
      <c r="B14">
        <f>361900000*0.93</f>
        <v>336567000</v>
      </c>
      <c r="C14">
        <v>0.1</v>
      </c>
      <c r="D14">
        <f>B14*C14</f>
        <v>33656700</v>
      </c>
      <c r="E14">
        <f t="shared" si="16"/>
        <v>3.36567E+16</v>
      </c>
      <c r="F14">
        <f>F6-G6</f>
        <v>3.3320133E+19</v>
      </c>
      <c r="I14">
        <v>63.2</v>
      </c>
      <c r="J14" s="10">
        <f t="shared" si="17"/>
        <v>6.3E-5</v>
      </c>
      <c r="L14">
        <f>F14*J14</f>
        <v>2099168379000000</v>
      </c>
      <c r="M14" s="9">
        <f>L14*0.06</f>
        <v>125950102740000</v>
      </c>
      <c r="N14">
        <v>0</v>
      </c>
      <c r="O14" s="3">
        <f t="shared" si="18"/>
        <v>93.175132089901211</v>
      </c>
      <c r="P14" s="3">
        <f>N14/SUM(N$4:N$6)*100</f>
        <v>0</v>
      </c>
      <c r="Q14" s="3"/>
      <c r="R14" s="11">
        <f t="shared" si="14"/>
        <v>2.23E-2</v>
      </c>
      <c r="S14" s="4"/>
      <c r="T14" s="4">
        <f>R14*M14</f>
        <v>2808687291102</v>
      </c>
      <c r="U14" s="6">
        <f>T14/SUM(T$12,T$13,T$14)*100</f>
        <v>84.874298448116932</v>
      </c>
      <c r="V14" s="4">
        <f>R14*N14</f>
        <v>0</v>
      </c>
      <c r="W14" s="6">
        <f>V14/SUM(V$4:V$6)*100</f>
        <v>0</v>
      </c>
      <c r="X14" s="6"/>
      <c r="Y14" s="7">
        <f>T14/(SUM(T$12:T$14,V$12:V$14))*100</f>
        <v>69.16562865428098</v>
      </c>
      <c r="Z14" s="7">
        <f>V14/(SUM(T$12:T$14,V$12:V$14))*100</f>
        <v>0</v>
      </c>
      <c r="AA14" s="7">
        <f>(T14+V14)/SUM(T$12:T$14,V$12:V$14)*100</f>
        <v>69.16562865428098</v>
      </c>
    </row>
    <row r="15" spans="1:27" x14ac:dyDescent="0.25">
      <c r="A15" t="s">
        <v>28</v>
      </c>
      <c r="N15" s="9">
        <f>6*10^15/12/500*100</f>
        <v>100000000000000</v>
      </c>
      <c r="O15" s="3"/>
      <c r="P15" s="3"/>
      <c r="Q15" s="3">
        <f>N15/SUM(N$4,N$5,N$7)*100</f>
        <v>92.080038267579937</v>
      </c>
      <c r="R15" s="4"/>
      <c r="S15" s="4"/>
      <c r="T15" s="5"/>
      <c r="U15" s="6"/>
      <c r="V15" s="4">
        <f>R14*N15</f>
        <v>2230000000000</v>
      </c>
      <c r="W15" s="6"/>
      <c r="X15" s="6">
        <f>V15/SUM(V$12,V$13,V$15)*100</f>
        <v>74.792513681956834</v>
      </c>
    </row>
    <row r="17" spans="1:27" ht="60" x14ac:dyDescent="0.25">
      <c r="A17" s="13" t="s">
        <v>33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29</v>
      </c>
      <c r="H17" t="s">
        <v>5</v>
      </c>
      <c r="I17" t="s">
        <v>6</v>
      </c>
      <c r="J17" t="s">
        <v>7</v>
      </c>
      <c r="L17" s="1" t="s">
        <v>8</v>
      </c>
      <c r="M17" s="1" t="s">
        <v>9</v>
      </c>
      <c r="N17" s="1" t="s">
        <v>10</v>
      </c>
      <c r="O17" s="1" t="s">
        <v>11</v>
      </c>
      <c r="P17" s="1" t="s">
        <v>12</v>
      </c>
      <c r="Q17" s="1" t="s">
        <v>13</v>
      </c>
      <c r="R17" s="1" t="s">
        <v>14</v>
      </c>
      <c r="S17" s="1"/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19</v>
      </c>
      <c r="Y17" s="1" t="s">
        <v>20</v>
      </c>
      <c r="Z17" s="1" t="s">
        <v>21</v>
      </c>
      <c r="AA17" s="1" t="s">
        <v>22</v>
      </c>
    </row>
    <row r="18" spans="1:27" x14ac:dyDescent="0.25">
      <c r="A18" t="s">
        <v>23</v>
      </c>
      <c r="B18">
        <v>1020000</v>
      </c>
      <c r="C18">
        <v>0.03</v>
      </c>
      <c r="D18">
        <f>B18*C18</f>
        <v>30600</v>
      </c>
      <c r="E18">
        <f>D18*1000000000</f>
        <v>30600000000000</v>
      </c>
      <c r="F18">
        <f>E18*1000</f>
        <v>3.06E+16</v>
      </c>
      <c r="H18">
        <v>2</v>
      </c>
      <c r="I18">
        <f>H18/12*1000</f>
        <v>166.66666666666666</v>
      </c>
      <c r="J18" s="12">
        <f>I18/1000000</f>
        <v>1.6666666666666666E-4</v>
      </c>
      <c r="L18">
        <f>F18*J18</f>
        <v>5100000000000</v>
      </c>
      <c r="M18" s="2">
        <f t="shared" ref="M18" si="19">L18*0.06</f>
        <v>306000000000</v>
      </c>
      <c r="N18">
        <f t="shared" ref="N18:N19" si="20">L18*0.16</f>
        <v>816000000000</v>
      </c>
      <c r="O18" s="3">
        <f t="shared" ref="O18:O19" si="21">M18/SUM(M$4:M$6)*100</f>
        <v>0.22637210926589332</v>
      </c>
      <c r="P18" s="3">
        <f>N18/SUM(N$4:N$6)*100</f>
        <v>9.4870800850935257</v>
      </c>
      <c r="Q18" s="3">
        <f>N18/SUM(N$4,N$5,N$7)*100</f>
        <v>0.75137311226345227</v>
      </c>
      <c r="R18" s="11">
        <f>R2+S2</f>
        <v>0.37009999999999998</v>
      </c>
      <c r="S18" s="4"/>
      <c r="T18" s="5">
        <f>R18*M18</f>
        <v>113250600000</v>
      </c>
      <c r="U18" s="6">
        <f>T18/SUM(T20:T22)*100</f>
        <v>0.40680684649809612</v>
      </c>
      <c r="V18" s="4">
        <f>R18*N18</f>
        <v>302001600000</v>
      </c>
      <c r="W18" s="6">
        <f>V18/SUM(V$20:V$22)*100</f>
        <v>7.2045273786884927</v>
      </c>
      <c r="X18" s="6">
        <f>V18/SUM(V20:V21,V23)*100</f>
        <v>1.3409282852946869</v>
      </c>
      <c r="Y18" s="7">
        <f>T18/(SUM(T$20:T$22,V$20:V$22))*100</f>
        <v>0.35356844703146101</v>
      </c>
      <c r="Z18" s="7">
        <f>V18/(SUM(T$20:T$22,V$20:V$22))*100</f>
        <v>0.94284919208389595</v>
      </c>
      <c r="AA18" s="7">
        <f>(T18+V18)/SUM(T$20:T$22,V$20:V$22)*100</f>
        <v>1.2964176391153568</v>
      </c>
    </row>
    <row r="19" spans="1:27" x14ac:dyDescent="0.25">
      <c r="A19" t="s">
        <v>24</v>
      </c>
      <c r="B19">
        <v>4110000</v>
      </c>
      <c r="C19" s="8">
        <f>D19/B19</f>
        <v>9.4890510948905105E-3</v>
      </c>
      <c r="D19">
        <v>39000</v>
      </c>
      <c r="E19">
        <f>D19*1000000000</f>
        <v>39000000000000</v>
      </c>
      <c r="F19">
        <f>F3+G3</f>
        <v>4.2E+16</v>
      </c>
      <c r="H19">
        <v>7.58</v>
      </c>
      <c r="I19">
        <f>H19/12*1000</f>
        <v>631.66666666666674</v>
      </c>
      <c r="J19" s="10">
        <f>J3+K3</f>
        <v>6.4750000000000007E-4</v>
      </c>
      <c r="K19" s="10"/>
      <c r="L19">
        <f>F19*J19</f>
        <v>27195000000000.004</v>
      </c>
      <c r="M19" s="10">
        <f>L19*0.06</f>
        <v>1631700000000.0002</v>
      </c>
      <c r="N19">
        <f t="shared" si="20"/>
        <v>4351200000000.0005</v>
      </c>
      <c r="O19" s="3">
        <f t="shared" si="21"/>
        <v>1.2070959826443077</v>
      </c>
      <c r="P19" s="3">
        <f>N19/SUM(N$4:N$6)*100</f>
        <v>50.588459394925188</v>
      </c>
      <c r="Q19" s="3">
        <f>N19/SUM(N$4,N$5,N$7)*100</f>
        <v>4.0065866250989384</v>
      </c>
      <c r="R19" s="11">
        <f t="shared" ref="R19:R22" si="22">R3+S3</f>
        <v>0.37009999999999998</v>
      </c>
      <c r="S19" s="4"/>
      <c r="T19" s="5">
        <f>R19*M19</f>
        <v>603892170000.00012</v>
      </c>
      <c r="U19" s="6">
        <f>T19/SUM(T20:T22)*100</f>
        <v>2.1692376844148482</v>
      </c>
      <c r="V19" s="4">
        <f>R19*N19</f>
        <v>1610379120000</v>
      </c>
      <c r="W19" s="6">
        <f>V19/SUM(V$20:V$22)*100</f>
        <v>38.417082757535994</v>
      </c>
      <c r="X19" s="6">
        <f>V19/SUM(V20:V21,V23)*100</f>
        <v>7.1503028859978448</v>
      </c>
      <c r="Y19" s="7">
        <f>T19/(SUM(T$20:T$22,V$20:V$22))*100</f>
        <v>1.8853517484354085</v>
      </c>
      <c r="Z19" s="7">
        <f>V19/(SUM(T$20:T$22,V$20:V$22))*100</f>
        <v>5.0276046624944222</v>
      </c>
      <c r="AA19" s="7">
        <f>(T19+V19)/SUM(T$20:T$22,V$20:V$22)*100</f>
        <v>6.91295641092983</v>
      </c>
    </row>
    <row r="20" spans="1:27" x14ac:dyDescent="0.25">
      <c r="A20" t="s">
        <v>25</v>
      </c>
      <c r="B20">
        <v>5130000</v>
      </c>
      <c r="C20" s="8">
        <f>D20/B20</f>
        <v>1.3567251461988304E-2</v>
      </c>
      <c r="D20">
        <f>D18+D19</f>
        <v>69600</v>
      </c>
      <c r="E20">
        <f>E18+E19</f>
        <v>69600000000000</v>
      </c>
      <c r="F20">
        <f t="shared" ref="F20:F22" si="23">F4+G4</f>
        <v>7.26E+16</v>
      </c>
      <c r="J20" s="10"/>
      <c r="L20">
        <f>L18+L19</f>
        <v>32295000000000.004</v>
      </c>
      <c r="M20" s="2">
        <f>L20*0.06</f>
        <v>1937700000000.0002</v>
      </c>
      <c r="N20">
        <f>L20*0.16</f>
        <v>5167200000000.001</v>
      </c>
      <c r="O20" s="3">
        <f>M20/SUM(M$4:M$6)*100</f>
        <v>1.4334680919102012</v>
      </c>
      <c r="P20" s="3">
        <f>N20/SUM(N$4:N$6)*100</f>
        <v>60.075539480018712</v>
      </c>
      <c r="Q20" s="3">
        <f>N20/SUM(N$4,N$5,N$7)*100</f>
        <v>4.7579597373623912</v>
      </c>
      <c r="R20" s="11">
        <f>R4+S4</f>
        <v>0.37009999999999998</v>
      </c>
      <c r="S20" s="4"/>
      <c r="T20" s="4">
        <f>R20*M20</f>
        <v>717142770000</v>
      </c>
      <c r="U20" s="6">
        <f>T20/SUM(T20:T22)*100</f>
        <v>2.5760445309129438</v>
      </c>
      <c r="V20" s="4">
        <f>R20*N20</f>
        <v>1912380720000.0002</v>
      </c>
      <c r="W20" s="6">
        <f>V20/SUM(V$20:V$22)*100</f>
        <v>45.62161013622449</v>
      </c>
      <c r="X20" s="6">
        <f>V20/SUM(V20:V21,V23)*100</f>
        <v>8.491231171292533</v>
      </c>
      <c r="Y20" s="7">
        <f>T20/(SUM(T$20:T$22,V$20:V$22))*100</f>
        <v>2.2389201954668692</v>
      </c>
      <c r="Z20" s="7">
        <f>V20/(SUM(T$20:T$22,V$20:V$22))*100</f>
        <v>5.9704538545783183</v>
      </c>
      <c r="AA20" s="7">
        <f>(T20+V20)/SUM(T$20:T$22,V$20:V$22)*100</f>
        <v>8.2093740500451879</v>
      </c>
    </row>
    <row r="21" spans="1:27" x14ac:dyDescent="0.25">
      <c r="A21" t="s">
        <v>26</v>
      </c>
      <c r="B21">
        <f>362000000*0.07</f>
        <v>25340000.000000004</v>
      </c>
      <c r="C21">
        <v>0.03</v>
      </c>
      <c r="D21">
        <f>B21*C21</f>
        <v>760200.00000000012</v>
      </c>
      <c r="E21">
        <f t="shared" ref="E21:E22" si="24">D21*1000000000</f>
        <v>760200000000000.12</v>
      </c>
      <c r="F21">
        <f t="shared" si="23"/>
        <v>7.6780200000000013E+17</v>
      </c>
      <c r="I21">
        <v>126.4</v>
      </c>
      <c r="J21" s="10">
        <f t="shared" ref="J21:J22" si="25">J5+K5</f>
        <v>1.822243674393181E-4</v>
      </c>
      <c r="K21" s="10"/>
      <c r="L21" s="10">
        <f>F21*J21</f>
        <v>139912233768643.34</v>
      </c>
      <c r="M21" s="9">
        <f>L21*0.06</f>
        <v>8394734026118.6006</v>
      </c>
      <c r="N21">
        <f>L21*0.04</f>
        <v>5596489350745.7334</v>
      </c>
      <c r="O21" s="3">
        <f t="shared" ref="O21:O22" si="26">M21/SUM(M$4:M$6)*100</f>
        <v>6.2102406804530474</v>
      </c>
      <c r="P21" s="3">
        <f>N21/SUM(N$4:N$6)*100</f>
        <v>65.066596404286571</v>
      </c>
      <c r="Q21" s="3">
        <f>N21/SUM(N$4,N$5,N$7)*100</f>
        <v>5.1532495358077073</v>
      </c>
      <c r="R21" s="11">
        <f t="shared" si="22"/>
        <v>0.4073</v>
      </c>
      <c r="S21" s="4"/>
      <c r="T21" s="4">
        <f>R21*M21</f>
        <v>3419175168838.106</v>
      </c>
      <c r="U21" s="6">
        <f>T21/SUM(T20:T22)*100</f>
        <v>12.281999989930519</v>
      </c>
      <c r="V21" s="4">
        <f>R21*N21</f>
        <v>2279450112558.7373</v>
      </c>
      <c r="W21" s="6">
        <f>V21/SUM(V$20:V$22)*100</f>
        <v>54.378389863775524</v>
      </c>
      <c r="X21" s="6">
        <f>V21/SUM(V20:V21,V23)*100</f>
        <v>10.121069328269018</v>
      </c>
      <c r="Y21" s="7">
        <f>T21/(SUM(T$20:T$22,V$20:V$22))*100</f>
        <v>10.674667106175354</v>
      </c>
      <c r="Z21" s="7">
        <f>V21/(SUM(T$20:T$22,V$20:V$22))*100</f>
        <v>7.1164447374502364</v>
      </c>
      <c r="AA21" s="7">
        <f>(T21+V21)/SUM(T$20:T$22,V$20:V$22)*100</f>
        <v>17.791111843625593</v>
      </c>
    </row>
    <row r="22" spans="1:27" x14ac:dyDescent="0.25">
      <c r="A22" t="s">
        <v>27</v>
      </c>
      <c r="B22">
        <f>361900000*0.93</f>
        <v>336567000</v>
      </c>
      <c r="C22">
        <v>0.1</v>
      </c>
      <c r="D22">
        <f>B22*C22</f>
        <v>33656700</v>
      </c>
      <c r="E22">
        <f t="shared" si="24"/>
        <v>3.36567E+16</v>
      </c>
      <c r="F22">
        <f t="shared" si="23"/>
        <v>3.3993267E+19</v>
      </c>
      <c r="I22">
        <v>63.2</v>
      </c>
      <c r="J22" s="10">
        <f t="shared" si="25"/>
        <v>6.340000000000001E-5</v>
      </c>
      <c r="L22">
        <f>F22*J22</f>
        <v>2155173127800000.2</v>
      </c>
      <c r="M22" s="9">
        <f>L22*0.06</f>
        <v>129310387668000.02</v>
      </c>
      <c r="N22">
        <v>0</v>
      </c>
      <c r="O22" s="3">
        <f t="shared" si="26"/>
        <v>95.660997406521318</v>
      </c>
      <c r="P22" s="3">
        <f>N22/SUM(N$4:N$6)*100</f>
        <v>0</v>
      </c>
      <c r="Q22" s="3"/>
      <c r="R22" s="11">
        <f t="shared" si="22"/>
        <v>0.18330000000000002</v>
      </c>
      <c r="S22" s="4"/>
      <c r="T22" s="4">
        <f>R22*M22</f>
        <v>23702594059544.406</v>
      </c>
      <c r="U22" s="6">
        <f>T22/SUM(T20:T22)*100</f>
        <v>85.141955479156536</v>
      </c>
      <c r="V22" s="4">
        <f>R22*N22</f>
        <v>0</v>
      </c>
      <c r="W22" s="6">
        <f>V22/SUM(V$20:V$22)*100</f>
        <v>0</v>
      </c>
      <c r="X22" s="6"/>
      <c r="Y22" s="7">
        <f>T22/(SUM(T$20:T$22,V$20:V$22))*100</f>
        <v>73.999514106329229</v>
      </c>
      <c r="Z22" s="7">
        <f>V22/(SUM(T$20:T$22,V$20:V$22))*100</f>
        <v>0</v>
      </c>
      <c r="AA22" s="7">
        <f>(T22+V22)/SUM(T$20:T$22,V$20:V$22)*100</f>
        <v>73.999514106329229</v>
      </c>
    </row>
    <row r="23" spans="1:27" x14ac:dyDescent="0.25">
      <c r="A23" t="s">
        <v>28</v>
      </c>
      <c r="N23" s="9">
        <f>6*10^15/12/500*100</f>
        <v>100000000000000</v>
      </c>
      <c r="O23" s="3"/>
      <c r="P23" s="3"/>
      <c r="Q23" s="3">
        <f>N23/SUM(N$4,N$5,N$7)*100</f>
        <v>92.080038267579937</v>
      </c>
      <c r="R23" s="11"/>
      <c r="S23" s="4"/>
      <c r="T23" s="5"/>
      <c r="U23" s="6"/>
      <c r="V23" s="4">
        <f>R22*N23</f>
        <v>18330000000000</v>
      </c>
      <c r="W23" s="6"/>
      <c r="X23" s="6">
        <f>V23/SUM(V20:V21,V23)*100</f>
        <v>81.387699500438444</v>
      </c>
    </row>
    <row r="25" spans="1:27" x14ac:dyDescent="0.25">
      <c r="T25" s="2"/>
    </row>
    <row r="26" spans="1:27" x14ac:dyDescent="0.25">
      <c r="T26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2019-05-29T13:06:43Z</dcterms:created>
  <dcterms:modified xsi:type="dcterms:W3CDTF">2019-05-31T20:34:06Z</dcterms:modified>
</cp:coreProperties>
</file>